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Golas\"/>
    </mc:Choice>
  </mc:AlternateContent>
  <bookViews>
    <workbookView xWindow="240" yWindow="150" windowWidth="20115" windowHeight="7995"/>
  </bookViews>
  <sheets>
    <sheet name="январь 2020" sheetId="4" r:id="rId1"/>
    <sheet name="Лист1" sheetId="1" r:id="rId2"/>
    <sheet name="2019г." sheetId="2" r:id="rId3"/>
    <sheet name="декабрь 2019" sheetId="3" r:id="rId4"/>
    <sheet name="Лист3" sheetId="5" r:id="rId5"/>
  </sheets>
  <externalReferences>
    <externalReference r:id="rId6"/>
  </externalReferences>
  <calcPr calcId="162913" refMode="R1C1"/>
</workbook>
</file>

<file path=xl/calcChain.xml><?xml version="1.0" encoding="utf-8"?>
<calcChain xmlns="http://schemas.openxmlformats.org/spreadsheetml/2006/main">
  <c r="T588" i="4" l="1"/>
  <c r="U588" i="4"/>
  <c r="S585" i="4"/>
  <c r="N727" i="4" l="1"/>
  <c r="N736" i="4"/>
  <c r="E733" i="4"/>
  <c r="E749" i="4" s="1"/>
  <c r="L749" i="4"/>
  <c r="K749" i="4"/>
  <c r="J749" i="4"/>
  <c r="I749" i="4"/>
  <c r="H749" i="4"/>
  <c r="G749" i="4"/>
  <c r="F749" i="4"/>
  <c r="D749" i="4"/>
  <c r="M748" i="4"/>
  <c r="M747" i="4"/>
  <c r="M746" i="4"/>
  <c r="M745" i="4"/>
  <c r="M744" i="4"/>
  <c r="M743" i="4"/>
  <c r="M742" i="4"/>
  <c r="M741" i="4"/>
  <c r="M740" i="4"/>
  <c r="M739" i="4"/>
  <c r="M738" i="4"/>
  <c r="M737" i="4"/>
  <c r="M736" i="4"/>
  <c r="M735" i="4"/>
  <c r="M734" i="4"/>
  <c r="M732" i="4"/>
  <c r="M731" i="4"/>
  <c r="M730" i="4"/>
  <c r="M729" i="4"/>
  <c r="M728" i="4"/>
  <c r="M727" i="4"/>
  <c r="M726" i="4"/>
  <c r="M725" i="4"/>
  <c r="M724" i="4"/>
  <c r="M723" i="4"/>
  <c r="M722" i="4"/>
  <c r="M721" i="4"/>
  <c r="M720" i="4"/>
  <c r="M719" i="4"/>
  <c r="M718" i="4"/>
  <c r="M717" i="4"/>
  <c r="M716" i="4"/>
  <c r="M715" i="4"/>
  <c r="M714" i="4"/>
  <c r="M713" i="4"/>
  <c r="M712" i="4"/>
  <c r="M711" i="4"/>
  <c r="N749" i="4"/>
  <c r="M710" i="4"/>
  <c r="M709" i="4"/>
  <c r="M708" i="4"/>
  <c r="M707" i="4"/>
  <c r="M706" i="4"/>
  <c r="M705" i="4"/>
  <c r="M704" i="4"/>
  <c r="M703" i="4"/>
  <c r="M702" i="4"/>
  <c r="M701" i="4"/>
  <c r="M700" i="4"/>
  <c r="M699" i="4"/>
  <c r="M698" i="4"/>
  <c r="M697" i="4"/>
  <c r="M696" i="4"/>
  <c r="M695" i="4"/>
  <c r="M694" i="4"/>
  <c r="M693" i="4"/>
  <c r="M692" i="4"/>
  <c r="M691" i="4"/>
  <c r="K686" i="4"/>
  <c r="M733" i="4" l="1"/>
  <c r="M749" i="4"/>
  <c r="N664" i="4"/>
  <c r="N667" i="4"/>
  <c r="N682" i="4"/>
  <c r="N647" i="4"/>
  <c r="N585" i="4"/>
  <c r="N584" i="4"/>
  <c r="N594" i="4" l="1"/>
  <c r="L686" i="4"/>
  <c r="I686" i="4"/>
  <c r="H686" i="4"/>
  <c r="G686" i="4"/>
  <c r="F686" i="4"/>
  <c r="D686" i="4"/>
  <c r="M685" i="4"/>
  <c r="M684" i="4"/>
  <c r="M683" i="4"/>
  <c r="M682" i="4"/>
  <c r="M681" i="4"/>
  <c r="M680" i="4"/>
  <c r="M679" i="4"/>
  <c r="M678" i="4"/>
  <c r="M677" i="4"/>
  <c r="M676" i="4"/>
  <c r="M675" i="4"/>
  <c r="M674" i="4"/>
  <c r="M673" i="4"/>
  <c r="M672" i="4"/>
  <c r="M671" i="4"/>
  <c r="M670" i="4"/>
  <c r="M669" i="4"/>
  <c r="M668" i="4"/>
  <c r="M667" i="4"/>
  <c r="M666" i="4"/>
  <c r="M665" i="4"/>
  <c r="M664" i="4"/>
  <c r="M663" i="4"/>
  <c r="M662" i="4"/>
  <c r="M661" i="4"/>
  <c r="M660" i="4"/>
  <c r="M659" i="4"/>
  <c r="M658" i="4"/>
  <c r="M657" i="4"/>
  <c r="M656" i="4"/>
  <c r="M655" i="4"/>
  <c r="M654" i="4"/>
  <c r="M653" i="4"/>
  <c r="M652" i="4"/>
  <c r="M651" i="4"/>
  <c r="M650" i="4"/>
  <c r="M649" i="4"/>
  <c r="M648" i="4"/>
  <c r="M647" i="4"/>
  <c r="M646" i="4"/>
  <c r="M645" i="4"/>
  <c r="M644" i="4"/>
  <c r="N686" i="4"/>
  <c r="M643" i="4"/>
  <c r="E686" i="4"/>
  <c r="M642" i="4"/>
  <c r="M641" i="4"/>
  <c r="M640" i="4"/>
  <c r="M639" i="4"/>
  <c r="M638" i="4"/>
  <c r="M637" i="4"/>
  <c r="M636" i="4"/>
  <c r="M635" i="4"/>
  <c r="M634" i="4"/>
  <c r="M633" i="4"/>
  <c r="M632" i="4"/>
  <c r="M631" i="4"/>
  <c r="M630" i="4"/>
  <c r="J686" i="4"/>
  <c r="M629" i="4"/>
  <c r="M628" i="4"/>
  <c r="N582" i="4"/>
  <c r="N599" i="4"/>
  <c r="J565" i="4"/>
  <c r="J623" i="4" s="1"/>
  <c r="N602" i="4"/>
  <c r="N619" i="4"/>
  <c r="N578" i="4"/>
  <c r="N592" i="4"/>
  <c r="E578" i="4"/>
  <c r="E623" i="4" s="1"/>
  <c r="L623" i="4"/>
  <c r="K623" i="4"/>
  <c r="H623" i="4"/>
  <c r="G623" i="4"/>
  <c r="F623" i="4"/>
  <c r="D623" i="4"/>
  <c r="M622" i="4"/>
  <c r="M621" i="4"/>
  <c r="M620" i="4"/>
  <c r="M619" i="4"/>
  <c r="M618" i="4"/>
  <c r="M617" i="4"/>
  <c r="M616" i="4"/>
  <c r="I623" i="4"/>
  <c r="M615" i="4"/>
  <c r="M614" i="4"/>
  <c r="M613" i="4"/>
  <c r="M612" i="4"/>
  <c r="M611" i="4"/>
  <c r="M610" i="4"/>
  <c r="M609" i="4"/>
  <c r="M608" i="4"/>
  <c r="M607" i="4"/>
  <c r="M606" i="4"/>
  <c r="M605" i="4"/>
  <c r="M604" i="4"/>
  <c r="M603" i="4"/>
  <c r="M602" i="4"/>
  <c r="M601" i="4"/>
  <c r="M600" i="4"/>
  <c r="M599" i="4"/>
  <c r="M598" i="4"/>
  <c r="M597" i="4"/>
  <c r="M596" i="4"/>
  <c r="M595" i="4"/>
  <c r="M594" i="4"/>
  <c r="M593" i="4"/>
  <c r="M592" i="4"/>
  <c r="M591" i="4"/>
  <c r="M590" i="4"/>
  <c r="M589" i="4"/>
  <c r="M588" i="4"/>
  <c r="M587" i="4"/>
  <c r="M586" i="4"/>
  <c r="M585" i="4"/>
  <c r="M584" i="4"/>
  <c r="M583" i="4"/>
  <c r="M582" i="4"/>
  <c r="M581" i="4"/>
  <c r="M580" i="4"/>
  <c r="M579" i="4"/>
  <c r="M578" i="4"/>
  <c r="M577" i="4"/>
  <c r="M576" i="4"/>
  <c r="M575" i="4"/>
  <c r="M574" i="4"/>
  <c r="M572" i="4"/>
  <c r="M571" i="4"/>
  <c r="M570" i="4"/>
  <c r="M569" i="4"/>
  <c r="M568" i="4"/>
  <c r="M567" i="4"/>
  <c r="M566" i="4"/>
  <c r="M564" i="4"/>
  <c r="M563" i="4"/>
  <c r="N623" i="4" l="1"/>
  <c r="M565" i="4"/>
  <c r="M686" i="4"/>
  <c r="M573" i="4"/>
  <c r="N554" i="4"/>
  <c r="N527" i="4"/>
  <c r="J508" i="4"/>
  <c r="N498" i="4"/>
  <c r="M551" i="4"/>
  <c r="O551" i="4" s="1"/>
  <c r="B616" i="4" s="1"/>
  <c r="O616" i="4" s="1"/>
  <c r="I551" i="4"/>
  <c r="N517" i="4"/>
  <c r="N540" i="4"/>
  <c r="N537" i="4"/>
  <c r="K558" i="4"/>
  <c r="J558" i="4"/>
  <c r="I558" i="4"/>
  <c r="G558" i="4"/>
  <c r="F558" i="4"/>
  <c r="E558" i="4"/>
  <c r="D558" i="4"/>
  <c r="M557" i="4"/>
  <c r="M556" i="4"/>
  <c r="M555" i="4"/>
  <c r="M554" i="4"/>
  <c r="M553" i="4"/>
  <c r="M552" i="4"/>
  <c r="M550" i="4"/>
  <c r="M549" i="4"/>
  <c r="M548" i="4"/>
  <c r="M547" i="4"/>
  <c r="M546" i="4"/>
  <c r="M545" i="4"/>
  <c r="M544" i="4"/>
  <c r="M543" i="4"/>
  <c r="M542" i="4"/>
  <c r="M541" i="4"/>
  <c r="M540" i="4"/>
  <c r="M539" i="4"/>
  <c r="M538" i="4"/>
  <c r="M537" i="4"/>
  <c r="M536" i="4"/>
  <c r="M535" i="4"/>
  <c r="H558" i="4"/>
  <c r="M533" i="4"/>
  <c r="M532" i="4"/>
  <c r="M531" i="4"/>
  <c r="M530" i="4"/>
  <c r="M529" i="4"/>
  <c r="M528" i="4"/>
  <c r="M527" i="4"/>
  <c r="M526" i="4"/>
  <c r="M525" i="4"/>
  <c r="M524" i="4"/>
  <c r="M523" i="4"/>
  <c r="M522" i="4"/>
  <c r="M521" i="4"/>
  <c r="M520" i="4"/>
  <c r="L558" i="4"/>
  <c r="M518" i="4"/>
  <c r="M517" i="4"/>
  <c r="M516" i="4"/>
  <c r="M515" i="4"/>
  <c r="M514" i="4"/>
  <c r="M513" i="4"/>
  <c r="M512" i="4"/>
  <c r="M511" i="4"/>
  <c r="M510" i="4"/>
  <c r="M509" i="4"/>
  <c r="M508" i="4"/>
  <c r="M507" i="4"/>
  <c r="M506" i="4"/>
  <c r="M505" i="4"/>
  <c r="M504" i="4"/>
  <c r="M503" i="4"/>
  <c r="M502" i="4"/>
  <c r="M501" i="4"/>
  <c r="M500" i="4"/>
  <c r="M499" i="4"/>
  <c r="M498" i="4"/>
  <c r="M559" i="4" l="1"/>
  <c r="N558" i="4"/>
  <c r="M623" i="4"/>
  <c r="M519" i="4"/>
  <c r="M534" i="4"/>
  <c r="L455" i="4"/>
  <c r="N434" i="4"/>
  <c r="N473" i="4"/>
  <c r="M445" i="4"/>
  <c r="O445" i="4" s="1"/>
  <c r="B509" i="4" s="1"/>
  <c r="O509" i="4" s="1"/>
  <c r="B574" i="4" s="1"/>
  <c r="O574" i="4" s="1"/>
  <c r="B639" i="4" s="1"/>
  <c r="O639" i="4" s="1"/>
  <c r="B702" i="4" s="1"/>
  <c r="O702" i="4" s="1"/>
  <c r="H470" i="4"/>
  <c r="M558" i="4" l="1"/>
  <c r="N402" i="4"/>
  <c r="L493" i="4"/>
  <c r="J493" i="4"/>
  <c r="H493" i="4"/>
  <c r="F493" i="4"/>
  <c r="E493" i="4"/>
  <c r="D493" i="4"/>
  <c r="M492" i="4"/>
  <c r="M491" i="4"/>
  <c r="M490" i="4"/>
  <c r="M489" i="4"/>
  <c r="M488" i="4"/>
  <c r="M487" i="4"/>
  <c r="M486" i="4"/>
  <c r="M485" i="4"/>
  <c r="M484" i="4"/>
  <c r="M483" i="4"/>
  <c r="M482" i="4"/>
  <c r="M481" i="4"/>
  <c r="M480" i="4"/>
  <c r="M479" i="4"/>
  <c r="G493" i="4"/>
  <c r="M478" i="4"/>
  <c r="M477" i="4"/>
  <c r="N493" i="4"/>
  <c r="M476" i="4"/>
  <c r="M475" i="4"/>
  <c r="M474" i="4"/>
  <c r="M473" i="4"/>
  <c r="M472" i="4"/>
  <c r="M471" i="4"/>
  <c r="M470" i="4"/>
  <c r="I493" i="4"/>
  <c r="M469" i="4"/>
  <c r="M468" i="4"/>
  <c r="M467" i="4"/>
  <c r="M466" i="4"/>
  <c r="M465" i="4"/>
  <c r="M464" i="4"/>
  <c r="M463" i="4"/>
  <c r="M462" i="4"/>
  <c r="M461" i="4"/>
  <c r="M460" i="4"/>
  <c r="M459" i="4"/>
  <c r="M458" i="4"/>
  <c r="M457" i="4"/>
  <c r="M456" i="4"/>
  <c r="M455" i="4"/>
  <c r="M454" i="4"/>
  <c r="K493" i="4"/>
  <c r="M452" i="4"/>
  <c r="M451" i="4"/>
  <c r="M450" i="4"/>
  <c r="M449" i="4"/>
  <c r="M448" i="4"/>
  <c r="M447" i="4"/>
  <c r="M446" i="4"/>
  <c r="M444" i="4"/>
  <c r="M443" i="4"/>
  <c r="M442" i="4"/>
  <c r="M441" i="4"/>
  <c r="M440" i="4"/>
  <c r="M439" i="4"/>
  <c r="M438" i="4"/>
  <c r="M437" i="4"/>
  <c r="M436" i="4"/>
  <c r="M435" i="4"/>
  <c r="M434" i="4"/>
  <c r="L401" i="4"/>
  <c r="N412" i="4"/>
  <c r="N406" i="4"/>
  <c r="E429" i="4"/>
  <c r="K389" i="4"/>
  <c r="I406" i="4"/>
  <c r="G415" i="4"/>
  <c r="G429" i="4" s="1"/>
  <c r="M453" i="4" l="1"/>
  <c r="N346" i="4"/>
  <c r="L429" i="4"/>
  <c r="K429" i="4"/>
  <c r="J429" i="4"/>
  <c r="I429" i="4"/>
  <c r="H429" i="4"/>
  <c r="F429" i="4"/>
  <c r="D429" i="4"/>
  <c r="M428" i="4"/>
  <c r="M427" i="4"/>
  <c r="M426" i="4"/>
  <c r="O426" i="4" s="1"/>
  <c r="B490" i="4" s="1"/>
  <c r="O490" i="4" s="1"/>
  <c r="B555" i="4" s="1"/>
  <c r="O555" i="4" s="1"/>
  <c r="B620" i="4" s="1"/>
  <c r="O620" i="4" s="1"/>
  <c r="B683" i="4" s="1"/>
  <c r="O683" i="4" s="1"/>
  <c r="B746" i="4" s="1"/>
  <c r="O746" i="4" s="1"/>
  <c r="M425" i="4"/>
  <c r="M424" i="4"/>
  <c r="M423" i="4"/>
  <c r="M422" i="4"/>
  <c r="M421" i="4"/>
  <c r="M420" i="4"/>
  <c r="M419" i="4"/>
  <c r="M418" i="4"/>
  <c r="M417" i="4"/>
  <c r="M416" i="4"/>
  <c r="M415" i="4"/>
  <c r="M414" i="4"/>
  <c r="M413" i="4"/>
  <c r="M412" i="4"/>
  <c r="M411" i="4"/>
  <c r="M410" i="4"/>
  <c r="M409" i="4"/>
  <c r="M408" i="4"/>
  <c r="M407" i="4"/>
  <c r="M406" i="4"/>
  <c r="M405" i="4"/>
  <c r="M404" i="4"/>
  <c r="M403" i="4"/>
  <c r="M402" i="4"/>
  <c r="M401" i="4"/>
  <c r="M400" i="4"/>
  <c r="M399" i="4"/>
  <c r="M398" i="4"/>
  <c r="M397" i="4"/>
  <c r="M396" i="4"/>
  <c r="M395" i="4"/>
  <c r="M394" i="4"/>
  <c r="M393" i="4"/>
  <c r="M392" i="4"/>
  <c r="M391" i="4"/>
  <c r="M390" i="4"/>
  <c r="N429" i="4"/>
  <c r="M389" i="4"/>
  <c r="M388" i="4"/>
  <c r="M387" i="4"/>
  <c r="M386" i="4"/>
  <c r="M385" i="4"/>
  <c r="M384" i="4"/>
  <c r="M383" i="4"/>
  <c r="M382" i="4"/>
  <c r="M381" i="4"/>
  <c r="M380" i="4"/>
  <c r="M379" i="4"/>
  <c r="M378" i="4"/>
  <c r="M377" i="4"/>
  <c r="M376" i="4"/>
  <c r="M375" i="4"/>
  <c r="M374" i="4"/>
  <c r="M373" i="4"/>
  <c r="M372" i="4"/>
  <c r="M371" i="4"/>
  <c r="N326" i="4"/>
  <c r="N336" i="4"/>
  <c r="N362" i="4"/>
  <c r="N366" i="4" s="1"/>
  <c r="M362" i="4"/>
  <c r="M363" i="4"/>
  <c r="O363" i="4" s="1"/>
  <c r="B426" i="4" s="1"/>
  <c r="N356" i="4"/>
  <c r="M360" i="4"/>
  <c r="O360" i="4" s="1"/>
  <c r="B423" i="4" s="1"/>
  <c r="M361" i="4"/>
  <c r="N276" i="4"/>
  <c r="L366" i="4"/>
  <c r="J366" i="4"/>
  <c r="I366" i="4"/>
  <c r="H366" i="4"/>
  <c r="G366" i="4"/>
  <c r="E366" i="4"/>
  <c r="M365" i="4"/>
  <c r="M364" i="4"/>
  <c r="M359" i="4"/>
  <c r="M358" i="4"/>
  <c r="M357" i="4"/>
  <c r="M356" i="4"/>
  <c r="M355" i="4"/>
  <c r="M354" i="4"/>
  <c r="M353" i="4"/>
  <c r="M352" i="4"/>
  <c r="M351" i="4"/>
  <c r="M350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K366" i="4"/>
  <c r="M329" i="4"/>
  <c r="M328" i="4"/>
  <c r="M327" i="4"/>
  <c r="D366" i="4"/>
  <c r="M325" i="4"/>
  <c r="M324" i="4"/>
  <c r="M323" i="4"/>
  <c r="M322" i="4"/>
  <c r="M321" i="4"/>
  <c r="M320" i="4"/>
  <c r="M319" i="4"/>
  <c r="M318" i="4"/>
  <c r="F366" i="4"/>
  <c r="M317" i="4"/>
  <c r="M316" i="4"/>
  <c r="M315" i="4"/>
  <c r="M314" i="4"/>
  <c r="M313" i="4"/>
  <c r="M312" i="4"/>
  <c r="M311" i="4"/>
  <c r="M310" i="4"/>
  <c r="M309" i="4"/>
  <c r="M308" i="4"/>
  <c r="N288" i="4"/>
  <c r="I303" i="4"/>
  <c r="K270" i="4"/>
  <c r="K303" i="4" s="1"/>
  <c r="N254" i="4"/>
  <c r="N272" i="4"/>
  <c r="N289" i="4"/>
  <c r="F258" i="4"/>
  <c r="F303" i="4" s="1"/>
  <c r="D266" i="4"/>
  <c r="D303" i="4" s="1"/>
  <c r="L303" i="4"/>
  <c r="J303" i="4"/>
  <c r="H303" i="4"/>
  <c r="E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G303" i="4"/>
  <c r="M282" i="4"/>
  <c r="M281" i="4"/>
  <c r="M280" i="4"/>
  <c r="M279" i="4"/>
  <c r="M278" i="4"/>
  <c r="M277" i="4"/>
  <c r="M275" i="4"/>
  <c r="M274" i="4"/>
  <c r="M273" i="4"/>
  <c r="M272" i="4"/>
  <c r="M271" i="4"/>
  <c r="M269" i="4"/>
  <c r="M268" i="4"/>
  <c r="M267" i="4"/>
  <c r="M265" i="4"/>
  <c r="M264" i="4"/>
  <c r="M263" i="4"/>
  <c r="M262" i="4"/>
  <c r="M261" i="4"/>
  <c r="M260" i="4"/>
  <c r="M259" i="4"/>
  <c r="M257" i="4"/>
  <c r="M256" i="4"/>
  <c r="M255" i="4"/>
  <c r="M254" i="4"/>
  <c r="M253" i="4"/>
  <c r="M252" i="4"/>
  <c r="M251" i="4"/>
  <c r="M250" i="4"/>
  <c r="M249" i="4"/>
  <c r="M248" i="4"/>
  <c r="N206" i="4"/>
  <c r="N243" i="4" s="1"/>
  <c r="K229" i="4"/>
  <c r="N226" i="4"/>
  <c r="M240" i="4"/>
  <c r="O240" i="4" s="1"/>
  <c r="B300" i="4" s="1"/>
  <c r="N229" i="4"/>
  <c r="G223" i="4"/>
  <c r="D216" i="4"/>
  <c r="D229" i="4"/>
  <c r="N156" i="4"/>
  <c r="N166" i="4"/>
  <c r="L243" i="4"/>
  <c r="K243" i="4"/>
  <c r="J243" i="4"/>
  <c r="I243" i="4"/>
  <c r="H243" i="4"/>
  <c r="G243" i="4"/>
  <c r="M242" i="4"/>
  <c r="M241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F243" i="4"/>
  <c r="E243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78" i="4"/>
  <c r="O178" i="4" s="1"/>
  <c r="B238" i="4" s="1"/>
  <c r="J166" i="4"/>
  <c r="N176" i="4"/>
  <c r="N146" i="4"/>
  <c r="N174" i="4"/>
  <c r="N169" i="4"/>
  <c r="O423" i="4" l="1"/>
  <c r="B487" i="4" s="1"/>
  <c r="O487" i="4" s="1"/>
  <c r="B552" i="4" s="1"/>
  <c r="O552" i="4" s="1"/>
  <c r="B617" i="4" s="1"/>
  <c r="O617" i="4" s="1"/>
  <c r="B680" i="4" s="1"/>
  <c r="O680" i="4" s="1"/>
  <c r="B743" i="4" s="1"/>
  <c r="O743" i="4" s="1"/>
  <c r="D243" i="4"/>
  <c r="M270" i="4"/>
  <c r="M258" i="4"/>
  <c r="M266" i="4"/>
  <c r="N303" i="4"/>
  <c r="M493" i="4"/>
  <c r="M429" i="4"/>
  <c r="O362" i="4"/>
  <c r="B425" i="4" s="1"/>
  <c r="O425" i="4" s="1"/>
  <c r="B489" i="4" s="1"/>
  <c r="O489" i="4" s="1"/>
  <c r="B554" i="4" s="1"/>
  <c r="O554" i="4" s="1"/>
  <c r="B619" i="4" s="1"/>
  <c r="O619" i="4" s="1"/>
  <c r="B682" i="4" s="1"/>
  <c r="O682" i="4" s="1"/>
  <c r="B745" i="4" s="1"/>
  <c r="O745" i="4" s="1"/>
  <c r="M326" i="4"/>
  <c r="O300" i="4"/>
  <c r="B361" i="4" s="1"/>
  <c r="O361" i="4" s="1"/>
  <c r="B424" i="4" s="1"/>
  <c r="O424" i="4" s="1"/>
  <c r="B488" i="4" s="1"/>
  <c r="O488" i="4" s="1"/>
  <c r="B553" i="4" s="1"/>
  <c r="O553" i="4" s="1"/>
  <c r="B618" i="4" s="1"/>
  <c r="O618" i="4" s="1"/>
  <c r="B681" i="4" s="1"/>
  <c r="O681" i="4" s="1"/>
  <c r="B744" i="4" s="1"/>
  <c r="O744" i="4" s="1"/>
  <c r="M276" i="4"/>
  <c r="M283" i="4"/>
  <c r="O238" i="4"/>
  <c r="B298" i="4" s="1"/>
  <c r="O298" i="4" s="1"/>
  <c r="B358" i="4" s="1"/>
  <c r="O358" i="4" s="1"/>
  <c r="B421" i="4" s="1"/>
  <c r="O421" i="4" s="1"/>
  <c r="B485" i="4" s="1"/>
  <c r="O485" i="4" s="1"/>
  <c r="B549" i="4" s="1"/>
  <c r="O549" i="4" s="1"/>
  <c r="B614" i="4" s="1"/>
  <c r="O614" i="4" s="1"/>
  <c r="B679" i="4" s="1"/>
  <c r="O679" i="4" s="1"/>
  <c r="B742" i="4" s="1"/>
  <c r="O742" i="4" s="1"/>
  <c r="M206" i="4"/>
  <c r="M243" i="4" s="1"/>
  <c r="N134" i="4"/>
  <c r="M179" i="4"/>
  <c r="O179" i="4" s="1"/>
  <c r="B239" i="4" s="1"/>
  <c r="O239" i="4" s="1"/>
  <c r="B299" i="4" s="1"/>
  <c r="O299" i="4" s="1"/>
  <c r="B359" i="4" s="1"/>
  <c r="O359" i="4" s="1"/>
  <c r="B422" i="4" s="1"/>
  <c r="O422" i="4" s="1"/>
  <c r="B486" i="4" s="1"/>
  <c r="O486" i="4" s="1"/>
  <c r="B550" i="4" s="1"/>
  <c r="O550" i="4" s="1"/>
  <c r="B615" i="4" s="1"/>
  <c r="O615" i="4" s="1"/>
  <c r="F146" i="4"/>
  <c r="E156" i="4"/>
  <c r="E146" i="4"/>
  <c r="M146" i="4" s="1"/>
  <c r="E165" i="4"/>
  <c r="M165" i="4" s="1"/>
  <c r="M181" i="4"/>
  <c r="M120" i="4"/>
  <c r="O120" i="4" s="1"/>
  <c r="B181" i="4" s="1"/>
  <c r="O181" i="4" s="1"/>
  <c r="B242" i="4" s="1"/>
  <c r="O242" i="4" s="1"/>
  <c r="B302" i="4" s="1"/>
  <c r="O302" i="4" s="1"/>
  <c r="B365" i="4" s="1"/>
  <c r="O365" i="4" s="1"/>
  <c r="B428" i="4" s="1"/>
  <c r="O428" i="4" s="1"/>
  <c r="B492" i="4" s="1"/>
  <c r="O492" i="4" s="1"/>
  <c r="B557" i="4" s="1"/>
  <c r="O557" i="4" s="1"/>
  <c r="B622" i="4" s="1"/>
  <c r="O622" i="4" s="1"/>
  <c r="B685" i="4" s="1"/>
  <c r="O685" i="4" s="1"/>
  <c r="B748" i="4" s="1"/>
  <c r="O748" i="4" s="1"/>
  <c r="L182" i="4"/>
  <c r="H182" i="4"/>
  <c r="G182" i="4"/>
  <c r="F182" i="4"/>
  <c r="E182" i="4"/>
  <c r="D182" i="4"/>
  <c r="M180" i="4"/>
  <c r="M177" i="4"/>
  <c r="M176" i="4"/>
  <c r="M175" i="4"/>
  <c r="M174" i="4"/>
  <c r="M173" i="4"/>
  <c r="M172" i="4"/>
  <c r="M171" i="4"/>
  <c r="M170" i="4"/>
  <c r="M169" i="4"/>
  <c r="M168" i="4"/>
  <c r="M167" i="4"/>
  <c r="K182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5" i="4"/>
  <c r="M144" i="4"/>
  <c r="M143" i="4"/>
  <c r="I18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J182" i="4"/>
  <c r="M129" i="4"/>
  <c r="M128" i="4"/>
  <c r="M366" i="4" l="1"/>
  <c r="M303" i="4"/>
  <c r="N182" i="4"/>
  <c r="M142" i="4"/>
  <c r="M166" i="4"/>
  <c r="K107" i="4"/>
  <c r="J71" i="4"/>
  <c r="J121" i="4" s="1"/>
  <c r="I83" i="4"/>
  <c r="N97" i="4"/>
  <c r="N121" i="4" s="1"/>
  <c r="M182" i="4" l="1"/>
  <c r="L121" i="4"/>
  <c r="K121" i="4"/>
  <c r="I121" i="4"/>
  <c r="H121" i="4"/>
  <c r="G121" i="4"/>
  <c r="F121" i="4"/>
  <c r="E121" i="4"/>
  <c r="D121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N35" i="4"/>
  <c r="N23" i="4"/>
  <c r="N45" i="4"/>
  <c r="N33" i="4"/>
  <c r="M63" i="4"/>
  <c r="L63" i="4"/>
  <c r="L56" i="4"/>
  <c r="J56" i="4"/>
  <c r="H56" i="4"/>
  <c r="G56" i="4"/>
  <c r="F56" i="4"/>
  <c r="E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I56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D56" i="4"/>
  <c r="M6" i="4"/>
  <c r="M5" i="4"/>
  <c r="M121" i="4" l="1"/>
  <c r="N56" i="4"/>
  <c r="M56" i="4"/>
  <c r="K56" i="4"/>
  <c r="K37" i="3" l="1"/>
  <c r="K43" i="3"/>
  <c r="K48" i="3"/>
  <c r="O79" i="3" l="1"/>
  <c r="O80" i="3" s="1"/>
  <c r="I25" i="3"/>
  <c r="N54" i="3"/>
  <c r="N73" i="3" s="1"/>
  <c r="D6" i="3" l="1"/>
  <c r="D73" i="3" s="1"/>
  <c r="D25" i="3"/>
  <c r="N80" i="3"/>
  <c r="M80" i="3"/>
  <c r="L73" i="3"/>
  <c r="K73" i="3"/>
  <c r="J73" i="3"/>
  <c r="I73" i="3"/>
  <c r="H73" i="3"/>
  <c r="G73" i="3"/>
  <c r="F73" i="3"/>
  <c r="E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5" i="3"/>
  <c r="M4" i="3"/>
  <c r="J860" i="2"/>
  <c r="M6" i="3" l="1"/>
  <c r="M73" i="3"/>
  <c r="N866" i="2"/>
  <c r="M867" i="2"/>
  <c r="N867" i="2" s="1"/>
  <c r="L867" i="2"/>
  <c r="M814" i="2"/>
  <c r="M825" i="2"/>
  <c r="M812" i="2"/>
  <c r="M860" i="2" s="1"/>
  <c r="M830" i="2"/>
  <c r="K860" i="2"/>
  <c r="I860" i="2"/>
  <c r="H860" i="2"/>
  <c r="G860" i="2"/>
  <c r="F860" i="2"/>
  <c r="E860" i="2"/>
  <c r="C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D860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M761" i="2"/>
  <c r="M752" i="2"/>
  <c r="M766" i="2"/>
  <c r="M748" i="2"/>
  <c r="M749" i="2"/>
  <c r="M751" i="2"/>
  <c r="M738" i="2"/>
  <c r="M786" i="2" s="1"/>
  <c r="D751" i="2"/>
  <c r="K786" i="2"/>
  <c r="J786" i="2"/>
  <c r="I786" i="2"/>
  <c r="H786" i="2"/>
  <c r="G786" i="2"/>
  <c r="F786" i="2"/>
  <c r="E786" i="2"/>
  <c r="D786" i="2"/>
  <c r="C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M664" i="2"/>
  <c r="M676" i="2"/>
  <c r="M666" i="2"/>
  <c r="M687" i="2"/>
  <c r="M663" i="2"/>
  <c r="M704" i="2"/>
  <c r="L643" i="2"/>
  <c r="K712" i="2"/>
  <c r="J712" i="2"/>
  <c r="I712" i="2"/>
  <c r="H712" i="2"/>
  <c r="G712" i="2"/>
  <c r="F712" i="2"/>
  <c r="E712" i="2"/>
  <c r="D712" i="2"/>
  <c r="C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M590" i="2"/>
  <c r="M592" i="2"/>
  <c r="M631" i="2"/>
  <c r="M613" i="2"/>
  <c r="M638" i="2" s="1"/>
  <c r="M632" i="2"/>
  <c r="K638" i="2"/>
  <c r="J638" i="2"/>
  <c r="I638" i="2"/>
  <c r="H638" i="2"/>
  <c r="G638" i="2"/>
  <c r="F638" i="2"/>
  <c r="E638" i="2"/>
  <c r="D638" i="2"/>
  <c r="C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M539" i="2"/>
  <c r="M531" i="2"/>
  <c r="M522" i="2"/>
  <c r="M516" i="2"/>
  <c r="M564" i="2" s="1"/>
  <c r="L512" i="2"/>
  <c r="N512" i="2" s="1"/>
  <c r="A586" i="2" s="1"/>
  <c r="K564" i="2"/>
  <c r="J564" i="2"/>
  <c r="I564" i="2"/>
  <c r="H564" i="2"/>
  <c r="G564" i="2"/>
  <c r="F564" i="2"/>
  <c r="E564" i="2"/>
  <c r="D564" i="2"/>
  <c r="C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N495" i="2"/>
  <c r="A569" i="2" s="1"/>
  <c r="N569" i="2" s="1"/>
  <c r="A643" i="2" s="1"/>
  <c r="M442" i="2"/>
  <c r="M460" i="2"/>
  <c r="M465" i="2"/>
  <c r="K490" i="2"/>
  <c r="J490" i="2"/>
  <c r="H490" i="2"/>
  <c r="G490" i="2"/>
  <c r="F490" i="2"/>
  <c r="E490" i="2"/>
  <c r="D490" i="2"/>
  <c r="C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I49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N422" i="2"/>
  <c r="M408" i="2"/>
  <c r="M392" i="2"/>
  <c r="L407" i="2"/>
  <c r="N407" i="2" s="1"/>
  <c r="A480" i="2" s="1"/>
  <c r="M351" i="2"/>
  <c r="M411" i="2"/>
  <c r="M364" i="2"/>
  <c r="I411" i="2"/>
  <c r="L411" i="2" s="1"/>
  <c r="I377" i="2"/>
  <c r="L379" i="2"/>
  <c r="N379" i="2" s="1"/>
  <c r="A452" i="2" s="1"/>
  <c r="K417" i="2"/>
  <c r="I417" i="2"/>
  <c r="H417" i="2"/>
  <c r="G417" i="2"/>
  <c r="F417" i="2"/>
  <c r="E417" i="2"/>
  <c r="D417" i="2"/>
  <c r="C417" i="2"/>
  <c r="L416" i="2"/>
  <c r="L415" i="2"/>
  <c r="L414" i="2"/>
  <c r="L413" i="2"/>
  <c r="L412" i="2"/>
  <c r="L410" i="2"/>
  <c r="L409" i="2"/>
  <c r="L408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8" i="2"/>
  <c r="L377" i="2"/>
  <c r="J41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N349" i="2"/>
  <c r="M315" i="2"/>
  <c r="L314" i="2"/>
  <c r="N314" i="2" s="1"/>
  <c r="A386" i="2" s="1"/>
  <c r="J306" i="2"/>
  <c r="M306" i="2"/>
  <c r="M344" i="2" s="1"/>
  <c r="M310" i="2"/>
  <c r="K344" i="2"/>
  <c r="J344" i="2"/>
  <c r="I344" i="2"/>
  <c r="H344" i="2"/>
  <c r="G344" i="2"/>
  <c r="F344" i="2"/>
  <c r="E344" i="2"/>
  <c r="D344" i="2"/>
  <c r="C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M238" i="2"/>
  <c r="M230" i="2"/>
  <c r="M223" i="2"/>
  <c r="L245" i="2"/>
  <c r="N245" i="2" s="1"/>
  <c r="A316" i="2" s="1"/>
  <c r="K273" i="2"/>
  <c r="J273" i="2"/>
  <c r="I273" i="2"/>
  <c r="H273" i="2"/>
  <c r="G273" i="2"/>
  <c r="F273" i="2"/>
  <c r="E273" i="2"/>
  <c r="D273" i="2"/>
  <c r="C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N208" i="2"/>
  <c r="A278" i="2" s="1"/>
  <c r="M145" i="2"/>
  <c r="M159" i="2"/>
  <c r="M165" i="2"/>
  <c r="M141" i="2"/>
  <c r="M177" i="2"/>
  <c r="L144" i="2"/>
  <c r="N144" i="2" s="1"/>
  <c r="A213" i="2" s="1"/>
  <c r="L157" i="2"/>
  <c r="N157" i="2" s="1"/>
  <c r="A226" i="2" s="1"/>
  <c r="K203" i="2"/>
  <c r="J203" i="2"/>
  <c r="I203" i="2"/>
  <c r="H203" i="2"/>
  <c r="G203" i="2"/>
  <c r="F203" i="2"/>
  <c r="E203" i="2"/>
  <c r="D203" i="2"/>
  <c r="C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3" i="2"/>
  <c r="L142" i="2"/>
  <c r="L141" i="2"/>
  <c r="L140" i="2"/>
  <c r="N139" i="2"/>
  <c r="M104" i="2"/>
  <c r="M110" i="2"/>
  <c r="A79" i="2"/>
  <c r="K134" i="2"/>
  <c r="J134" i="2"/>
  <c r="I134" i="2"/>
  <c r="H134" i="2"/>
  <c r="G134" i="2"/>
  <c r="F134" i="2"/>
  <c r="E134" i="2"/>
  <c r="D134" i="2"/>
  <c r="C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N72" i="2"/>
  <c r="M23" i="2"/>
  <c r="L12" i="2"/>
  <c r="N12" i="2" s="1"/>
  <c r="L15" i="2"/>
  <c r="N15" i="2" s="1"/>
  <c r="A82" i="2" s="1"/>
  <c r="L6" i="2"/>
  <c r="N6" i="2" s="1"/>
  <c r="A73" i="2" s="1"/>
  <c r="L49" i="2"/>
  <c r="N49" i="2" s="1"/>
  <c r="A116" i="2" s="1"/>
  <c r="A67" i="2"/>
  <c r="M417" i="2" l="1"/>
  <c r="M134" i="2"/>
  <c r="M273" i="2"/>
  <c r="N278" i="2"/>
  <c r="N386" i="2"/>
  <c r="A459" i="2" s="1"/>
  <c r="N459" i="2"/>
  <c r="A533" i="2" s="1"/>
  <c r="N480" i="2"/>
  <c r="A554" i="2" s="1"/>
  <c r="N554" i="2" s="1"/>
  <c r="A628" i="2" s="1"/>
  <c r="N628" i="2" s="1"/>
  <c r="A702" i="2" s="1"/>
  <c r="N702" i="2" s="1"/>
  <c r="A776" i="2" s="1"/>
  <c r="N776" i="2" s="1"/>
  <c r="A850" i="2" s="1"/>
  <c r="N850" i="2" s="1"/>
  <c r="B63" i="3" s="1"/>
  <c r="O63" i="3" s="1"/>
  <c r="M712" i="2"/>
  <c r="L825" i="2"/>
  <c r="L786" i="2"/>
  <c r="L712" i="2"/>
  <c r="N643" i="2"/>
  <c r="A717" i="2" s="1"/>
  <c r="N717" i="2" s="1"/>
  <c r="A791" i="2" s="1"/>
  <c r="N791" i="2" s="1"/>
  <c r="B4" i="3" s="1"/>
  <c r="O4" i="3" s="1"/>
  <c r="L638" i="2"/>
  <c r="N586" i="2"/>
  <c r="A660" i="2" s="1"/>
  <c r="N660" i="2" s="1"/>
  <c r="A734" i="2" s="1"/>
  <c r="N734" i="2" s="1"/>
  <c r="A808" i="2" s="1"/>
  <c r="N808" i="2" s="1"/>
  <c r="B21" i="3" s="1"/>
  <c r="O21" i="3" s="1"/>
  <c r="L564" i="2"/>
  <c r="N533" i="2"/>
  <c r="A607" i="2" s="1"/>
  <c r="N607" i="2" s="1"/>
  <c r="A681" i="2" s="1"/>
  <c r="N681" i="2" s="1"/>
  <c r="A755" i="2" s="1"/>
  <c r="N755" i="2" s="1"/>
  <c r="A829" i="2" s="1"/>
  <c r="N829" i="2" s="1"/>
  <c r="B42" i="3" s="1"/>
  <c r="O42" i="3" s="1"/>
  <c r="B39" i="4" s="1"/>
  <c r="O39" i="4" s="1"/>
  <c r="B103" i="4" s="1"/>
  <c r="O103" i="4" s="1"/>
  <c r="B162" i="4" s="1"/>
  <c r="O162" i="4" s="1"/>
  <c r="B222" i="4" s="1"/>
  <c r="O222" i="4" s="1"/>
  <c r="B282" i="4" s="1"/>
  <c r="O282" i="4" s="1"/>
  <c r="B342" i="4" s="1"/>
  <c r="O342" i="4" s="1"/>
  <c r="B405" i="4" s="1"/>
  <c r="O405" i="4" s="1"/>
  <c r="B469" i="4" s="1"/>
  <c r="O469" i="4" s="1"/>
  <c r="B533" i="4" s="1"/>
  <c r="O533" i="4" s="1"/>
  <c r="B598" i="4" s="1"/>
  <c r="O598" i="4" s="1"/>
  <c r="B663" i="4" s="1"/>
  <c r="O663" i="4" s="1"/>
  <c r="B726" i="4" s="1"/>
  <c r="O726" i="4" s="1"/>
  <c r="M490" i="2"/>
  <c r="N452" i="2"/>
  <c r="A526" i="2" s="1"/>
  <c r="N526" i="2" s="1"/>
  <c r="A600" i="2" s="1"/>
  <c r="N600" i="2" s="1"/>
  <c r="A674" i="2" s="1"/>
  <c r="N674" i="2" s="1"/>
  <c r="A748" i="2" s="1"/>
  <c r="N748" i="2" s="1"/>
  <c r="A822" i="2" s="1"/>
  <c r="N822" i="2" s="1"/>
  <c r="B35" i="3" s="1"/>
  <c r="O35" i="3" s="1"/>
  <c r="B32" i="4" s="1"/>
  <c r="O32" i="4" s="1"/>
  <c r="B96" i="4" s="1"/>
  <c r="O96" i="4" s="1"/>
  <c r="B155" i="4" s="1"/>
  <c r="O155" i="4" s="1"/>
  <c r="B215" i="4" s="1"/>
  <c r="O215" i="4" s="1"/>
  <c r="B275" i="4" s="1"/>
  <c r="O275" i="4" s="1"/>
  <c r="B335" i="4" s="1"/>
  <c r="O335" i="4" s="1"/>
  <c r="B398" i="4" s="1"/>
  <c r="O398" i="4" s="1"/>
  <c r="B462" i="4" s="1"/>
  <c r="O462" i="4" s="1"/>
  <c r="B526" i="4" s="1"/>
  <c r="O526" i="4" s="1"/>
  <c r="B591" i="4" s="1"/>
  <c r="O591" i="4" s="1"/>
  <c r="B656" i="4" s="1"/>
  <c r="O656" i="4" s="1"/>
  <c r="B719" i="4" s="1"/>
  <c r="O719" i="4" s="1"/>
  <c r="L450" i="2"/>
  <c r="L417" i="2"/>
  <c r="L344" i="2"/>
  <c r="N316" i="2"/>
  <c r="A388" i="2" s="1"/>
  <c r="N388" i="2" s="1"/>
  <c r="A461" i="2" s="1"/>
  <c r="N461" i="2" s="1"/>
  <c r="A535" i="2" s="1"/>
  <c r="N535" i="2" s="1"/>
  <c r="A609" i="2" s="1"/>
  <c r="N609" i="2" s="1"/>
  <c r="A683" i="2" s="1"/>
  <c r="N683" i="2" s="1"/>
  <c r="A757" i="2" s="1"/>
  <c r="N757" i="2" s="1"/>
  <c r="A831" i="2" s="1"/>
  <c r="N831" i="2" s="1"/>
  <c r="B44" i="3" s="1"/>
  <c r="O44" i="3" s="1"/>
  <c r="B41" i="4" s="1"/>
  <c r="O41" i="4" s="1"/>
  <c r="B105" i="4" s="1"/>
  <c r="O105" i="4" s="1"/>
  <c r="B164" i="4" s="1"/>
  <c r="O164" i="4" s="1"/>
  <c r="B224" i="4" s="1"/>
  <c r="O224" i="4" s="1"/>
  <c r="B284" i="4" s="1"/>
  <c r="O284" i="4" s="1"/>
  <c r="B344" i="4" s="1"/>
  <c r="O344" i="4" s="1"/>
  <c r="B407" i="4" s="1"/>
  <c r="O407" i="4" s="1"/>
  <c r="B471" i="4" s="1"/>
  <c r="O471" i="4" s="1"/>
  <c r="B535" i="4" s="1"/>
  <c r="O535" i="4" s="1"/>
  <c r="B600" i="4" s="1"/>
  <c r="O600" i="4" s="1"/>
  <c r="B665" i="4" s="1"/>
  <c r="O665" i="4" s="1"/>
  <c r="B728" i="4" s="1"/>
  <c r="O728" i="4" s="1"/>
  <c r="N283" i="2"/>
  <c r="A354" i="2" s="1"/>
  <c r="N354" i="2" s="1"/>
  <c r="A427" i="2" s="1"/>
  <c r="N427" i="2" s="1"/>
  <c r="A500" i="2" s="1"/>
  <c r="N500" i="2" s="1"/>
  <c r="A574" i="2" s="1"/>
  <c r="N574" i="2" s="1"/>
  <c r="A648" i="2" s="1"/>
  <c r="N648" i="2" s="1"/>
  <c r="A722" i="2" s="1"/>
  <c r="N722" i="2" s="1"/>
  <c r="A796" i="2" s="1"/>
  <c r="N796" i="2" s="1"/>
  <c r="B9" i="3" s="1"/>
  <c r="O9" i="3" s="1"/>
  <c r="B10" i="4" s="1"/>
  <c r="O10" i="4" s="1"/>
  <c r="B74" i="4" s="1"/>
  <c r="O74" i="4" s="1"/>
  <c r="B133" i="4" s="1"/>
  <c r="O133" i="4" s="1"/>
  <c r="B193" i="4" s="1"/>
  <c r="O193" i="4" s="1"/>
  <c r="B253" i="4" s="1"/>
  <c r="O253" i="4" s="1"/>
  <c r="B313" i="4" s="1"/>
  <c r="O313" i="4" s="1"/>
  <c r="B376" i="4" s="1"/>
  <c r="O376" i="4" s="1"/>
  <c r="B439" i="4" s="1"/>
  <c r="O439" i="4" s="1"/>
  <c r="B503" i="4" s="1"/>
  <c r="O503" i="4" s="1"/>
  <c r="B568" i="4" s="1"/>
  <c r="O568" i="4" s="1"/>
  <c r="B633" i="4" s="1"/>
  <c r="O633" i="4" s="1"/>
  <c r="B696" i="4" s="1"/>
  <c r="O696" i="4" s="1"/>
  <c r="N213" i="2"/>
  <c r="A283" i="2" s="1"/>
  <c r="N82" i="2"/>
  <c r="A150" i="2" s="1"/>
  <c r="N150" i="2" s="1"/>
  <c r="A219" i="2" s="1"/>
  <c r="N219" i="2" s="1"/>
  <c r="A289" i="2" s="1"/>
  <c r="N289" i="2" s="1"/>
  <c r="A360" i="2" s="1"/>
  <c r="N360" i="2" s="1"/>
  <c r="A433" i="2" s="1"/>
  <c r="N433" i="2" s="1"/>
  <c r="A506" i="2" s="1"/>
  <c r="N506" i="2" s="1"/>
  <c r="A580" i="2" s="1"/>
  <c r="N580" i="2" s="1"/>
  <c r="A654" i="2" s="1"/>
  <c r="N654" i="2" s="1"/>
  <c r="A728" i="2" s="1"/>
  <c r="N728" i="2" s="1"/>
  <c r="A802" i="2" s="1"/>
  <c r="N802" i="2" s="1"/>
  <c r="B15" i="3" s="1"/>
  <c r="O15" i="3" s="1"/>
  <c r="B16" i="4" s="1"/>
  <c r="O16" i="4" s="1"/>
  <c r="B80" i="4" s="1"/>
  <c r="O80" i="4" s="1"/>
  <c r="B139" i="4" s="1"/>
  <c r="O139" i="4" s="1"/>
  <c r="B199" i="4" s="1"/>
  <c r="O199" i="4" s="1"/>
  <c r="B259" i="4" s="1"/>
  <c r="O259" i="4" s="1"/>
  <c r="B319" i="4" s="1"/>
  <c r="O319" i="4" s="1"/>
  <c r="B382" i="4" s="1"/>
  <c r="O382" i="4" s="1"/>
  <c r="B446" i="4" s="1"/>
  <c r="O446" i="4" s="1"/>
  <c r="B510" i="4" s="1"/>
  <c r="O510" i="4" s="1"/>
  <c r="B575" i="4" s="1"/>
  <c r="O575" i="4" s="1"/>
  <c r="B640" i="4" s="1"/>
  <c r="O640" i="4" s="1"/>
  <c r="B703" i="4" s="1"/>
  <c r="O703" i="4" s="1"/>
  <c r="M203" i="2"/>
  <c r="N79" i="2"/>
  <c r="A147" i="2" s="1"/>
  <c r="N147" i="2" s="1"/>
  <c r="A216" i="2" s="1"/>
  <c r="N216" i="2" s="1"/>
  <c r="A286" i="2" s="1"/>
  <c r="N286" i="2" s="1"/>
  <c r="A357" i="2" s="1"/>
  <c r="N357" i="2" s="1"/>
  <c r="A430" i="2" s="1"/>
  <c r="N430" i="2" s="1"/>
  <c r="A503" i="2" s="1"/>
  <c r="N503" i="2" s="1"/>
  <c r="A577" i="2" s="1"/>
  <c r="N577" i="2" s="1"/>
  <c r="A651" i="2" s="1"/>
  <c r="N651" i="2" s="1"/>
  <c r="A725" i="2" s="1"/>
  <c r="N725" i="2" s="1"/>
  <c r="A799" i="2" s="1"/>
  <c r="N799" i="2" s="1"/>
  <c r="B12" i="3" s="1"/>
  <c r="O12" i="3" s="1"/>
  <c r="B13" i="4" s="1"/>
  <c r="O13" i="4" s="1"/>
  <c r="B77" i="4" s="1"/>
  <c r="O77" i="4" s="1"/>
  <c r="B136" i="4" s="1"/>
  <c r="O136" i="4" s="1"/>
  <c r="B196" i="4" s="1"/>
  <c r="O196" i="4" s="1"/>
  <c r="B256" i="4" s="1"/>
  <c r="O256" i="4" s="1"/>
  <c r="B316" i="4" s="1"/>
  <c r="O316" i="4" s="1"/>
  <c r="B379" i="4" s="1"/>
  <c r="O379" i="4" s="1"/>
  <c r="B442" i="4" s="1"/>
  <c r="O442" i="4" s="1"/>
  <c r="B506" i="4" s="1"/>
  <c r="O506" i="4" s="1"/>
  <c r="B571" i="4" s="1"/>
  <c r="O571" i="4" s="1"/>
  <c r="B636" i="4" s="1"/>
  <c r="O636" i="4" s="1"/>
  <c r="B699" i="4" s="1"/>
  <c r="O699" i="4" s="1"/>
  <c r="L273" i="2"/>
  <c r="N226" i="2"/>
  <c r="A296" i="2" s="1"/>
  <c r="N296" i="2" s="1"/>
  <c r="A367" i="2" s="1"/>
  <c r="N367" i="2" s="1"/>
  <c r="A440" i="2" s="1"/>
  <c r="N440" i="2" s="1"/>
  <c r="A514" i="2" s="1"/>
  <c r="N514" i="2" s="1"/>
  <c r="A588" i="2" s="1"/>
  <c r="N588" i="2" s="1"/>
  <c r="A662" i="2" s="1"/>
  <c r="N662" i="2" s="1"/>
  <c r="A736" i="2" s="1"/>
  <c r="N736" i="2" s="1"/>
  <c r="A810" i="2" s="1"/>
  <c r="N810" i="2" s="1"/>
  <c r="B23" i="3" s="1"/>
  <c r="O23" i="3" s="1"/>
  <c r="L203" i="2"/>
  <c r="N116" i="2"/>
  <c r="A185" i="2" s="1"/>
  <c r="N185" i="2" s="1"/>
  <c r="A255" i="2" s="1"/>
  <c r="N255" i="2" s="1"/>
  <c r="A326" i="2" s="1"/>
  <c r="N326" i="2" s="1"/>
  <c r="A398" i="2" s="1"/>
  <c r="N398" i="2" s="1"/>
  <c r="A471" i="2" s="1"/>
  <c r="N471" i="2" s="1"/>
  <c r="A545" i="2" s="1"/>
  <c r="N545" i="2" s="1"/>
  <c r="A619" i="2" s="1"/>
  <c r="N619" i="2" s="1"/>
  <c r="A693" i="2" s="1"/>
  <c r="N693" i="2" s="1"/>
  <c r="A767" i="2" s="1"/>
  <c r="N767" i="2" s="1"/>
  <c r="A841" i="2" s="1"/>
  <c r="N841" i="2" s="1"/>
  <c r="B54" i="3" s="1"/>
  <c r="O54" i="3" s="1"/>
  <c r="L134" i="2"/>
  <c r="N73" i="2"/>
  <c r="A140" i="2" s="1"/>
  <c r="M67" i="2"/>
  <c r="B5" i="4" l="1"/>
  <c r="O5" i="4" s="1"/>
  <c r="L860" i="2"/>
  <c r="L490" i="2"/>
  <c r="N140" i="2"/>
  <c r="A209" i="2" s="1"/>
  <c r="N209" i="2" s="1"/>
  <c r="A279" i="2" s="1"/>
  <c r="L38" i="2"/>
  <c r="N38" i="2" s="1"/>
  <c r="A105" i="2" s="1"/>
  <c r="N105" i="2" s="1"/>
  <c r="A174" i="2" s="1"/>
  <c r="N174" i="2" s="1"/>
  <c r="A243" i="2" s="1"/>
  <c r="N243" i="2" s="1"/>
  <c r="A313" i="2" s="1"/>
  <c r="N313" i="2" s="1"/>
  <c r="A385" i="2" s="1"/>
  <c r="N385" i="2" s="1"/>
  <c r="A458" i="2" s="1"/>
  <c r="N458" i="2" s="1"/>
  <c r="A532" i="2" s="1"/>
  <c r="N532" i="2" s="1"/>
  <c r="A606" i="2" s="1"/>
  <c r="N606" i="2" s="1"/>
  <c r="A680" i="2" s="1"/>
  <c r="N680" i="2" s="1"/>
  <c r="A754" i="2" s="1"/>
  <c r="N754" i="2" s="1"/>
  <c r="A828" i="2" s="1"/>
  <c r="N828" i="2" s="1"/>
  <c r="B41" i="3" s="1"/>
  <c r="O41" i="3" s="1"/>
  <c r="B38" i="4" s="1"/>
  <c r="O38" i="4" s="1"/>
  <c r="B102" i="4" s="1"/>
  <c r="O102" i="4" s="1"/>
  <c r="B161" i="4" s="1"/>
  <c r="O161" i="4" s="1"/>
  <c r="B221" i="4" s="1"/>
  <c r="O221" i="4" s="1"/>
  <c r="B281" i="4" s="1"/>
  <c r="O281" i="4" s="1"/>
  <c r="B341" i="4" s="1"/>
  <c r="O341" i="4" s="1"/>
  <c r="B404" i="4" s="1"/>
  <c r="O404" i="4" s="1"/>
  <c r="B468" i="4" s="1"/>
  <c r="O468" i="4" s="1"/>
  <c r="B532" i="4" s="1"/>
  <c r="O532" i="4" s="1"/>
  <c r="B597" i="4" s="1"/>
  <c r="O597" i="4" s="1"/>
  <c r="B662" i="4" s="1"/>
  <c r="O662" i="4" s="1"/>
  <c r="B725" i="4" s="1"/>
  <c r="O725" i="4" s="1"/>
  <c r="L66" i="2"/>
  <c r="N66" i="2" s="1"/>
  <c r="A133" i="2" s="1"/>
  <c r="N133" i="2" s="1"/>
  <c r="A202" i="2" s="1"/>
  <c r="N202" i="2" s="1"/>
  <c r="A272" i="2" s="1"/>
  <c r="N272" i="2" s="1"/>
  <c r="A343" i="2" s="1"/>
  <c r="N343" i="2" s="1"/>
  <c r="A416" i="2" s="1"/>
  <c r="N416" i="2" s="1"/>
  <c r="A489" i="2" s="1"/>
  <c r="N489" i="2" s="1"/>
  <c r="A563" i="2" s="1"/>
  <c r="N563" i="2" s="1"/>
  <c r="A637" i="2" s="1"/>
  <c r="N637" i="2" s="1"/>
  <c r="A711" i="2" s="1"/>
  <c r="N711" i="2" s="1"/>
  <c r="A785" i="2" s="1"/>
  <c r="N785" i="2" s="1"/>
  <c r="A859" i="2" s="1"/>
  <c r="N859" i="2" s="1"/>
  <c r="B72" i="3" s="1"/>
  <c r="O72" i="3" s="1"/>
  <c r="L65" i="2"/>
  <c r="N65" i="2" s="1"/>
  <c r="A132" i="2" s="1"/>
  <c r="N132" i="2" s="1"/>
  <c r="A201" i="2" s="1"/>
  <c r="N201" i="2" s="1"/>
  <c r="A271" i="2" s="1"/>
  <c r="N271" i="2" s="1"/>
  <c r="A342" i="2" s="1"/>
  <c r="N342" i="2" s="1"/>
  <c r="A415" i="2" s="1"/>
  <c r="N415" i="2" s="1"/>
  <c r="A488" i="2" s="1"/>
  <c r="N488" i="2" s="1"/>
  <c r="A562" i="2" s="1"/>
  <c r="N562" i="2" s="1"/>
  <c r="A636" i="2" s="1"/>
  <c r="N636" i="2" s="1"/>
  <c r="A710" i="2" s="1"/>
  <c r="N710" i="2" s="1"/>
  <c r="A784" i="2" s="1"/>
  <c r="N784" i="2" s="1"/>
  <c r="A858" i="2" s="1"/>
  <c r="N858" i="2" s="1"/>
  <c r="B71" i="3" s="1"/>
  <c r="O71" i="3" s="1"/>
  <c r="L64" i="2"/>
  <c r="N64" i="2" s="1"/>
  <c r="A131" i="2" s="1"/>
  <c r="N131" i="2" s="1"/>
  <c r="A200" i="2" s="1"/>
  <c r="N200" i="2" s="1"/>
  <c r="A270" i="2" s="1"/>
  <c r="N270" i="2" s="1"/>
  <c r="A341" i="2" s="1"/>
  <c r="N341" i="2" s="1"/>
  <c r="A414" i="2" s="1"/>
  <c r="N414" i="2" s="1"/>
  <c r="A487" i="2" s="1"/>
  <c r="N487" i="2" s="1"/>
  <c r="A561" i="2" s="1"/>
  <c r="N561" i="2" s="1"/>
  <c r="A635" i="2" s="1"/>
  <c r="N635" i="2" s="1"/>
  <c r="A709" i="2" s="1"/>
  <c r="N709" i="2" s="1"/>
  <c r="A783" i="2" s="1"/>
  <c r="N783" i="2" s="1"/>
  <c r="A857" i="2" s="1"/>
  <c r="N857" i="2" s="1"/>
  <c r="B70" i="3" s="1"/>
  <c r="O70" i="3" s="1"/>
  <c r="B55" i="4" s="1"/>
  <c r="O55" i="4" s="1"/>
  <c r="B119" i="4" s="1"/>
  <c r="O119" i="4" s="1"/>
  <c r="B180" i="4" s="1"/>
  <c r="O180" i="4" s="1"/>
  <c r="B241" i="4" s="1"/>
  <c r="O241" i="4" s="1"/>
  <c r="B301" i="4" s="1"/>
  <c r="O301" i="4" s="1"/>
  <c r="B364" i="4" s="1"/>
  <c r="O364" i="4" s="1"/>
  <c r="B427" i="4" s="1"/>
  <c r="O427" i="4" s="1"/>
  <c r="B491" i="4" s="1"/>
  <c r="O491" i="4" s="1"/>
  <c r="B556" i="4" s="1"/>
  <c r="O556" i="4" s="1"/>
  <c r="B621" i="4" s="1"/>
  <c r="O621" i="4" s="1"/>
  <c r="B684" i="4" s="1"/>
  <c r="O684" i="4" s="1"/>
  <c r="B747" i="4" s="1"/>
  <c r="O747" i="4" s="1"/>
  <c r="L63" i="2"/>
  <c r="N63" i="2" s="1"/>
  <c r="A130" i="2" s="1"/>
  <c r="N130" i="2" s="1"/>
  <c r="A199" i="2" s="1"/>
  <c r="N199" i="2" s="1"/>
  <c r="A269" i="2" s="1"/>
  <c r="N269" i="2" s="1"/>
  <c r="A340" i="2" s="1"/>
  <c r="N340" i="2" s="1"/>
  <c r="A413" i="2" s="1"/>
  <c r="N413" i="2" s="1"/>
  <c r="A486" i="2" s="1"/>
  <c r="N486" i="2" s="1"/>
  <c r="A560" i="2" s="1"/>
  <c r="N560" i="2" s="1"/>
  <c r="A634" i="2" s="1"/>
  <c r="N634" i="2" s="1"/>
  <c r="A708" i="2" s="1"/>
  <c r="N708" i="2" s="1"/>
  <c r="A782" i="2" s="1"/>
  <c r="N782" i="2" s="1"/>
  <c r="A856" i="2" s="1"/>
  <c r="N856" i="2" s="1"/>
  <c r="B69" i="3" s="1"/>
  <c r="O69" i="3" s="1"/>
  <c r="B54" i="4" s="1"/>
  <c r="O54" i="4" s="1"/>
  <c r="B118" i="4" s="1"/>
  <c r="O118" i="4" s="1"/>
  <c r="B177" i="4" s="1"/>
  <c r="O177" i="4" s="1"/>
  <c r="B237" i="4" s="1"/>
  <c r="O237" i="4" s="1"/>
  <c r="B297" i="4" s="1"/>
  <c r="O297" i="4" s="1"/>
  <c r="B357" i="4" s="1"/>
  <c r="O357" i="4" s="1"/>
  <c r="B420" i="4" s="1"/>
  <c r="O420" i="4" s="1"/>
  <c r="B484" i="4" s="1"/>
  <c r="O484" i="4" s="1"/>
  <c r="B548" i="4" s="1"/>
  <c r="O548" i="4" s="1"/>
  <c r="B613" i="4" s="1"/>
  <c r="O613" i="4" s="1"/>
  <c r="B678" i="4" s="1"/>
  <c r="O678" i="4" s="1"/>
  <c r="B741" i="4" s="1"/>
  <c r="O741" i="4" s="1"/>
  <c r="L62" i="2"/>
  <c r="B69" i="4" l="1"/>
  <c r="O69" i="4" s="1"/>
  <c r="N279" i="2"/>
  <c r="K67" i="2"/>
  <c r="B128" i="4" l="1"/>
  <c r="O128" i="4" s="1"/>
  <c r="A350" i="2"/>
  <c r="N350" i="2" s="1"/>
  <c r="I67" i="2"/>
  <c r="H67" i="2"/>
  <c r="G67" i="2"/>
  <c r="F67" i="2"/>
  <c r="E67" i="2"/>
  <c r="D67" i="2"/>
  <c r="C67" i="2"/>
  <c r="J67" i="2"/>
  <c r="B188" i="4" l="1"/>
  <c r="O188" i="4" s="1"/>
  <c r="A423" i="2"/>
  <c r="N62" i="2"/>
  <c r="A129" i="2" s="1"/>
  <c r="N129" i="2" s="1"/>
  <c r="A198" i="2" s="1"/>
  <c r="N198" i="2" s="1"/>
  <c r="A268" i="2" s="1"/>
  <c r="N268" i="2" s="1"/>
  <c r="A339" i="2" s="1"/>
  <c r="N339" i="2" s="1"/>
  <c r="A412" i="2" s="1"/>
  <c r="N412" i="2" s="1"/>
  <c r="A485" i="2" s="1"/>
  <c r="N485" i="2" s="1"/>
  <c r="A559" i="2" s="1"/>
  <c r="N559" i="2" s="1"/>
  <c r="A633" i="2" s="1"/>
  <c r="N633" i="2" s="1"/>
  <c r="A707" i="2" s="1"/>
  <c r="N707" i="2" s="1"/>
  <c r="A781" i="2" s="1"/>
  <c r="N781" i="2" s="1"/>
  <c r="A855" i="2" s="1"/>
  <c r="N855" i="2" s="1"/>
  <c r="B68" i="3" s="1"/>
  <c r="O68" i="3" s="1"/>
  <c r="B53" i="4" s="1"/>
  <c r="O53" i="4" s="1"/>
  <c r="B117" i="4" s="1"/>
  <c r="O117" i="4" s="1"/>
  <c r="B176" i="4" s="1"/>
  <c r="O176" i="4" s="1"/>
  <c r="B236" i="4" s="1"/>
  <c r="O236" i="4" s="1"/>
  <c r="B296" i="4" s="1"/>
  <c r="O296" i="4" s="1"/>
  <c r="B356" i="4" s="1"/>
  <c r="O356" i="4" s="1"/>
  <c r="B419" i="4" s="1"/>
  <c r="O419" i="4" s="1"/>
  <c r="B483" i="4" s="1"/>
  <c r="O483" i="4" s="1"/>
  <c r="B547" i="4" s="1"/>
  <c r="O547" i="4" s="1"/>
  <c r="B612" i="4" s="1"/>
  <c r="O612" i="4" s="1"/>
  <c r="B677" i="4" s="1"/>
  <c r="O677" i="4" s="1"/>
  <c r="B740" i="4" s="1"/>
  <c r="O740" i="4" s="1"/>
  <c r="L61" i="2"/>
  <c r="L60" i="2"/>
  <c r="L59" i="2"/>
  <c r="L58" i="2"/>
  <c r="L57" i="2"/>
  <c r="L56" i="2"/>
  <c r="L55" i="2"/>
  <c r="L54" i="2"/>
  <c r="L53" i="2"/>
  <c r="L52" i="2"/>
  <c r="L51" i="2"/>
  <c r="L50" i="2"/>
  <c r="L48" i="2"/>
  <c r="L47" i="2"/>
  <c r="L46" i="2"/>
  <c r="L45" i="2"/>
  <c r="L44" i="2"/>
  <c r="L43" i="2"/>
  <c r="L42" i="2"/>
  <c r="L41" i="2"/>
  <c r="L40" i="2"/>
  <c r="L39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4" i="2"/>
  <c r="N14" i="2" s="1"/>
  <c r="A81" i="2" s="1"/>
  <c r="N81" i="2" s="1"/>
  <c r="A149" i="2" s="1"/>
  <c r="N149" i="2" s="1"/>
  <c r="A218" i="2" s="1"/>
  <c r="N218" i="2" s="1"/>
  <c r="A288" i="2" s="1"/>
  <c r="N288" i="2" s="1"/>
  <c r="A359" i="2" s="1"/>
  <c r="N359" i="2" s="1"/>
  <c r="A432" i="2" s="1"/>
  <c r="N432" i="2" s="1"/>
  <c r="A505" i="2" s="1"/>
  <c r="N505" i="2" s="1"/>
  <c r="A579" i="2" s="1"/>
  <c r="N579" i="2" s="1"/>
  <c r="A653" i="2" s="1"/>
  <c r="N653" i="2" s="1"/>
  <c r="A727" i="2" s="1"/>
  <c r="N727" i="2" s="1"/>
  <c r="A801" i="2" s="1"/>
  <c r="N801" i="2" s="1"/>
  <c r="B14" i="3" s="1"/>
  <c r="O14" i="3" s="1"/>
  <c r="B15" i="4" s="1"/>
  <c r="O15" i="4" s="1"/>
  <c r="B79" i="4" s="1"/>
  <c r="O79" i="4" s="1"/>
  <c r="B138" i="4" s="1"/>
  <c r="O138" i="4" s="1"/>
  <c r="B198" i="4" s="1"/>
  <c r="O198" i="4" s="1"/>
  <c r="B258" i="4" s="1"/>
  <c r="O258" i="4" s="1"/>
  <c r="B318" i="4" s="1"/>
  <c r="O318" i="4" s="1"/>
  <c r="B381" i="4" s="1"/>
  <c r="O381" i="4" s="1"/>
  <c r="B444" i="4" s="1"/>
  <c r="O444" i="4" s="1"/>
  <c r="B508" i="4" s="1"/>
  <c r="O508" i="4" s="1"/>
  <c r="B573" i="4" s="1"/>
  <c r="O573" i="4" s="1"/>
  <c r="B638" i="4" s="1"/>
  <c r="O638" i="4" s="1"/>
  <c r="B701" i="4" s="1"/>
  <c r="O701" i="4" s="1"/>
  <c r="L13" i="2"/>
  <c r="N13" i="2" s="1"/>
  <c r="A80" i="2" s="1"/>
  <c r="N80" i="2" s="1"/>
  <c r="A148" i="2" s="1"/>
  <c r="N148" i="2" s="1"/>
  <c r="A217" i="2" s="1"/>
  <c r="N217" i="2" s="1"/>
  <c r="A287" i="2" s="1"/>
  <c r="N287" i="2" s="1"/>
  <c r="A358" i="2" s="1"/>
  <c r="N358" i="2" s="1"/>
  <c r="A431" i="2" s="1"/>
  <c r="N431" i="2" s="1"/>
  <c r="A504" i="2" s="1"/>
  <c r="N504" i="2" s="1"/>
  <c r="A578" i="2" s="1"/>
  <c r="N578" i="2" s="1"/>
  <c r="A652" i="2" s="1"/>
  <c r="N652" i="2" s="1"/>
  <c r="A726" i="2" s="1"/>
  <c r="N726" i="2" s="1"/>
  <c r="A800" i="2" s="1"/>
  <c r="N800" i="2" s="1"/>
  <c r="B13" i="3" s="1"/>
  <c r="O13" i="3" s="1"/>
  <c r="B14" i="4" s="1"/>
  <c r="O14" i="4" s="1"/>
  <c r="B78" i="4" s="1"/>
  <c r="O78" i="4" s="1"/>
  <c r="B137" i="4" s="1"/>
  <c r="O137" i="4" s="1"/>
  <c r="B197" i="4" s="1"/>
  <c r="O197" i="4" s="1"/>
  <c r="B257" i="4" s="1"/>
  <c r="O257" i="4" s="1"/>
  <c r="B317" i="4" s="1"/>
  <c r="O317" i="4" s="1"/>
  <c r="B380" i="4" s="1"/>
  <c r="O380" i="4" s="1"/>
  <c r="B443" i="4" s="1"/>
  <c r="O443" i="4" s="1"/>
  <c r="B507" i="4" s="1"/>
  <c r="O507" i="4" s="1"/>
  <c r="B572" i="4" s="1"/>
  <c r="O572" i="4" s="1"/>
  <c r="B637" i="4" s="1"/>
  <c r="O637" i="4" s="1"/>
  <c r="B700" i="4" s="1"/>
  <c r="O700" i="4" s="1"/>
  <c r="L11" i="2"/>
  <c r="L10" i="2"/>
  <c r="L9" i="2"/>
  <c r="L8" i="2"/>
  <c r="L7" i="2"/>
  <c r="B248" i="4" l="1"/>
  <c r="O248" i="4" s="1"/>
  <c r="N423" i="2"/>
  <c r="L67" i="2"/>
  <c r="N61" i="2"/>
  <c r="A128" i="2" s="1"/>
  <c r="N128" i="2" s="1"/>
  <c r="A197" i="2" s="1"/>
  <c r="N197" i="2" s="1"/>
  <c r="A267" i="2" s="1"/>
  <c r="N267" i="2" s="1"/>
  <c r="A338" i="2" s="1"/>
  <c r="N338" i="2" s="1"/>
  <c r="A411" i="2" s="1"/>
  <c r="N411" i="2" s="1"/>
  <c r="A484" i="2" s="1"/>
  <c r="N484" i="2" s="1"/>
  <c r="A558" i="2" s="1"/>
  <c r="N558" i="2" s="1"/>
  <c r="A632" i="2" s="1"/>
  <c r="N632" i="2" s="1"/>
  <c r="A706" i="2" s="1"/>
  <c r="N706" i="2" s="1"/>
  <c r="A780" i="2" s="1"/>
  <c r="N780" i="2" s="1"/>
  <c r="A854" i="2" s="1"/>
  <c r="N854" i="2" s="1"/>
  <c r="B67" i="3" s="1"/>
  <c r="O67" i="3" s="1"/>
  <c r="B52" i="4" s="1"/>
  <c r="O52" i="4" s="1"/>
  <c r="B116" i="4" s="1"/>
  <c r="O116" i="4" s="1"/>
  <c r="B175" i="4" s="1"/>
  <c r="O175" i="4" s="1"/>
  <c r="B235" i="4" s="1"/>
  <c r="O235" i="4" s="1"/>
  <c r="B295" i="4" s="1"/>
  <c r="O295" i="4" s="1"/>
  <c r="B355" i="4" s="1"/>
  <c r="O355" i="4" s="1"/>
  <c r="B418" i="4" s="1"/>
  <c r="O418" i="4" s="1"/>
  <c r="B482" i="4" s="1"/>
  <c r="O482" i="4" s="1"/>
  <c r="B546" i="4" s="1"/>
  <c r="O546" i="4" s="1"/>
  <c r="B611" i="4" s="1"/>
  <c r="O611" i="4" s="1"/>
  <c r="B676" i="4" s="1"/>
  <c r="O676" i="4" s="1"/>
  <c r="B739" i="4" s="1"/>
  <c r="O739" i="4" s="1"/>
  <c r="B308" i="4" l="1"/>
  <c r="O308" i="4" s="1"/>
  <c r="A496" i="2"/>
  <c r="N60" i="2"/>
  <c r="A127" i="2" s="1"/>
  <c r="N127" i="2" s="1"/>
  <c r="A196" i="2" s="1"/>
  <c r="N196" i="2" s="1"/>
  <c r="A266" i="2" s="1"/>
  <c r="N266" i="2" s="1"/>
  <c r="A337" i="2" s="1"/>
  <c r="N337" i="2" s="1"/>
  <c r="A410" i="2" s="1"/>
  <c r="N410" i="2" s="1"/>
  <c r="A483" i="2" s="1"/>
  <c r="N483" i="2" s="1"/>
  <c r="A557" i="2" s="1"/>
  <c r="N557" i="2" s="1"/>
  <c r="A631" i="2" s="1"/>
  <c r="N631" i="2" s="1"/>
  <c r="A705" i="2" s="1"/>
  <c r="N705" i="2" s="1"/>
  <c r="A779" i="2" s="1"/>
  <c r="N779" i="2" s="1"/>
  <c r="A853" i="2" s="1"/>
  <c r="N853" i="2" s="1"/>
  <c r="B66" i="3" s="1"/>
  <c r="O66" i="3" s="1"/>
  <c r="B51" i="4" s="1"/>
  <c r="O51" i="4" s="1"/>
  <c r="B115" i="4" s="1"/>
  <c r="O115" i="4" s="1"/>
  <c r="B174" i="4" s="1"/>
  <c r="O174" i="4" s="1"/>
  <c r="B234" i="4" s="1"/>
  <c r="O234" i="4" s="1"/>
  <c r="B294" i="4" s="1"/>
  <c r="O294" i="4" s="1"/>
  <c r="B354" i="4" s="1"/>
  <c r="O354" i="4" s="1"/>
  <c r="B417" i="4" s="1"/>
  <c r="O417" i="4" s="1"/>
  <c r="B481" i="4" s="1"/>
  <c r="O481" i="4" s="1"/>
  <c r="B545" i="4" s="1"/>
  <c r="O545" i="4" s="1"/>
  <c r="B610" i="4" s="1"/>
  <c r="O610" i="4" s="1"/>
  <c r="B675" i="4" s="1"/>
  <c r="O675" i="4" s="1"/>
  <c r="B738" i="4" s="1"/>
  <c r="O738" i="4" s="1"/>
  <c r="N59" i="2"/>
  <c r="A126" i="2" s="1"/>
  <c r="N126" i="2" s="1"/>
  <c r="A195" i="2" s="1"/>
  <c r="N195" i="2" s="1"/>
  <c r="A265" i="2" s="1"/>
  <c r="N265" i="2" s="1"/>
  <c r="A336" i="2" s="1"/>
  <c r="N336" i="2" s="1"/>
  <c r="A409" i="2" s="1"/>
  <c r="N409" i="2" s="1"/>
  <c r="A482" i="2" s="1"/>
  <c r="N482" i="2" s="1"/>
  <c r="A556" i="2" s="1"/>
  <c r="N556" i="2" s="1"/>
  <c r="A630" i="2" s="1"/>
  <c r="N630" i="2" s="1"/>
  <c r="A704" i="2" s="1"/>
  <c r="N704" i="2" s="1"/>
  <c r="A778" i="2" s="1"/>
  <c r="N778" i="2" s="1"/>
  <c r="A852" i="2" s="1"/>
  <c r="N852" i="2" s="1"/>
  <c r="B65" i="3" s="1"/>
  <c r="O65" i="3" s="1"/>
  <c r="B50" i="4" s="1"/>
  <c r="O50" i="4" s="1"/>
  <c r="B114" i="4" s="1"/>
  <c r="O114" i="4" s="1"/>
  <c r="B173" i="4" s="1"/>
  <c r="O173" i="4" s="1"/>
  <c r="B233" i="4" s="1"/>
  <c r="O233" i="4" s="1"/>
  <c r="B293" i="4" s="1"/>
  <c r="O293" i="4" s="1"/>
  <c r="B353" i="4" s="1"/>
  <c r="O353" i="4" s="1"/>
  <c r="B416" i="4" s="1"/>
  <c r="O416" i="4" s="1"/>
  <c r="B480" i="4" s="1"/>
  <c r="O480" i="4" s="1"/>
  <c r="B544" i="4" s="1"/>
  <c r="O544" i="4" s="1"/>
  <c r="B609" i="4" s="1"/>
  <c r="O609" i="4" s="1"/>
  <c r="B674" i="4" s="1"/>
  <c r="O674" i="4" s="1"/>
  <c r="B737" i="4" s="1"/>
  <c r="O737" i="4" s="1"/>
  <c r="B371" i="4" l="1"/>
  <c r="O371" i="4" s="1"/>
  <c r="N496" i="2"/>
  <c r="N58" i="2"/>
  <c r="A125" i="2" s="1"/>
  <c r="N125" i="2" s="1"/>
  <c r="A194" i="2" s="1"/>
  <c r="N194" i="2" s="1"/>
  <c r="A264" i="2" s="1"/>
  <c r="N264" i="2" s="1"/>
  <c r="A335" i="2" s="1"/>
  <c r="N335" i="2" s="1"/>
  <c r="A408" i="2" s="1"/>
  <c r="N408" i="2" s="1"/>
  <c r="A481" i="2" s="1"/>
  <c r="N481" i="2" s="1"/>
  <c r="A555" i="2" s="1"/>
  <c r="N555" i="2" s="1"/>
  <c r="A629" i="2" s="1"/>
  <c r="N629" i="2" s="1"/>
  <c r="A703" i="2" s="1"/>
  <c r="N703" i="2" s="1"/>
  <c r="A777" i="2" s="1"/>
  <c r="N777" i="2" s="1"/>
  <c r="A851" i="2" s="1"/>
  <c r="N851" i="2" s="1"/>
  <c r="B64" i="3" s="1"/>
  <c r="O64" i="3" s="1"/>
  <c r="N57" i="2"/>
  <c r="A124" i="2" s="1"/>
  <c r="N124" i="2" s="1"/>
  <c r="A193" i="2" s="1"/>
  <c r="N193" i="2" s="1"/>
  <c r="A263" i="2" s="1"/>
  <c r="N263" i="2" s="1"/>
  <c r="A334" i="2" s="1"/>
  <c r="N334" i="2" s="1"/>
  <c r="A406" i="2" s="1"/>
  <c r="N406" i="2" s="1"/>
  <c r="A479" i="2" s="1"/>
  <c r="N479" i="2" s="1"/>
  <c r="A553" i="2" s="1"/>
  <c r="N553" i="2" s="1"/>
  <c r="A627" i="2" s="1"/>
  <c r="N627" i="2" s="1"/>
  <c r="A701" i="2" s="1"/>
  <c r="N701" i="2" s="1"/>
  <c r="A775" i="2" s="1"/>
  <c r="N775" i="2" s="1"/>
  <c r="A849" i="2" s="1"/>
  <c r="N849" i="2" s="1"/>
  <c r="B62" i="3" s="1"/>
  <c r="O62" i="3" s="1"/>
  <c r="B434" i="4" l="1"/>
  <c r="O434" i="4" s="1"/>
  <c r="A570" i="2"/>
  <c r="N41" i="2"/>
  <c r="A108" i="2" s="1"/>
  <c r="N108" i="2" s="1"/>
  <c r="A177" i="2" s="1"/>
  <c r="N177" i="2" s="1"/>
  <c r="A247" i="2" s="1"/>
  <c r="N247" i="2" s="1"/>
  <c r="A318" i="2" s="1"/>
  <c r="N318" i="2" s="1"/>
  <c r="A390" i="2" s="1"/>
  <c r="N390" i="2" s="1"/>
  <c r="A463" i="2" s="1"/>
  <c r="N463" i="2" s="1"/>
  <c r="A537" i="2" s="1"/>
  <c r="N537" i="2" s="1"/>
  <c r="A611" i="2" s="1"/>
  <c r="N611" i="2" s="1"/>
  <c r="A685" i="2" s="1"/>
  <c r="N685" i="2" s="1"/>
  <c r="A759" i="2" s="1"/>
  <c r="N759" i="2" s="1"/>
  <c r="A833" i="2" s="1"/>
  <c r="N833" i="2" s="1"/>
  <c r="B46" i="3" s="1"/>
  <c r="O46" i="3" s="1"/>
  <c r="N26" i="2"/>
  <c r="A93" i="2" s="1"/>
  <c r="N93" i="2" s="1"/>
  <c r="A162" i="2" s="1"/>
  <c r="N162" i="2" s="1"/>
  <c r="A231" i="2" s="1"/>
  <c r="N231" i="2" s="1"/>
  <c r="A301" i="2" s="1"/>
  <c r="N301" i="2" s="1"/>
  <c r="A372" i="2" s="1"/>
  <c r="N372" i="2" s="1"/>
  <c r="A445" i="2" s="1"/>
  <c r="N445" i="2" s="1"/>
  <c r="A519" i="2" s="1"/>
  <c r="N519" i="2" s="1"/>
  <c r="A593" i="2" s="1"/>
  <c r="N593" i="2" s="1"/>
  <c r="A667" i="2" s="1"/>
  <c r="N667" i="2" s="1"/>
  <c r="A741" i="2" s="1"/>
  <c r="N741" i="2" s="1"/>
  <c r="A815" i="2" s="1"/>
  <c r="N815" i="2" s="1"/>
  <c r="B28" i="3" s="1"/>
  <c r="O28" i="3" s="1"/>
  <c r="B26" i="4" s="1"/>
  <c r="O26" i="4" s="1"/>
  <c r="B90" i="4" s="1"/>
  <c r="O90" i="4" s="1"/>
  <c r="B149" i="4" s="1"/>
  <c r="O149" i="4" s="1"/>
  <c r="B209" i="4" s="1"/>
  <c r="O209" i="4" s="1"/>
  <c r="B269" i="4" s="1"/>
  <c r="O269" i="4" s="1"/>
  <c r="B329" i="4" s="1"/>
  <c r="O329" i="4" s="1"/>
  <c r="B392" i="4" s="1"/>
  <c r="O392" i="4" s="1"/>
  <c r="B456" i="4" s="1"/>
  <c r="O456" i="4" s="1"/>
  <c r="B520" i="4" s="1"/>
  <c r="O520" i="4" s="1"/>
  <c r="B585" i="4" s="1"/>
  <c r="O585" i="4" s="1"/>
  <c r="B650" i="4" s="1"/>
  <c r="O650" i="4" s="1"/>
  <c r="B713" i="4" s="1"/>
  <c r="O713" i="4" s="1"/>
  <c r="N25" i="2"/>
  <c r="A92" i="2" s="1"/>
  <c r="N92" i="2" s="1"/>
  <c r="A161" i="2" s="1"/>
  <c r="N161" i="2" s="1"/>
  <c r="A230" i="2" s="1"/>
  <c r="N230" i="2" s="1"/>
  <c r="A300" i="2" s="1"/>
  <c r="N300" i="2" s="1"/>
  <c r="A371" i="2" s="1"/>
  <c r="N371" i="2" s="1"/>
  <c r="A444" i="2" s="1"/>
  <c r="N444" i="2" s="1"/>
  <c r="A518" i="2" s="1"/>
  <c r="N518" i="2" s="1"/>
  <c r="A592" i="2" s="1"/>
  <c r="N592" i="2" s="1"/>
  <c r="A666" i="2" s="1"/>
  <c r="N666" i="2" s="1"/>
  <c r="A740" i="2" s="1"/>
  <c r="N740" i="2" s="1"/>
  <c r="A814" i="2" s="1"/>
  <c r="N814" i="2" s="1"/>
  <c r="B27" i="3" s="1"/>
  <c r="O27" i="3" s="1"/>
  <c r="B25" i="4" s="1"/>
  <c r="O25" i="4" s="1"/>
  <c r="B89" i="4" s="1"/>
  <c r="O89" i="4" s="1"/>
  <c r="B148" i="4" s="1"/>
  <c r="O148" i="4" s="1"/>
  <c r="B208" i="4" s="1"/>
  <c r="O208" i="4" s="1"/>
  <c r="B268" i="4" s="1"/>
  <c r="O268" i="4" s="1"/>
  <c r="B328" i="4" s="1"/>
  <c r="O328" i="4" s="1"/>
  <c r="B391" i="4" s="1"/>
  <c r="O391" i="4" s="1"/>
  <c r="B455" i="4" s="1"/>
  <c r="O455" i="4" s="1"/>
  <c r="B519" i="4" s="1"/>
  <c r="O519" i="4" s="1"/>
  <c r="B584" i="4" s="1"/>
  <c r="O584" i="4" s="1"/>
  <c r="B649" i="4" s="1"/>
  <c r="O649" i="4" s="1"/>
  <c r="B712" i="4" s="1"/>
  <c r="O712" i="4" s="1"/>
  <c r="B498" i="4" l="1"/>
  <c r="O498" i="4" s="1"/>
  <c r="N570" i="2"/>
  <c r="N56" i="2"/>
  <c r="A123" i="2" s="1"/>
  <c r="N123" i="2" s="1"/>
  <c r="A192" i="2" s="1"/>
  <c r="N192" i="2" s="1"/>
  <c r="A262" i="2" s="1"/>
  <c r="N262" i="2" s="1"/>
  <c r="A333" i="2" s="1"/>
  <c r="N333" i="2" s="1"/>
  <c r="A405" i="2" s="1"/>
  <c r="N405" i="2" s="1"/>
  <c r="A478" i="2" s="1"/>
  <c r="N478" i="2" s="1"/>
  <c r="A552" i="2" s="1"/>
  <c r="N552" i="2" s="1"/>
  <c r="A626" i="2" s="1"/>
  <c r="N626" i="2" s="1"/>
  <c r="A700" i="2" s="1"/>
  <c r="N700" i="2" s="1"/>
  <c r="A774" i="2" s="1"/>
  <c r="N774" i="2" s="1"/>
  <c r="A848" i="2" s="1"/>
  <c r="N848" i="2" s="1"/>
  <c r="B61" i="3" s="1"/>
  <c r="O61" i="3" s="1"/>
  <c r="B49" i="4" s="1"/>
  <c r="O49" i="4" s="1"/>
  <c r="B113" i="4" s="1"/>
  <c r="O113" i="4" s="1"/>
  <c r="B172" i="4" s="1"/>
  <c r="O172" i="4" s="1"/>
  <c r="B232" i="4" s="1"/>
  <c r="O232" i="4" s="1"/>
  <c r="B292" i="4" s="1"/>
  <c r="O292" i="4" s="1"/>
  <c r="B352" i="4" s="1"/>
  <c r="O352" i="4" s="1"/>
  <c r="B415" i="4" s="1"/>
  <c r="O415" i="4" s="1"/>
  <c r="B479" i="4" s="1"/>
  <c r="O479" i="4" s="1"/>
  <c r="B543" i="4" s="1"/>
  <c r="O543" i="4" s="1"/>
  <c r="B608" i="4" s="1"/>
  <c r="O608" i="4" s="1"/>
  <c r="B673" i="4" s="1"/>
  <c r="O673" i="4" s="1"/>
  <c r="B736" i="4" s="1"/>
  <c r="O736" i="4" s="1"/>
  <c r="N55" i="2"/>
  <c r="A122" i="2" s="1"/>
  <c r="N122" i="2" s="1"/>
  <c r="A191" i="2" s="1"/>
  <c r="N191" i="2" s="1"/>
  <c r="A261" i="2" s="1"/>
  <c r="N261" i="2" s="1"/>
  <c r="A332" i="2" s="1"/>
  <c r="N332" i="2" s="1"/>
  <c r="A404" i="2" s="1"/>
  <c r="N404" i="2" s="1"/>
  <c r="A477" i="2" s="1"/>
  <c r="N477" i="2" s="1"/>
  <c r="A551" i="2" s="1"/>
  <c r="N551" i="2" s="1"/>
  <c r="A625" i="2" s="1"/>
  <c r="N625" i="2" s="1"/>
  <c r="A699" i="2" s="1"/>
  <c r="N699" i="2" s="1"/>
  <c r="A773" i="2" s="1"/>
  <c r="N773" i="2" s="1"/>
  <c r="A847" i="2" s="1"/>
  <c r="N847" i="2" s="1"/>
  <c r="B60" i="3" s="1"/>
  <c r="O60" i="3" s="1"/>
  <c r="B48" i="4" s="1"/>
  <c r="O48" i="4" s="1"/>
  <c r="B112" i="4" s="1"/>
  <c r="O112" i="4" s="1"/>
  <c r="B171" i="4" s="1"/>
  <c r="O171" i="4" s="1"/>
  <c r="B231" i="4" s="1"/>
  <c r="O231" i="4" s="1"/>
  <c r="B291" i="4" s="1"/>
  <c r="O291" i="4" s="1"/>
  <c r="B351" i="4" s="1"/>
  <c r="O351" i="4" s="1"/>
  <c r="B414" i="4" s="1"/>
  <c r="O414" i="4" s="1"/>
  <c r="B478" i="4" s="1"/>
  <c r="O478" i="4" s="1"/>
  <c r="B542" i="4" s="1"/>
  <c r="O542" i="4" s="1"/>
  <c r="B607" i="4" s="1"/>
  <c r="O607" i="4" s="1"/>
  <c r="B672" i="4" s="1"/>
  <c r="O672" i="4" s="1"/>
  <c r="B735" i="4" s="1"/>
  <c r="O735" i="4" s="1"/>
  <c r="N54" i="2"/>
  <c r="A121" i="2" s="1"/>
  <c r="N121" i="2" s="1"/>
  <c r="A190" i="2" s="1"/>
  <c r="N190" i="2" s="1"/>
  <c r="A260" i="2" s="1"/>
  <c r="N260" i="2" s="1"/>
  <c r="A331" i="2" s="1"/>
  <c r="N331" i="2" s="1"/>
  <c r="A403" i="2" s="1"/>
  <c r="N403" i="2" s="1"/>
  <c r="A476" i="2" s="1"/>
  <c r="N476" i="2" s="1"/>
  <c r="A550" i="2" s="1"/>
  <c r="N550" i="2" s="1"/>
  <c r="A624" i="2" s="1"/>
  <c r="N624" i="2" s="1"/>
  <c r="A698" i="2" s="1"/>
  <c r="N698" i="2" s="1"/>
  <c r="A772" i="2" s="1"/>
  <c r="N772" i="2" s="1"/>
  <c r="A846" i="2" s="1"/>
  <c r="N846" i="2" s="1"/>
  <c r="B59" i="3" s="1"/>
  <c r="O59" i="3" s="1"/>
  <c r="N53" i="2"/>
  <c r="A120" i="2" s="1"/>
  <c r="N120" i="2" s="1"/>
  <c r="A189" i="2" s="1"/>
  <c r="N189" i="2" s="1"/>
  <c r="A259" i="2" s="1"/>
  <c r="N259" i="2" s="1"/>
  <c r="A330" i="2" s="1"/>
  <c r="N330" i="2" s="1"/>
  <c r="A402" i="2" s="1"/>
  <c r="B563" i="4" l="1"/>
  <c r="O563" i="4" s="1"/>
  <c r="A644" i="2"/>
  <c r="N402" i="2"/>
  <c r="A475" i="2" s="1"/>
  <c r="N475" i="2" s="1"/>
  <c r="A549" i="2" s="1"/>
  <c r="N549" i="2" s="1"/>
  <c r="A623" i="2" s="1"/>
  <c r="N623" i="2" s="1"/>
  <c r="A697" i="2" s="1"/>
  <c r="N697" i="2" s="1"/>
  <c r="A771" i="2" s="1"/>
  <c r="N771" i="2" s="1"/>
  <c r="A845" i="2" s="1"/>
  <c r="N845" i="2" s="1"/>
  <c r="B58" i="3" s="1"/>
  <c r="O58" i="3" s="1"/>
  <c r="N52" i="2"/>
  <c r="A119" i="2" s="1"/>
  <c r="N119" i="2" s="1"/>
  <c r="A188" i="2" s="1"/>
  <c r="N188" i="2" s="1"/>
  <c r="A258" i="2" s="1"/>
  <c r="N258" i="2" s="1"/>
  <c r="A329" i="2" s="1"/>
  <c r="N329" i="2" s="1"/>
  <c r="A401" i="2" s="1"/>
  <c r="N401" i="2" s="1"/>
  <c r="A474" i="2" s="1"/>
  <c r="N474" i="2" s="1"/>
  <c r="A548" i="2" s="1"/>
  <c r="N548" i="2" s="1"/>
  <c r="A622" i="2" s="1"/>
  <c r="N622" i="2" s="1"/>
  <c r="A696" i="2" s="1"/>
  <c r="N696" i="2" s="1"/>
  <c r="A770" i="2" s="1"/>
  <c r="N770" i="2" s="1"/>
  <c r="A844" i="2" s="1"/>
  <c r="N844" i="2" s="1"/>
  <c r="B57" i="3" s="1"/>
  <c r="O57" i="3" s="1"/>
  <c r="N51" i="2"/>
  <c r="A118" i="2" s="1"/>
  <c r="N118" i="2" s="1"/>
  <c r="A187" i="2" s="1"/>
  <c r="N187" i="2" s="1"/>
  <c r="A257" i="2" s="1"/>
  <c r="N257" i="2" s="1"/>
  <c r="A328" i="2" s="1"/>
  <c r="N328" i="2" s="1"/>
  <c r="A400" i="2" s="1"/>
  <c r="N400" i="2" s="1"/>
  <c r="A473" i="2" s="1"/>
  <c r="N473" i="2" s="1"/>
  <c r="A547" i="2" s="1"/>
  <c r="N547" i="2" s="1"/>
  <c r="A621" i="2" s="1"/>
  <c r="N621" i="2" s="1"/>
  <c r="A695" i="2" s="1"/>
  <c r="N695" i="2" s="1"/>
  <c r="A769" i="2" s="1"/>
  <c r="N769" i="2" s="1"/>
  <c r="A843" i="2" s="1"/>
  <c r="N843" i="2" s="1"/>
  <c r="B56" i="3" s="1"/>
  <c r="O56" i="3" s="1"/>
  <c r="N50" i="2"/>
  <c r="A117" i="2" s="1"/>
  <c r="N117" i="2" s="1"/>
  <c r="A186" i="2" s="1"/>
  <c r="N186" i="2" s="1"/>
  <c r="A256" i="2" s="1"/>
  <c r="N256" i="2" s="1"/>
  <c r="A327" i="2" s="1"/>
  <c r="N327" i="2" s="1"/>
  <c r="A399" i="2" s="1"/>
  <c r="N399" i="2" s="1"/>
  <c r="A472" i="2" s="1"/>
  <c r="N472" i="2" s="1"/>
  <c r="A546" i="2" s="1"/>
  <c r="N546" i="2" s="1"/>
  <c r="A620" i="2" s="1"/>
  <c r="N620" i="2" s="1"/>
  <c r="A694" i="2" s="1"/>
  <c r="N694" i="2" s="1"/>
  <c r="A768" i="2" s="1"/>
  <c r="N768" i="2" s="1"/>
  <c r="A842" i="2" s="1"/>
  <c r="N842" i="2" s="1"/>
  <c r="B55" i="3" s="1"/>
  <c r="O55" i="3" s="1"/>
  <c r="B47" i="4" s="1"/>
  <c r="O47" i="4" s="1"/>
  <c r="B111" i="4" s="1"/>
  <c r="O111" i="4" s="1"/>
  <c r="B170" i="4" s="1"/>
  <c r="O170" i="4" s="1"/>
  <c r="B230" i="4" s="1"/>
  <c r="O230" i="4" s="1"/>
  <c r="B290" i="4" s="1"/>
  <c r="O290" i="4" s="1"/>
  <c r="B350" i="4" s="1"/>
  <c r="O350" i="4" s="1"/>
  <c r="B413" i="4" s="1"/>
  <c r="O413" i="4" s="1"/>
  <c r="B477" i="4" s="1"/>
  <c r="O477" i="4" s="1"/>
  <c r="B541" i="4" s="1"/>
  <c r="O541" i="4" s="1"/>
  <c r="B606" i="4" s="1"/>
  <c r="O606" i="4" s="1"/>
  <c r="B671" i="4" s="1"/>
  <c r="O671" i="4" s="1"/>
  <c r="B734" i="4" s="1"/>
  <c r="O734" i="4" s="1"/>
  <c r="N48" i="2"/>
  <c r="A115" i="2" s="1"/>
  <c r="N115" i="2" s="1"/>
  <c r="A184" i="2" s="1"/>
  <c r="N184" i="2" s="1"/>
  <c r="A254" i="2" s="1"/>
  <c r="N254" i="2" s="1"/>
  <c r="A325" i="2" s="1"/>
  <c r="N325" i="2" s="1"/>
  <c r="A397" i="2" s="1"/>
  <c r="N397" i="2" s="1"/>
  <c r="A470" i="2" s="1"/>
  <c r="N470" i="2" s="1"/>
  <c r="A544" i="2" s="1"/>
  <c r="N544" i="2" s="1"/>
  <c r="A618" i="2" s="1"/>
  <c r="N618" i="2" s="1"/>
  <c r="A692" i="2" s="1"/>
  <c r="N692" i="2" s="1"/>
  <c r="A766" i="2" s="1"/>
  <c r="N766" i="2" s="1"/>
  <c r="A840" i="2" s="1"/>
  <c r="N840" i="2" s="1"/>
  <c r="B53" i="3" s="1"/>
  <c r="O53" i="3" s="1"/>
  <c r="B46" i="4" s="1"/>
  <c r="O46" i="4" s="1"/>
  <c r="B110" i="4" s="1"/>
  <c r="O110" i="4" s="1"/>
  <c r="B169" i="4" s="1"/>
  <c r="O169" i="4" s="1"/>
  <c r="B229" i="4" s="1"/>
  <c r="O229" i="4" s="1"/>
  <c r="B289" i="4" s="1"/>
  <c r="O289" i="4" s="1"/>
  <c r="B349" i="4" s="1"/>
  <c r="O349" i="4" s="1"/>
  <c r="B412" i="4" s="1"/>
  <c r="O412" i="4" s="1"/>
  <c r="B476" i="4" s="1"/>
  <c r="O476" i="4" s="1"/>
  <c r="B540" i="4" s="1"/>
  <c r="O540" i="4" s="1"/>
  <c r="B605" i="4" s="1"/>
  <c r="O605" i="4" s="1"/>
  <c r="B670" i="4" s="1"/>
  <c r="O670" i="4" s="1"/>
  <c r="B733" i="4" s="1"/>
  <c r="O733" i="4" s="1"/>
  <c r="N47" i="2"/>
  <c r="A114" i="2" s="1"/>
  <c r="N114" i="2" s="1"/>
  <c r="A183" i="2" s="1"/>
  <c r="N183" i="2" s="1"/>
  <c r="A253" i="2" s="1"/>
  <c r="N253" i="2" s="1"/>
  <c r="A324" i="2" s="1"/>
  <c r="N324" i="2" s="1"/>
  <c r="A396" i="2" s="1"/>
  <c r="N396" i="2" s="1"/>
  <c r="A469" i="2" s="1"/>
  <c r="N469" i="2" s="1"/>
  <c r="A543" i="2" s="1"/>
  <c r="N543" i="2" s="1"/>
  <c r="A617" i="2" s="1"/>
  <c r="N617" i="2" s="1"/>
  <c r="A691" i="2" s="1"/>
  <c r="N691" i="2" s="1"/>
  <c r="A765" i="2" s="1"/>
  <c r="N765" i="2" s="1"/>
  <c r="A839" i="2" s="1"/>
  <c r="N839" i="2" s="1"/>
  <c r="B52" i="3" s="1"/>
  <c r="O52" i="3" s="1"/>
  <c r="N46" i="2"/>
  <c r="A113" i="2" s="1"/>
  <c r="N113" i="2" s="1"/>
  <c r="A182" i="2" s="1"/>
  <c r="N182" i="2" s="1"/>
  <c r="A252" i="2" s="1"/>
  <c r="N252" i="2" s="1"/>
  <c r="A323" i="2" s="1"/>
  <c r="N323" i="2" s="1"/>
  <c r="A395" i="2" s="1"/>
  <c r="N395" i="2" s="1"/>
  <c r="A468" i="2" s="1"/>
  <c r="N468" i="2" s="1"/>
  <c r="A542" i="2" s="1"/>
  <c r="N542" i="2" s="1"/>
  <c r="A616" i="2" s="1"/>
  <c r="N616" i="2" s="1"/>
  <c r="A690" i="2" s="1"/>
  <c r="N690" i="2" s="1"/>
  <c r="A764" i="2" s="1"/>
  <c r="N764" i="2" s="1"/>
  <c r="A838" i="2" s="1"/>
  <c r="N838" i="2" s="1"/>
  <c r="B51" i="3" s="1"/>
  <c r="O51" i="3" s="1"/>
  <c r="N45" i="2"/>
  <c r="A112" i="2" s="1"/>
  <c r="N112" i="2" s="1"/>
  <c r="A181" i="2" s="1"/>
  <c r="N181" i="2" s="1"/>
  <c r="A251" i="2" s="1"/>
  <c r="N251" i="2" s="1"/>
  <c r="A322" i="2" s="1"/>
  <c r="N322" i="2" s="1"/>
  <c r="A394" i="2" s="1"/>
  <c r="N394" i="2" s="1"/>
  <c r="A467" i="2" s="1"/>
  <c r="N467" i="2" s="1"/>
  <c r="A541" i="2" s="1"/>
  <c r="N541" i="2" s="1"/>
  <c r="A615" i="2" s="1"/>
  <c r="N615" i="2" s="1"/>
  <c r="A689" i="2" s="1"/>
  <c r="N689" i="2" s="1"/>
  <c r="A763" i="2" s="1"/>
  <c r="N763" i="2" s="1"/>
  <c r="A837" i="2" s="1"/>
  <c r="N837" i="2" s="1"/>
  <c r="B50" i="3" s="1"/>
  <c r="O50" i="3" s="1"/>
  <c r="B45" i="4" s="1"/>
  <c r="O45" i="4" s="1"/>
  <c r="B109" i="4" s="1"/>
  <c r="O109" i="4" s="1"/>
  <c r="B168" i="4" s="1"/>
  <c r="O168" i="4" s="1"/>
  <c r="B228" i="4" s="1"/>
  <c r="O228" i="4" s="1"/>
  <c r="B288" i="4" s="1"/>
  <c r="O288" i="4" s="1"/>
  <c r="B348" i="4" s="1"/>
  <c r="O348" i="4" s="1"/>
  <c r="B411" i="4" s="1"/>
  <c r="O411" i="4" s="1"/>
  <c r="B475" i="4" s="1"/>
  <c r="O475" i="4" s="1"/>
  <c r="B539" i="4" s="1"/>
  <c r="O539" i="4" s="1"/>
  <c r="B604" i="4" s="1"/>
  <c r="O604" i="4" s="1"/>
  <c r="B669" i="4" s="1"/>
  <c r="O669" i="4" s="1"/>
  <c r="B732" i="4" s="1"/>
  <c r="O732" i="4" s="1"/>
  <c r="N44" i="2"/>
  <c r="A111" i="2" s="1"/>
  <c r="N111" i="2" s="1"/>
  <c r="A180" i="2" s="1"/>
  <c r="N180" i="2" s="1"/>
  <c r="A250" i="2" s="1"/>
  <c r="N250" i="2" s="1"/>
  <c r="A321" i="2" s="1"/>
  <c r="N321" i="2" s="1"/>
  <c r="A393" i="2" s="1"/>
  <c r="N393" i="2" s="1"/>
  <c r="A466" i="2" s="1"/>
  <c r="N466" i="2" s="1"/>
  <c r="A540" i="2" s="1"/>
  <c r="N540" i="2" s="1"/>
  <c r="A614" i="2" s="1"/>
  <c r="N614" i="2" s="1"/>
  <c r="A688" i="2" s="1"/>
  <c r="N688" i="2" s="1"/>
  <c r="A762" i="2" s="1"/>
  <c r="N762" i="2" s="1"/>
  <c r="A836" i="2" s="1"/>
  <c r="N836" i="2" s="1"/>
  <c r="B49" i="3" s="1"/>
  <c r="O49" i="3" s="1"/>
  <c r="B44" i="4" s="1"/>
  <c r="O44" i="4" s="1"/>
  <c r="B108" i="4" s="1"/>
  <c r="O108" i="4" s="1"/>
  <c r="B167" i="4" s="1"/>
  <c r="O167" i="4" s="1"/>
  <c r="B227" i="4" s="1"/>
  <c r="O227" i="4" s="1"/>
  <c r="B287" i="4" s="1"/>
  <c r="O287" i="4" s="1"/>
  <c r="B347" i="4" s="1"/>
  <c r="O347" i="4" s="1"/>
  <c r="B410" i="4" s="1"/>
  <c r="O410" i="4" s="1"/>
  <c r="B474" i="4" s="1"/>
  <c r="O474" i="4" s="1"/>
  <c r="B538" i="4" s="1"/>
  <c r="O538" i="4" s="1"/>
  <c r="B603" i="4" s="1"/>
  <c r="O603" i="4" s="1"/>
  <c r="B668" i="4" s="1"/>
  <c r="O668" i="4" s="1"/>
  <c r="B731" i="4" s="1"/>
  <c r="O731" i="4" s="1"/>
  <c r="B628" i="4" l="1"/>
  <c r="O628" i="4" s="1"/>
  <c r="N644" i="2"/>
  <c r="N43" i="2"/>
  <c r="A110" i="2" s="1"/>
  <c r="N110" i="2" s="1"/>
  <c r="A179" i="2" s="1"/>
  <c r="N179" i="2" s="1"/>
  <c r="A249" i="2" s="1"/>
  <c r="N249" i="2" s="1"/>
  <c r="A320" i="2" s="1"/>
  <c r="N320" i="2" s="1"/>
  <c r="A392" i="2" s="1"/>
  <c r="N392" i="2" s="1"/>
  <c r="A465" i="2" s="1"/>
  <c r="N465" i="2" s="1"/>
  <c r="A539" i="2" s="1"/>
  <c r="N539" i="2" s="1"/>
  <c r="A613" i="2" s="1"/>
  <c r="N613" i="2" s="1"/>
  <c r="A687" i="2" s="1"/>
  <c r="N687" i="2" s="1"/>
  <c r="A761" i="2" s="1"/>
  <c r="N761" i="2" s="1"/>
  <c r="A835" i="2" s="1"/>
  <c r="N835" i="2" s="1"/>
  <c r="B48" i="3" s="1"/>
  <c r="O48" i="3" s="1"/>
  <c r="B43" i="4" s="1"/>
  <c r="O43" i="4" s="1"/>
  <c r="B107" i="4" s="1"/>
  <c r="O107" i="4" s="1"/>
  <c r="B166" i="4" s="1"/>
  <c r="O166" i="4" s="1"/>
  <c r="B226" i="4" s="1"/>
  <c r="O226" i="4" s="1"/>
  <c r="B286" i="4" s="1"/>
  <c r="O286" i="4" s="1"/>
  <c r="B346" i="4" s="1"/>
  <c r="O346" i="4" s="1"/>
  <c r="B409" i="4" s="1"/>
  <c r="O409" i="4" s="1"/>
  <c r="B473" i="4" s="1"/>
  <c r="O473" i="4" s="1"/>
  <c r="B537" i="4" s="1"/>
  <c r="O537" i="4" s="1"/>
  <c r="B602" i="4" s="1"/>
  <c r="O602" i="4" s="1"/>
  <c r="B667" i="4" s="1"/>
  <c r="O667" i="4" s="1"/>
  <c r="B730" i="4" s="1"/>
  <c r="O730" i="4" s="1"/>
  <c r="N42" i="2"/>
  <c r="A109" i="2" s="1"/>
  <c r="N109" i="2" s="1"/>
  <c r="A178" i="2" s="1"/>
  <c r="N178" i="2" s="1"/>
  <c r="A248" i="2" s="1"/>
  <c r="N248" i="2" s="1"/>
  <c r="A319" i="2" s="1"/>
  <c r="N319" i="2" s="1"/>
  <c r="A391" i="2" s="1"/>
  <c r="N391" i="2" s="1"/>
  <c r="A464" i="2" s="1"/>
  <c r="N464" i="2" s="1"/>
  <c r="A538" i="2" s="1"/>
  <c r="N538" i="2" s="1"/>
  <c r="A612" i="2" s="1"/>
  <c r="N612" i="2" s="1"/>
  <c r="A686" i="2" s="1"/>
  <c r="N686" i="2" s="1"/>
  <c r="A760" i="2" s="1"/>
  <c r="N760" i="2" s="1"/>
  <c r="A834" i="2" s="1"/>
  <c r="N834" i="2" s="1"/>
  <c r="B47" i="3" s="1"/>
  <c r="O47" i="3" s="1"/>
  <c r="N40" i="2"/>
  <c r="A107" i="2" s="1"/>
  <c r="N107" i="2" s="1"/>
  <c r="A176" i="2" s="1"/>
  <c r="N176" i="2" s="1"/>
  <c r="A246" i="2" s="1"/>
  <c r="N246" i="2" s="1"/>
  <c r="A317" i="2" s="1"/>
  <c r="N317" i="2" s="1"/>
  <c r="A389" i="2" s="1"/>
  <c r="N389" i="2" s="1"/>
  <c r="A462" i="2" s="1"/>
  <c r="N462" i="2" s="1"/>
  <c r="A536" i="2" s="1"/>
  <c r="N536" i="2" s="1"/>
  <c r="A610" i="2" s="1"/>
  <c r="N610" i="2" s="1"/>
  <c r="A684" i="2" s="1"/>
  <c r="N684" i="2" s="1"/>
  <c r="A758" i="2" s="1"/>
  <c r="N758" i="2" s="1"/>
  <c r="A832" i="2" s="1"/>
  <c r="N832" i="2" s="1"/>
  <c r="B45" i="3" s="1"/>
  <c r="O45" i="3" s="1"/>
  <c r="B42" i="4" s="1"/>
  <c r="O42" i="4" s="1"/>
  <c r="B106" i="4" s="1"/>
  <c r="O106" i="4" s="1"/>
  <c r="B165" i="4" s="1"/>
  <c r="O165" i="4" s="1"/>
  <c r="B225" i="4" s="1"/>
  <c r="O225" i="4" s="1"/>
  <c r="B285" i="4" s="1"/>
  <c r="O285" i="4" s="1"/>
  <c r="B345" i="4" s="1"/>
  <c r="O345" i="4" s="1"/>
  <c r="B408" i="4" s="1"/>
  <c r="O408" i="4" s="1"/>
  <c r="B472" i="4" s="1"/>
  <c r="O472" i="4" s="1"/>
  <c r="B536" i="4" s="1"/>
  <c r="O536" i="4" s="1"/>
  <c r="B601" i="4" s="1"/>
  <c r="O601" i="4" s="1"/>
  <c r="B666" i="4" s="1"/>
  <c r="O666" i="4" s="1"/>
  <c r="B729" i="4" s="1"/>
  <c r="O729" i="4" s="1"/>
  <c r="N39" i="2"/>
  <c r="A106" i="2" s="1"/>
  <c r="N106" i="2" s="1"/>
  <c r="A175" i="2" s="1"/>
  <c r="N175" i="2" s="1"/>
  <c r="A244" i="2" s="1"/>
  <c r="N244" i="2" s="1"/>
  <c r="A315" i="2" s="1"/>
  <c r="N315" i="2" s="1"/>
  <c r="A387" i="2" s="1"/>
  <c r="N387" i="2" s="1"/>
  <c r="A460" i="2" s="1"/>
  <c r="N460" i="2" s="1"/>
  <c r="A534" i="2" s="1"/>
  <c r="N534" i="2" s="1"/>
  <c r="A608" i="2" s="1"/>
  <c r="N608" i="2" s="1"/>
  <c r="A682" i="2" s="1"/>
  <c r="N682" i="2" s="1"/>
  <c r="A756" i="2" s="1"/>
  <c r="N756" i="2" s="1"/>
  <c r="A830" i="2" s="1"/>
  <c r="N830" i="2" s="1"/>
  <c r="B43" i="3" s="1"/>
  <c r="O43" i="3" s="1"/>
  <c r="B40" i="4" s="1"/>
  <c r="O40" i="4" s="1"/>
  <c r="B104" i="4" s="1"/>
  <c r="O104" i="4" s="1"/>
  <c r="B163" i="4" s="1"/>
  <c r="O163" i="4" s="1"/>
  <c r="B223" i="4" s="1"/>
  <c r="O223" i="4" s="1"/>
  <c r="B283" i="4" s="1"/>
  <c r="O283" i="4" s="1"/>
  <c r="B343" i="4" s="1"/>
  <c r="O343" i="4" s="1"/>
  <c r="B406" i="4" s="1"/>
  <c r="O406" i="4" s="1"/>
  <c r="B470" i="4" s="1"/>
  <c r="O470" i="4" s="1"/>
  <c r="B534" i="4" s="1"/>
  <c r="O534" i="4" s="1"/>
  <c r="B599" i="4" s="1"/>
  <c r="O599" i="4" s="1"/>
  <c r="B664" i="4" s="1"/>
  <c r="O664" i="4" s="1"/>
  <c r="B727" i="4" s="1"/>
  <c r="O727" i="4" s="1"/>
  <c r="N37" i="2"/>
  <c r="A104" i="2" s="1"/>
  <c r="N104" i="2" s="1"/>
  <c r="A173" i="2" s="1"/>
  <c r="N173" i="2" s="1"/>
  <c r="A242" i="2" s="1"/>
  <c r="N242" i="2" s="1"/>
  <c r="A312" i="2" s="1"/>
  <c r="N312" i="2" s="1"/>
  <c r="A384" i="2" s="1"/>
  <c r="N384" i="2" s="1"/>
  <c r="A457" i="2" s="1"/>
  <c r="N457" i="2" s="1"/>
  <c r="A531" i="2" s="1"/>
  <c r="N531" i="2" s="1"/>
  <c r="A605" i="2" s="1"/>
  <c r="N605" i="2" s="1"/>
  <c r="A679" i="2" s="1"/>
  <c r="N679" i="2" s="1"/>
  <c r="A753" i="2" s="1"/>
  <c r="N753" i="2" s="1"/>
  <c r="A827" i="2" s="1"/>
  <c r="N827" i="2" s="1"/>
  <c r="B40" i="3" s="1"/>
  <c r="O40" i="3" s="1"/>
  <c r="B37" i="4" s="1"/>
  <c r="O37" i="4" s="1"/>
  <c r="B101" i="4" s="1"/>
  <c r="O101" i="4" s="1"/>
  <c r="B160" i="4" s="1"/>
  <c r="O160" i="4" s="1"/>
  <c r="B220" i="4" s="1"/>
  <c r="O220" i="4" s="1"/>
  <c r="B280" i="4" s="1"/>
  <c r="O280" i="4" s="1"/>
  <c r="B340" i="4" s="1"/>
  <c r="O340" i="4" s="1"/>
  <c r="B403" i="4" s="1"/>
  <c r="O403" i="4" s="1"/>
  <c r="B467" i="4" s="1"/>
  <c r="O467" i="4" s="1"/>
  <c r="B531" i="4" s="1"/>
  <c r="O531" i="4" s="1"/>
  <c r="B596" i="4" s="1"/>
  <c r="O596" i="4" s="1"/>
  <c r="B661" i="4" s="1"/>
  <c r="O661" i="4" s="1"/>
  <c r="B724" i="4" s="1"/>
  <c r="O724" i="4" s="1"/>
  <c r="N36" i="2"/>
  <c r="A103" i="2" s="1"/>
  <c r="N103" i="2" s="1"/>
  <c r="A172" i="2" s="1"/>
  <c r="N172" i="2" s="1"/>
  <c r="A241" i="2" s="1"/>
  <c r="N241" i="2" s="1"/>
  <c r="A311" i="2" s="1"/>
  <c r="N311" i="2" s="1"/>
  <c r="A383" i="2" s="1"/>
  <c r="N383" i="2" s="1"/>
  <c r="A456" i="2" s="1"/>
  <c r="N456" i="2" s="1"/>
  <c r="A530" i="2" s="1"/>
  <c r="N530" i="2" s="1"/>
  <c r="A604" i="2" s="1"/>
  <c r="N604" i="2" s="1"/>
  <c r="A678" i="2" s="1"/>
  <c r="N678" i="2" s="1"/>
  <c r="A752" i="2" s="1"/>
  <c r="N752" i="2" s="1"/>
  <c r="A826" i="2" s="1"/>
  <c r="N826" i="2" s="1"/>
  <c r="B39" i="3" s="1"/>
  <c r="O39" i="3" s="1"/>
  <c r="B36" i="4" s="1"/>
  <c r="O36" i="4" s="1"/>
  <c r="B100" i="4" s="1"/>
  <c r="O100" i="4" s="1"/>
  <c r="B159" i="4" s="1"/>
  <c r="O159" i="4" s="1"/>
  <c r="B219" i="4" s="1"/>
  <c r="O219" i="4" s="1"/>
  <c r="B279" i="4" s="1"/>
  <c r="O279" i="4" s="1"/>
  <c r="B339" i="4" s="1"/>
  <c r="O339" i="4" s="1"/>
  <c r="B402" i="4" s="1"/>
  <c r="O402" i="4" s="1"/>
  <c r="B466" i="4" s="1"/>
  <c r="O466" i="4" s="1"/>
  <c r="B530" i="4" s="1"/>
  <c r="O530" i="4" s="1"/>
  <c r="B595" i="4" s="1"/>
  <c r="O595" i="4" s="1"/>
  <c r="B660" i="4" s="1"/>
  <c r="O660" i="4" s="1"/>
  <c r="B723" i="4" s="1"/>
  <c r="O723" i="4" s="1"/>
  <c r="N35" i="2"/>
  <c r="A102" i="2" s="1"/>
  <c r="N102" i="2" s="1"/>
  <c r="A171" i="2" s="1"/>
  <c r="N171" i="2" s="1"/>
  <c r="A240" i="2" s="1"/>
  <c r="N240" i="2" s="1"/>
  <c r="A310" i="2" s="1"/>
  <c r="N310" i="2" s="1"/>
  <c r="A382" i="2" s="1"/>
  <c r="N382" i="2" s="1"/>
  <c r="A455" i="2" s="1"/>
  <c r="N455" i="2" s="1"/>
  <c r="A529" i="2" s="1"/>
  <c r="N529" i="2" s="1"/>
  <c r="A603" i="2" s="1"/>
  <c r="N603" i="2" s="1"/>
  <c r="A677" i="2" s="1"/>
  <c r="N677" i="2" s="1"/>
  <c r="A751" i="2" s="1"/>
  <c r="N751" i="2" s="1"/>
  <c r="A825" i="2" s="1"/>
  <c r="N825" i="2" s="1"/>
  <c r="B38" i="3" s="1"/>
  <c r="O38" i="3" s="1"/>
  <c r="B35" i="4" s="1"/>
  <c r="O35" i="4" s="1"/>
  <c r="B99" i="4" s="1"/>
  <c r="O99" i="4" s="1"/>
  <c r="B158" i="4" s="1"/>
  <c r="O158" i="4" s="1"/>
  <c r="B218" i="4" s="1"/>
  <c r="O218" i="4" s="1"/>
  <c r="B278" i="4" s="1"/>
  <c r="O278" i="4" s="1"/>
  <c r="B338" i="4" s="1"/>
  <c r="O338" i="4" s="1"/>
  <c r="B401" i="4" s="1"/>
  <c r="O401" i="4" s="1"/>
  <c r="B465" i="4" s="1"/>
  <c r="O465" i="4" s="1"/>
  <c r="B529" i="4" s="1"/>
  <c r="O529" i="4" s="1"/>
  <c r="B594" i="4" s="1"/>
  <c r="O594" i="4" s="1"/>
  <c r="B659" i="4" s="1"/>
  <c r="O659" i="4" s="1"/>
  <c r="B722" i="4" s="1"/>
  <c r="O722" i="4" s="1"/>
  <c r="N34" i="2"/>
  <c r="A101" i="2" s="1"/>
  <c r="N101" i="2" s="1"/>
  <c r="A170" i="2" s="1"/>
  <c r="N170" i="2" s="1"/>
  <c r="A239" i="2" s="1"/>
  <c r="N239" i="2" s="1"/>
  <c r="A309" i="2" s="1"/>
  <c r="N309" i="2" s="1"/>
  <c r="A381" i="2" s="1"/>
  <c r="N381" i="2" s="1"/>
  <c r="A454" i="2" s="1"/>
  <c r="N454" i="2" s="1"/>
  <c r="A528" i="2" s="1"/>
  <c r="N528" i="2" s="1"/>
  <c r="A602" i="2" s="1"/>
  <c r="N602" i="2" s="1"/>
  <c r="A676" i="2" s="1"/>
  <c r="N676" i="2" s="1"/>
  <c r="A750" i="2" s="1"/>
  <c r="N750" i="2" s="1"/>
  <c r="A824" i="2" s="1"/>
  <c r="N824" i="2" s="1"/>
  <c r="B37" i="3" s="1"/>
  <c r="O37" i="3" s="1"/>
  <c r="B34" i="4" s="1"/>
  <c r="O34" i="4" s="1"/>
  <c r="B98" i="4" s="1"/>
  <c r="O98" i="4" s="1"/>
  <c r="B157" i="4" s="1"/>
  <c r="O157" i="4" s="1"/>
  <c r="B217" i="4" s="1"/>
  <c r="O217" i="4" s="1"/>
  <c r="B277" i="4" s="1"/>
  <c r="O277" i="4" s="1"/>
  <c r="B337" i="4" s="1"/>
  <c r="O337" i="4" s="1"/>
  <c r="B400" i="4" s="1"/>
  <c r="O400" i="4" s="1"/>
  <c r="B464" i="4" s="1"/>
  <c r="O464" i="4" s="1"/>
  <c r="B528" i="4" s="1"/>
  <c r="O528" i="4" s="1"/>
  <c r="B593" i="4" s="1"/>
  <c r="O593" i="4" s="1"/>
  <c r="B658" i="4" s="1"/>
  <c r="O658" i="4" s="1"/>
  <c r="B721" i="4" s="1"/>
  <c r="O721" i="4" s="1"/>
  <c r="N33" i="2"/>
  <c r="A100" i="2" s="1"/>
  <c r="N100" i="2" s="1"/>
  <c r="A169" i="2" s="1"/>
  <c r="N169" i="2" s="1"/>
  <c r="A238" i="2" s="1"/>
  <c r="N238" i="2" s="1"/>
  <c r="A308" i="2" s="1"/>
  <c r="N308" i="2" s="1"/>
  <c r="A380" i="2" s="1"/>
  <c r="N380" i="2" s="1"/>
  <c r="A453" i="2" s="1"/>
  <c r="N453" i="2" s="1"/>
  <c r="A527" i="2" s="1"/>
  <c r="N527" i="2" s="1"/>
  <c r="A601" i="2" s="1"/>
  <c r="N601" i="2" s="1"/>
  <c r="A675" i="2" s="1"/>
  <c r="N675" i="2" s="1"/>
  <c r="A749" i="2" s="1"/>
  <c r="N749" i="2" s="1"/>
  <c r="A823" i="2" s="1"/>
  <c r="N823" i="2" s="1"/>
  <c r="B36" i="3" s="1"/>
  <c r="O36" i="3" s="1"/>
  <c r="B33" i="4" s="1"/>
  <c r="O33" i="4" s="1"/>
  <c r="B97" i="4" s="1"/>
  <c r="O97" i="4" s="1"/>
  <c r="B156" i="4" s="1"/>
  <c r="O156" i="4" s="1"/>
  <c r="B216" i="4" s="1"/>
  <c r="O216" i="4" s="1"/>
  <c r="B276" i="4" s="1"/>
  <c r="O276" i="4" s="1"/>
  <c r="B336" i="4" s="1"/>
  <c r="O336" i="4" s="1"/>
  <c r="B399" i="4" s="1"/>
  <c r="O399" i="4" s="1"/>
  <c r="B463" i="4" s="1"/>
  <c r="O463" i="4" s="1"/>
  <c r="B527" i="4" s="1"/>
  <c r="O527" i="4" s="1"/>
  <c r="B592" i="4" s="1"/>
  <c r="O592" i="4" s="1"/>
  <c r="B657" i="4" s="1"/>
  <c r="O657" i="4" s="1"/>
  <c r="B720" i="4" s="1"/>
  <c r="O720" i="4" s="1"/>
  <c r="N32" i="2"/>
  <c r="A99" i="2" s="1"/>
  <c r="N99" i="2" s="1"/>
  <c r="A168" i="2" s="1"/>
  <c r="N168" i="2" s="1"/>
  <c r="A237" i="2" s="1"/>
  <c r="N237" i="2" s="1"/>
  <c r="A307" i="2" s="1"/>
  <c r="N307" i="2" s="1"/>
  <c r="A378" i="2" s="1"/>
  <c r="N378" i="2" s="1"/>
  <c r="A451" i="2" s="1"/>
  <c r="N451" i="2" s="1"/>
  <c r="A525" i="2" s="1"/>
  <c r="N525" i="2" s="1"/>
  <c r="A599" i="2" s="1"/>
  <c r="N599" i="2" s="1"/>
  <c r="A673" i="2" s="1"/>
  <c r="N673" i="2" s="1"/>
  <c r="A747" i="2" s="1"/>
  <c r="N747" i="2" s="1"/>
  <c r="A821" i="2" s="1"/>
  <c r="N821" i="2" s="1"/>
  <c r="B34" i="3" s="1"/>
  <c r="O34" i="3" s="1"/>
  <c r="N31" i="2"/>
  <c r="A98" i="2" s="1"/>
  <c r="N98" i="2" s="1"/>
  <c r="A167" i="2" s="1"/>
  <c r="N167" i="2" s="1"/>
  <c r="A236" i="2" s="1"/>
  <c r="N236" i="2" s="1"/>
  <c r="A306" i="2" s="1"/>
  <c r="N306" i="2" s="1"/>
  <c r="A377" i="2" s="1"/>
  <c r="N377" i="2" s="1"/>
  <c r="A450" i="2" s="1"/>
  <c r="N450" i="2" s="1"/>
  <c r="A524" i="2" s="1"/>
  <c r="N524" i="2" s="1"/>
  <c r="A598" i="2" s="1"/>
  <c r="N598" i="2" s="1"/>
  <c r="A672" i="2" s="1"/>
  <c r="N672" i="2" s="1"/>
  <c r="A746" i="2" s="1"/>
  <c r="N746" i="2" s="1"/>
  <c r="A820" i="2" s="1"/>
  <c r="N820" i="2" s="1"/>
  <c r="B33" i="3" s="1"/>
  <c r="O33" i="3" s="1"/>
  <c r="B31" i="4" s="1"/>
  <c r="O31" i="4" s="1"/>
  <c r="B95" i="4" s="1"/>
  <c r="O95" i="4" s="1"/>
  <c r="B154" i="4" s="1"/>
  <c r="O154" i="4" s="1"/>
  <c r="B214" i="4" s="1"/>
  <c r="O214" i="4" s="1"/>
  <c r="B274" i="4" s="1"/>
  <c r="O274" i="4" s="1"/>
  <c r="B334" i="4" s="1"/>
  <c r="O334" i="4" s="1"/>
  <c r="B397" i="4" s="1"/>
  <c r="O397" i="4" s="1"/>
  <c r="B461" i="4" s="1"/>
  <c r="O461" i="4" s="1"/>
  <c r="B525" i="4" s="1"/>
  <c r="O525" i="4" s="1"/>
  <c r="B590" i="4" s="1"/>
  <c r="O590" i="4" s="1"/>
  <c r="B655" i="4" s="1"/>
  <c r="O655" i="4" s="1"/>
  <c r="B718" i="4" s="1"/>
  <c r="O718" i="4" s="1"/>
  <c r="N30" i="2"/>
  <c r="A97" i="2" s="1"/>
  <c r="N97" i="2" s="1"/>
  <c r="A166" i="2" s="1"/>
  <c r="N166" i="2" s="1"/>
  <c r="A235" i="2" s="1"/>
  <c r="N235" i="2" s="1"/>
  <c r="A305" i="2" s="1"/>
  <c r="N305" i="2" s="1"/>
  <c r="A376" i="2" s="1"/>
  <c r="N376" i="2" s="1"/>
  <c r="A449" i="2" s="1"/>
  <c r="N449" i="2" s="1"/>
  <c r="A523" i="2" s="1"/>
  <c r="N523" i="2" s="1"/>
  <c r="A597" i="2" s="1"/>
  <c r="N597" i="2" s="1"/>
  <c r="A671" i="2" s="1"/>
  <c r="N671" i="2" s="1"/>
  <c r="A745" i="2" s="1"/>
  <c r="N745" i="2" s="1"/>
  <c r="A819" i="2" s="1"/>
  <c r="N819" i="2" s="1"/>
  <c r="B32" i="3" s="1"/>
  <c r="O32" i="3" s="1"/>
  <c r="B30" i="4" s="1"/>
  <c r="O30" i="4" s="1"/>
  <c r="B94" i="4" s="1"/>
  <c r="O94" i="4" s="1"/>
  <c r="B153" i="4" s="1"/>
  <c r="O153" i="4" s="1"/>
  <c r="B213" i="4" s="1"/>
  <c r="O213" i="4" s="1"/>
  <c r="B273" i="4" s="1"/>
  <c r="O273" i="4" s="1"/>
  <c r="B333" i="4" s="1"/>
  <c r="O333" i="4" s="1"/>
  <c r="B396" i="4" s="1"/>
  <c r="O396" i="4" s="1"/>
  <c r="B460" i="4" s="1"/>
  <c r="O460" i="4" s="1"/>
  <c r="B524" i="4" s="1"/>
  <c r="O524" i="4" s="1"/>
  <c r="B589" i="4" s="1"/>
  <c r="O589" i="4" s="1"/>
  <c r="B654" i="4" s="1"/>
  <c r="O654" i="4" s="1"/>
  <c r="B717" i="4" s="1"/>
  <c r="O717" i="4" s="1"/>
  <c r="N29" i="2"/>
  <c r="A96" i="2" s="1"/>
  <c r="N96" i="2" s="1"/>
  <c r="A165" i="2" s="1"/>
  <c r="N165" i="2" s="1"/>
  <c r="A234" i="2" s="1"/>
  <c r="N234" i="2" s="1"/>
  <c r="A304" i="2" s="1"/>
  <c r="N304" i="2" s="1"/>
  <c r="A375" i="2" s="1"/>
  <c r="N375" i="2" s="1"/>
  <c r="A448" i="2" s="1"/>
  <c r="N448" i="2" s="1"/>
  <c r="A522" i="2" s="1"/>
  <c r="N522" i="2" s="1"/>
  <c r="A596" i="2" s="1"/>
  <c r="N596" i="2" s="1"/>
  <c r="A670" i="2" s="1"/>
  <c r="N670" i="2" s="1"/>
  <c r="A744" i="2" s="1"/>
  <c r="N744" i="2" s="1"/>
  <c r="A818" i="2" s="1"/>
  <c r="N818" i="2" s="1"/>
  <c r="B31" i="3" s="1"/>
  <c r="O31" i="3" s="1"/>
  <c r="B29" i="4" s="1"/>
  <c r="O29" i="4" s="1"/>
  <c r="B93" i="4" s="1"/>
  <c r="O93" i="4" s="1"/>
  <c r="B152" i="4" s="1"/>
  <c r="O152" i="4" s="1"/>
  <c r="B212" i="4" s="1"/>
  <c r="O212" i="4" s="1"/>
  <c r="B272" i="4" s="1"/>
  <c r="O272" i="4" s="1"/>
  <c r="B332" i="4" s="1"/>
  <c r="O332" i="4" s="1"/>
  <c r="B395" i="4" s="1"/>
  <c r="O395" i="4" s="1"/>
  <c r="B459" i="4" s="1"/>
  <c r="O459" i="4" s="1"/>
  <c r="B523" i="4" s="1"/>
  <c r="O523" i="4" s="1"/>
  <c r="B588" i="4" s="1"/>
  <c r="O588" i="4" s="1"/>
  <c r="B653" i="4" s="1"/>
  <c r="O653" i="4" s="1"/>
  <c r="B716" i="4" s="1"/>
  <c r="O716" i="4" s="1"/>
  <c r="N28" i="2"/>
  <c r="A95" i="2" s="1"/>
  <c r="N95" i="2" s="1"/>
  <c r="A164" i="2" s="1"/>
  <c r="N164" i="2" s="1"/>
  <c r="A233" i="2" s="1"/>
  <c r="N233" i="2" s="1"/>
  <c r="A303" i="2" s="1"/>
  <c r="N303" i="2" s="1"/>
  <c r="A374" i="2" s="1"/>
  <c r="N374" i="2" s="1"/>
  <c r="A447" i="2" s="1"/>
  <c r="N447" i="2" s="1"/>
  <c r="A521" i="2" s="1"/>
  <c r="N521" i="2" s="1"/>
  <c r="A595" i="2" s="1"/>
  <c r="N595" i="2" s="1"/>
  <c r="A669" i="2" s="1"/>
  <c r="N669" i="2" s="1"/>
  <c r="A743" i="2" s="1"/>
  <c r="N743" i="2" s="1"/>
  <c r="A817" i="2" s="1"/>
  <c r="N817" i="2" s="1"/>
  <c r="B30" i="3" s="1"/>
  <c r="O30" i="3" s="1"/>
  <c r="B28" i="4" s="1"/>
  <c r="O28" i="4" s="1"/>
  <c r="B92" i="4" s="1"/>
  <c r="O92" i="4" s="1"/>
  <c r="B151" i="4" s="1"/>
  <c r="O151" i="4" s="1"/>
  <c r="B211" i="4" s="1"/>
  <c r="O211" i="4" s="1"/>
  <c r="B271" i="4" s="1"/>
  <c r="O271" i="4" s="1"/>
  <c r="B331" i="4" s="1"/>
  <c r="O331" i="4" s="1"/>
  <c r="B394" i="4" s="1"/>
  <c r="O394" i="4" s="1"/>
  <c r="B458" i="4" s="1"/>
  <c r="O458" i="4" s="1"/>
  <c r="B522" i="4" s="1"/>
  <c r="O522" i="4" s="1"/>
  <c r="B587" i="4" s="1"/>
  <c r="O587" i="4" s="1"/>
  <c r="B652" i="4" s="1"/>
  <c r="O652" i="4" s="1"/>
  <c r="B715" i="4" s="1"/>
  <c r="O715" i="4" s="1"/>
  <c r="N27" i="2"/>
  <c r="A94" i="2" s="1"/>
  <c r="N94" i="2" s="1"/>
  <c r="A163" i="2" s="1"/>
  <c r="N163" i="2" s="1"/>
  <c r="A232" i="2" s="1"/>
  <c r="N232" i="2" s="1"/>
  <c r="A302" i="2" s="1"/>
  <c r="N302" i="2" s="1"/>
  <c r="A373" i="2" s="1"/>
  <c r="N373" i="2" s="1"/>
  <c r="A446" i="2" s="1"/>
  <c r="N446" i="2" s="1"/>
  <c r="A520" i="2" s="1"/>
  <c r="N520" i="2" s="1"/>
  <c r="A594" i="2" s="1"/>
  <c r="N594" i="2" s="1"/>
  <c r="A668" i="2" s="1"/>
  <c r="N668" i="2" s="1"/>
  <c r="A742" i="2" s="1"/>
  <c r="N742" i="2" s="1"/>
  <c r="A816" i="2" s="1"/>
  <c r="N816" i="2" s="1"/>
  <c r="B29" i="3" s="1"/>
  <c r="O29" i="3" s="1"/>
  <c r="B27" i="4" s="1"/>
  <c r="O27" i="4" s="1"/>
  <c r="B91" i="4" s="1"/>
  <c r="O91" i="4" s="1"/>
  <c r="B150" i="4" s="1"/>
  <c r="O150" i="4" s="1"/>
  <c r="B210" i="4" s="1"/>
  <c r="O210" i="4" s="1"/>
  <c r="B270" i="4" s="1"/>
  <c r="O270" i="4" s="1"/>
  <c r="B330" i="4" s="1"/>
  <c r="O330" i="4" s="1"/>
  <c r="B393" i="4" s="1"/>
  <c r="O393" i="4" s="1"/>
  <c r="B457" i="4" s="1"/>
  <c r="O457" i="4" s="1"/>
  <c r="B521" i="4" s="1"/>
  <c r="O521" i="4" s="1"/>
  <c r="B586" i="4" s="1"/>
  <c r="O586" i="4" s="1"/>
  <c r="B651" i="4" s="1"/>
  <c r="O651" i="4" s="1"/>
  <c r="B714" i="4" s="1"/>
  <c r="O714" i="4" s="1"/>
  <c r="N24" i="2"/>
  <c r="A91" i="2" s="1"/>
  <c r="N91" i="2" s="1"/>
  <c r="A160" i="2" s="1"/>
  <c r="N160" i="2" s="1"/>
  <c r="A229" i="2" s="1"/>
  <c r="N229" i="2" s="1"/>
  <c r="A299" i="2" s="1"/>
  <c r="N299" i="2" s="1"/>
  <c r="A370" i="2" s="1"/>
  <c r="N370" i="2" s="1"/>
  <c r="A443" i="2" s="1"/>
  <c r="N443" i="2" s="1"/>
  <c r="A517" i="2" s="1"/>
  <c r="N517" i="2" s="1"/>
  <c r="A591" i="2" s="1"/>
  <c r="N591" i="2" s="1"/>
  <c r="A665" i="2" s="1"/>
  <c r="N665" i="2" s="1"/>
  <c r="A739" i="2" s="1"/>
  <c r="N739" i="2" s="1"/>
  <c r="A813" i="2" s="1"/>
  <c r="N813" i="2" s="1"/>
  <c r="B26" i="3" s="1"/>
  <c r="O26" i="3" s="1"/>
  <c r="B24" i="4" s="1"/>
  <c r="O24" i="4" s="1"/>
  <c r="B88" i="4" s="1"/>
  <c r="O88" i="4" s="1"/>
  <c r="B147" i="4" s="1"/>
  <c r="O147" i="4" s="1"/>
  <c r="B207" i="4" s="1"/>
  <c r="O207" i="4" s="1"/>
  <c r="B267" i="4" s="1"/>
  <c r="O267" i="4" s="1"/>
  <c r="B327" i="4" s="1"/>
  <c r="O327" i="4" s="1"/>
  <c r="B390" i="4" s="1"/>
  <c r="O390" i="4" s="1"/>
  <c r="B454" i="4" s="1"/>
  <c r="O454" i="4" s="1"/>
  <c r="B518" i="4" s="1"/>
  <c r="O518" i="4" s="1"/>
  <c r="B583" i="4" s="1"/>
  <c r="O583" i="4" s="1"/>
  <c r="B648" i="4" s="1"/>
  <c r="O648" i="4" s="1"/>
  <c r="B711" i="4" s="1"/>
  <c r="O711" i="4" s="1"/>
  <c r="N23" i="2"/>
  <c r="A90" i="2" s="1"/>
  <c r="N90" i="2" s="1"/>
  <c r="A159" i="2" s="1"/>
  <c r="N159" i="2" s="1"/>
  <c r="A228" i="2" s="1"/>
  <c r="N228" i="2" s="1"/>
  <c r="A298" i="2" s="1"/>
  <c r="N298" i="2" s="1"/>
  <c r="A369" i="2" s="1"/>
  <c r="N369" i="2" s="1"/>
  <c r="A442" i="2" s="1"/>
  <c r="N442" i="2" s="1"/>
  <c r="A516" i="2" s="1"/>
  <c r="N516" i="2" s="1"/>
  <c r="A590" i="2" s="1"/>
  <c r="N590" i="2" s="1"/>
  <c r="A664" i="2" s="1"/>
  <c r="N664" i="2" s="1"/>
  <c r="A738" i="2" s="1"/>
  <c r="N738" i="2" s="1"/>
  <c r="A812" i="2" s="1"/>
  <c r="N812" i="2" s="1"/>
  <c r="B25" i="3" s="1"/>
  <c r="O25" i="3" s="1"/>
  <c r="B23" i="4" s="1"/>
  <c r="O23" i="4" s="1"/>
  <c r="B87" i="4" s="1"/>
  <c r="O87" i="4" s="1"/>
  <c r="B146" i="4" s="1"/>
  <c r="O146" i="4" s="1"/>
  <c r="B206" i="4" s="1"/>
  <c r="O206" i="4" s="1"/>
  <c r="B266" i="4" s="1"/>
  <c r="O266" i="4" s="1"/>
  <c r="B326" i="4" s="1"/>
  <c r="O326" i="4" s="1"/>
  <c r="B389" i="4" s="1"/>
  <c r="O389" i="4" s="1"/>
  <c r="B453" i="4" s="1"/>
  <c r="O453" i="4" s="1"/>
  <c r="B517" i="4" s="1"/>
  <c r="O517" i="4" s="1"/>
  <c r="B582" i="4" s="1"/>
  <c r="O582" i="4" s="1"/>
  <c r="B647" i="4" s="1"/>
  <c r="O647" i="4" s="1"/>
  <c r="B710" i="4" s="1"/>
  <c r="O710" i="4" s="1"/>
  <c r="N22" i="2"/>
  <c r="A89" i="2" s="1"/>
  <c r="N89" i="2" s="1"/>
  <c r="A158" i="2" s="1"/>
  <c r="N158" i="2" s="1"/>
  <c r="A227" i="2" s="1"/>
  <c r="N227" i="2" s="1"/>
  <c r="A297" i="2" s="1"/>
  <c r="N297" i="2" s="1"/>
  <c r="A368" i="2" s="1"/>
  <c r="N368" i="2" s="1"/>
  <c r="A441" i="2" s="1"/>
  <c r="N441" i="2" s="1"/>
  <c r="A515" i="2" s="1"/>
  <c r="N515" i="2" s="1"/>
  <c r="A589" i="2" s="1"/>
  <c r="N589" i="2" s="1"/>
  <c r="A663" i="2" s="1"/>
  <c r="N663" i="2" s="1"/>
  <c r="A737" i="2" s="1"/>
  <c r="N737" i="2" s="1"/>
  <c r="A811" i="2" s="1"/>
  <c r="N811" i="2" s="1"/>
  <c r="B24" i="3" s="1"/>
  <c r="O24" i="3" s="1"/>
  <c r="B22" i="4" s="1"/>
  <c r="O22" i="4" s="1"/>
  <c r="B86" i="4" s="1"/>
  <c r="O86" i="4" s="1"/>
  <c r="B145" i="4" s="1"/>
  <c r="O145" i="4" s="1"/>
  <c r="B205" i="4" s="1"/>
  <c r="O205" i="4" s="1"/>
  <c r="B265" i="4" s="1"/>
  <c r="O265" i="4" s="1"/>
  <c r="B325" i="4" s="1"/>
  <c r="O325" i="4" s="1"/>
  <c r="B388" i="4" s="1"/>
  <c r="O388" i="4" s="1"/>
  <c r="B452" i="4" s="1"/>
  <c r="O452" i="4" s="1"/>
  <c r="B516" i="4" s="1"/>
  <c r="O516" i="4" s="1"/>
  <c r="B581" i="4" s="1"/>
  <c r="O581" i="4" s="1"/>
  <c r="B646" i="4" s="1"/>
  <c r="O646" i="4" s="1"/>
  <c r="B709" i="4" s="1"/>
  <c r="O709" i="4" s="1"/>
  <c r="N21" i="2"/>
  <c r="A88" i="2" s="1"/>
  <c r="N88" i="2" s="1"/>
  <c r="A156" i="2" s="1"/>
  <c r="N156" i="2" s="1"/>
  <c r="A225" i="2" s="1"/>
  <c r="N225" i="2" s="1"/>
  <c r="A295" i="2" s="1"/>
  <c r="N295" i="2" s="1"/>
  <c r="A366" i="2" s="1"/>
  <c r="N366" i="2" s="1"/>
  <c r="A439" i="2" s="1"/>
  <c r="N439" i="2" s="1"/>
  <c r="A513" i="2" s="1"/>
  <c r="N513" i="2" s="1"/>
  <c r="A587" i="2" s="1"/>
  <c r="N587" i="2" s="1"/>
  <c r="A661" i="2" s="1"/>
  <c r="N661" i="2" s="1"/>
  <c r="A735" i="2" s="1"/>
  <c r="N735" i="2" s="1"/>
  <c r="A809" i="2" s="1"/>
  <c r="N809" i="2" s="1"/>
  <c r="B22" i="3" s="1"/>
  <c r="O22" i="3" s="1"/>
  <c r="N20" i="2"/>
  <c r="A87" i="2" s="1"/>
  <c r="N87" i="2" s="1"/>
  <c r="A155" i="2" s="1"/>
  <c r="N155" i="2" s="1"/>
  <c r="A224" i="2" s="1"/>
  <c r="N224" i="2" s="1"/>
  <c r="A294" i="2" s="1"/>
  <c r="N294" i="2" s="1"/>
  <c r="A365" i="2" s="1"/>
  <c r="N365" i="2" s="1"/>
  <c r="A438" i="2" s="1"/>
  <c r="N438" i="2" s="1"/>
  <c r="A511" i="2" s="1"/>
  <c r="N511" i="2" s="1"/>
  <c r="A585" i="2" s="1"/>
  <c r="N585" i="2" s="1"/>
  <c r="A659" i="2" s="1"/>
  <c r="N659" i="2" s="1"/>
  <c r="A733" i="2" s="1"/>
  <c r="N733" i="2" s="1"/>
  <c r="A807" i="2" s="1"/>
  <c r="N807" i="2" s="1"/>
  <c r="B20" i="3" s="1"/>
  <c r="O20" i="3" s="1"/>
  <c r="B21" i="4" s="1"/>
  <c r="O21" i="4" s="1"/>
  <c r="B85" i="4" s="1"/>
  <c r="O85" i="4" s="1"/>
  <c r="B144" i="4" s="1"/>
  <c r="O144" i="4" s="1"/>
  <c r="B204" i="4" s="1"/>
  <c r="O204" i="4" s="1"/>
  <c r="B264" i="4" s="1"/>
  <c r="O264" i="4" s="1"/>
  <c r="B324" i="4" s="1"/>
  <c r="O324" i="4" s="1"/>
  <c r="B387" i="4" s="1"/>
  <c r="O387" i="4" s="1"/>
  <c r="B451" i="4" s="1"/>
  <c r="O451" i="4" s="1"/>
  <c r="B515" i="4" s="1"/>
  <c r="O515" i="4" s="1"/>
  <c r="B580" i="4" s="1"/>
  <c r="O580" i="4" s="1"/>
  <c r="B645" i="4" s="1"/>
  <c r="O645" i="4" s="1"/>
  <c r="B708" i="4" s="1"/>
  <c r="O708" i="4" s="1"/>
  <c r="N19" i="2"/>
  <c r="A86" i="2" s="1"/>
  <c r="N86" i="2" s="1"/>
  <c r="A154" i="2" s="1"/>
  <c r="N154" i="2" s="1"/>
  <c r="A223" i="2" s="1"/>
  <c r="N223" i="2" s="1"/>
  <c r="A293" i="2" s="1"/>
  <c r="N293" i="2" s="1"/>
  <c r="A364" i="2" s="1"/>
  <c r="N364" i="2" s="1"/>
  <c r="A437" i="2" s="1"/>
  <c r="N437" i="2" s="1"/>
  <c r="A510" i="2" s="1"/>
  <c r="N510" i="2" s="1"/>
  <c r="A584" i="2" s="1"/>
  <c r="N584" i="2" s="1"/>
  <c r="A658" i="2" s="1"/>
  <c r="N658" i="2" s="1"/>
  <c r="A732" i="2" s="1"/>
  <c r="N732" i="2" s="1"/>
  <c r="A806" i="2" s="1"/>
  <c r="N806" i="2" s="1"/>
  <c r="B19" i="3" s="1"/>
  <c r="O19" i="3" s="1"/>
  <c r="B20" i="4" s="1"/>
  <c r="O20" i="4" s="1"/>
  <c r="B84" i="4" s="1"/>
  <c r="O84" i="4" s="1"/>
  <c r="B143" i="4" s="1"/>
  <c r="O143" i="4" s="1"/>
  <c r="B203" i="4" s="1"/>
  <c r="O203" i="4" s="1"/>
  <c r="B263" i="4" s="1"/>
  <c r="O263" i="4" s="1"/>
  <c r="B323" i="4" s="1"/>
  <c r="O323" i="4" s="1"/>
  <c r="B386" i="4" s="1"/>
  <c r="O386" i="4" s="1"/>
  <c r="B450" i="4" s="1"/>
  <c r="O450" i="4" s="1"/>
  <c r="B514" i="4" s="1"/>
  <c r="O514" i="4" s="1"/>
  <c r="B579" i="4" s="1"/>
  <c r="O579" i="4" s="1"/>
  <c r="B644" i="4" s="1"/>
  <c r="O644" i="4" s="1"/>
  <c r="B707" i="4" s="1"/>
  <c r="O707" i="4" s="1"/>
  <c r="N18" i="2"/>
  <c r="A85" i="2" s="1"/>
  <c r="N85" i="2" s="1"/>
  <c r="A153" i="2" s="1"/>
  <c r="N153" i="2" s="1"/>
  <c r="A222" i="2" s="1"/>
  <c r="N222" i="2" s="1"/>
  <c r="A292" i="2" s="1"/>
  <c r="N292" i="2" s="1"/>
  <c r="A363" i="2" s="1"/>
  <c r="N363" i="2" s="1"/>
  <c r="A436" i="2" s="1"/>
  <c r="N436" i="2" s="1"/>
  <c r="A509" i="2" s="1"/>
  <c r="N509" i="2" s="1"/>
  <c r="A583" i="2" s="1"/>
  <c r="N583" i="2" s="1"/>
  <c r="A657" i="2" s="1"/>
  <c r="N657" i="2" s="1"/>
  <c r="A731" i="2" s="1"/>
  <c r="N731" i="2" s="1"/>
  <c r="A805" i="2" s="1"/>
  <c r="N805" i="2" s="1"/>
  <c r="B18" i="3" s="1"/>
  <c r="O18" i="3" s="1"/>
  <c r="B19" i="4" s="1"/>
  <c r="O19" i="4" s="1"/>
  <c r="B83" i="4" s="1"/>
  <c r="O83" i="4" s="1"/>
  <c r="B142" i="4" s="1"/>
  <c r="O142" i="4" s="1"/>
  <c r="B202" i="4" s="1"/>
  <c r="O202" i="4" s="1"/>
  <c r="B262" i="4" s="1"/>
  <c r="O262" i="4" s="1"/>
  <c r="B322" i="4" s="1"/>
  <c r="O322" i="4" s="1"/>
  <c r="B385" i="4" s="1"/>
  <c r="O385" i="4" s="1"/>
  <c r="B449" i="4" s="1"/>
  <c r="O449" i="4" s="1"/>
  <c r="B513" i="4" s="1"/>
  <c r="O513" i="4" s="1"/>
  <c r="B578" i="4" s="1"/>
  <c r="O578" i="4" s="1"/>
  <c r="B643" i="4" s="1"/>
  <c r="O643" i="4" s="1"/>
  <c r="B706" i="4" s="1"/>
  <c r="O706" i="4" s="1"/>
  <c r="N17" i="2"/>
  <c r="A84" i="2" s="1"/>
  <c r="N84" i="2" s="1"/>
  <c r="A152" i="2" s="1"/>
  <c r="N152" i="2" s="1"/>
  <c r="A221" i="2" s="1"/>
  <c r="N221" i="2" s="1"/>
  <c r="A291" i="2" s="1"/>
  <c r="N291" i="2" s="1"/>
  <c r="A362" i="2" s="1"/>
  <c r="N362" i="2" s="1"/>
  <c r="A435" i="2" s="1"/>
  <c r="N435" i="2" s="1"/>
  <c r="A508" i="2" s="1"/>
  <c r="N508" i="2" s="1"/>
  <c r="A582" i="2" s="1"/>
  <c r="N582" i="2" s="1"/>
  <c r="A656" i="2" s="1"/>
  <c r="N656" i="2" s="1"/>
  <c r="A730" i="2" s="1"/>
  <c r="N730" i="2" s="1"/>
  <c r="A804" i="2" s="1"/>
  <c r="N804" i="2" s="1"/>
  <c r="B17" i="3" s="1"/>
  <c r="O17" i="3" s="1"/>
  <c r="B18" i="4" s="1"/>
  <c r="O18" i="4" s="1"/>
  <c r="B82" i="4" s="1"/>
  <c r="O82" i="4" s="1"/>
  <c r="B141" i="4" s="1"/>
  <c r="O141" i="4" s="1"/>
  <c r="B201" i="4" s="1"/>
  <c r="O201" i="4" s="1"/>
  <c r="B261" i="4" s="1"/>
  <c r="O261" i="4" s="1"/>
  <c r="B321" i="4" s="1"/>
  <c r="O321" i="4" s="1"/>
  <c r="B384" i="4" s="1"/>
  <c r="O384" i="4" s="1"/>
  <c r="B448" i="4" s="1"/>
  <c r="O448" i="4" s="1"/>
  <c r="B512" i="4" s="1"/>
  <c r="O512" i="4" s="1"/>
  <c r="B577" i="4" s="1"/>
  <c r="O577" i="4" s="1"/>
  <c r="B642" i="4" s="1"/>
  <c r="O642" i="4" s="1"/>
  <c r="B705" i="4" s="1"/>
  <c r="O705" i="4" s="1"/>
  <c r="N16" i="2"/>
  <c r="A83" i="2" s="1"/>
  <c r="N83" i="2" s="1"/>
  <c r="A151" i="2" s="1"/>
  <c r="N151" i="2" s="1"/>
  <c r="A220" i="2" s="1"/>
  <c r="N220" i="2" s="1"/>
  <c r="A290" i="2" s="1"/>
  <c r="N290" i="2" s="1"/>
  <c r="A361" i="2" s="1"/>
  <c r="N361" i="2" s="1"/>
  <c r="A434" i="2" s="1"/>
  <c r="N434" i="2" s="1"/>
  <c r="A507" i="2" s="1"/>
  <c r="N507" i="2" s="1"/>
  <c r="A581" i="2" s="1"/>
  <c r="N581" i="2" s="1"/>
  <c r="A655" i="2" s="1"/>
  <c r="N655" i="2" s="1"/>
  <c r="A729" i="2" s="1"/>
  <c r="N729" i="2" s="1"/>
  <c r="A803" i="2" s="1"/>
  <c r="N803" i="2" s="1"/>
  <c r="B16" i="3" s="1"/>
  <c r="O16" i="3" s="1"/>
  <c r="B17" i="4" s="1"/>
  <c r="O17" i="4" s="1"/>
  <c r="B81" i="4" s="1"/>
  <c r="O81" i="4" s="1"/>
  <c r="B140" i="4" s="1"/>
  <c r="O140" i="4" s="1"/>
  <c r="B200" i="4" s="1"/>
  <c r="O200" i="4" s="1"/>
  <c r="B260" i="4" s="1"/>
  <c r="O260" i="4" s="1"/>
  <c r="B320" i="4" s="1"/>
  <c r="O320" i="4" s="1"/>
  <c r="B383" i="4" s="1"/>
  <c r="O383" i="4" s="1"/>
  <c r="B447" i="4" s="1"/>
  <c r="O447" i="4" s="1"/>
  <c r="B511" i="4" s="1"/>
  <c r="O511" i="4" s="1"/>
  <c r="B576" i="4" s="1"/>
  <c r="O576" i="4" s="1"/>
  <c r="B641" i="4" s="1"/>
  <c r="O641" i="4" s="1"/>
  <c r="B704" i="4" s="1"/>
  <c r="O704" i="4" s="1"/>
  <c r="N11" i="2"/>
  <c r="A78" i="2" s="1"/>
  <c r="N78" i="2" s="1"/>
  <c r="A146" i="2" s="1"/>
  <c r="N146" i="2" s="1"/>
  <c r="A215" i="2" s="1"/>
  <c r="N215" i="2" s="1"/>
  <c r="A285" i="2" s="1"/>
  <c r="N285" i="2" s="1"/>
  <c r="A356" i="2" s="1"/>
  <c r="N356" i="2" s="1"/>
  <c r="A429" i="2" s="1"/>
  <c r="N429" i="2" s="1"/>
  <c r="A502" i="2" s="1"/>
  <c r="N502" i="2" s="1"/>
  <c r="A576" i="2" s="1"/>
  <c r="N576" i="2" s="1"/>
  <c r="A650" i="2" s="1"/>
  <c r="N650" i="2" s="1"/>
  <c r="A724" i="2" s="1"/>
  <c r="N724" i="2" s="1"/>
  <c r="A798" i="2" s="1"/>
  <c r="N798" i="2" s="1"/>
  <c r="B11" i="3" s="1"/>
  <c r="O11" i="3" s="1"/>
  <c r="B12" i="4" s="1"/>
  <c r="O12" i="4" s="1"/>
  <c r="B76" i="4" s="1"/>
  <c r="O76" i="4" s="1"/>
  <c r="B135" i="4" s="1"/>
  <c r="O135" i="4" s="1"/>
  <c r="B195" i="4" s="1"/>
  <c r="O195" i="4" s="1"/>
  <c r="B255" i="4" s="1"/>
  <c r="O255" i="4" s="1"/>
  <c r="B315" i="4" s="1"/>
  <c r="O315" i="4" s="1"/>
  <c r="B378" i="4" s="1"/>
  <c r="O378" i="4" s="1"/>
  <c r="B441" i="4" s="1"/>
  <c r="O441" i="4" s="1"/>
  <c r="B505" i="4" s="1"/>
  <c r="O505" i="4" s="1"/>
  <c r="B570" i="4" s="1"/>
  <c r="O570" i="4" s="1"/>
  <c r="B635" i="4" s="1"/>
  <c r="O635" i="4" s="1"/>
  <c r="B698" i="4" s="1"/>
  <c r="O698" i="4" s="1"/>
  <c r="N10" i="2"/>
  <c r="A77" i="2" s="1"/>
  <c r="N77" i="2" s="1"/>
  <c r="A145" i="2" s="1"/>
  <c r="N145" i="2" s="1"/>
  <c r="A214" i="2" s="1"/>
  <c r="N214" i="2" s="1"/>
  <c r="A284" i="2" s="1"/>
  <c r="N284" i="2" s="1"/>
  <c r="A355" i="2" s="1"/>
  <c r="N355" i="2" s="1"/>
  <c r="A428" i="2" s="1"/>
  <c r="N428" i="2" s="1"/>
  <c r="A501" i="2" s="1"/>
  <c r="N501" i="2" s="1"/>
  <c r="A575" i="2" s="1"/>
  <c r="N575" i="2" s="1"/>
  <c r="A649" i="2" s="1"/>
  <c r="N649" i="2" s="1"/>
  <c r="A723" i="2" s="1"/>
  <c r="N723" i="2" s="1"/>
  <c r="A797" i="2" s="1"/>
  <c r="N797" i="2" s="1"/>
  <c r="B10" i="3" s="1"/>
  <c r="O10" i="3" s="1"/>
  <c r="B11" i="4" s="1"/>
  <c r="O11" i="4" s="1"/>
  <c r="B75" i="4" s="1"/>
  <c r="O75" i="4" s="1"/>
  <c r="B134" i="4" s="1"/>
  <c r="O134" i="4" s="1"/>
  <c r="B194" i="4" s="1"/>
  <c r="O194" i="4" s="1"/>
  <c r="B254" i="4" s="1"/>
  <c r="O254" i="4" s="1"/>
  <c r="B314" i="4" s="1"/>
  <c r="O314" i="4" s="1"/>
  <c r="B377" i="4" s="1"/>
  <c r="O377" i="4" s="1"/>
  <c r="B440" i="4" s="1"/>
  <c r="O440" i="4" s="1"/>
  <c r="B504" i="4" s="1"/>
  <c r="O504" i="4" s="1"/>
  <c r="B569" i="4" s="1"/>
  <c r="O569" i="4" s="1"/>
  <c r="B634" i="4" s="1"/>
  <c r="O634" i="4" s="1"/>
  <c r="B697" i="4" s="1"/>
  <c r="O697" i="4" s="1"/>
  <c r="N9" i="2"/>
  <c r="A76" i="2" s="1"/>
  <c r="N76" i="2" s="1"/>
  <c r="A143" i="2" s="1"/>
  <c r="N143" i="2" s="1"/>
  <c r="A212" i="2" s="1"/>
  <c r="N212" i="2" s="1"/>
  <c r="A282" i="2" s="1"/>
  <c r="N282" i="2" s="1"/>
  <c r="A353" i="2" s="1"/>
  <c r="N353" i="2" s="1"/>
  <c r="A426" i="2" s="1"/>
  <c r="N426" i="2" s="1"/>
  <c r="A499" i="2" s="1"/>
  <c r="N499" i="2" s="1"/>
  <c r="A573" i="2" s="1"/>
  <c r="N573" i="2" s="1"/>
  <c r="A647" i="2" s="1"/>
  <c r="N647" i="2" s="1"/>
  <c r="A721" i="2" s="1"/>
  <c r="N721" i="2" s="1"/>
  <c r="A795" i="2" s="1"/>
  <c r="N795" i="2" s="1"/>
  <c r="B8" i="3" s="1"/>
  <c r="O8" i="3" s="1"/>
  <c r="B9" i="4" s="1"/>
  <c r="O9" i="4" s="1"/>
  <c r="B73" i="4" s="1"/>
  <c r="O73" i="4" s="1"/>
  <c r="B132" i="4" s="1"/>
  <c r="O132" i="4" s="1"/>
  <c r="B192" i="4" s="1"/>
  <c r="O192" i="4" s="1"/>
  <c r="B252" i="4" s="1"/>
  <c r="O252" i="4" s="1"/>
  <c r="B312" i="4" s="1"/>
  <c r="O312" i="4" s="1"/>
  <c r="B375" i="4" s="1"/>
  <c r="O375" i="4" s="1"/>
  <c r="B438" i="4" s="1"/>
  <c r="O438" i="4" s="1"/>
  <c r="B502" i="4" s="1"/>
  <c r="O502" i="4" s="1"/>
  <c r="B567" i="4" s="1"/>
  <c r="O567" i="4" s="1"/>
  <c r="B632" i="4" s="1"/>
  <c r="O632" i="4" s="1"/>
  <c r="B695" i="4" s="1"/>
  <c r="O695" i="4" s="1"/>
  <c r="N8" i="2"/>
  <c r="A75" i="2" s="1"/>
  <c r="N75" i="2" s="1"/>
  <c r="A142" i="2" s="1"/>
  <c r="N142" i="2" s="1"/>
  <c r="A211" i="2" s="1"/>
  <c r="N211" i="2" s="1"/>
  <c r="A281" i="2" s="1"/>
  <c r="N281" i="2" s="1"/>
  <c r="A352" i="2" s="1"/>
  <c r="N352" i="2" s="1"/>
  <c r="A425" i="2" s="1"/>
  <c r="N425" i="2" s="1"/>
  <c r="A498" i="2" s="1"/>
  <c r="N498" i="2" s="1"/>
  <c r="A572" i="2" s="1"/>
  <c r="N572" i="2" s="1"/>
  <c r="A646" i="2" s="1"/>
  <c r="N646" i="2" s="1"/>
  <c r="A720" i="2" s="1"/>
  <c r="N720" i="2" s="1"/>
  <c r="A794" i="2" s="1"/>
  <c r="N794" i="2" s="1"/>
  <c r="B7" i="3" s="1"/>
  <c r="O7" i="3" s="1"/>
  <c r="B8" i="4" s="1"/>
  <c r="O8" i="4" s="1"/>
  <c r="B72" i="4" s="1"/>
  <c r="O72" i="4" s="1"/>
  <c r="B131" i="4" s="1"/>
  <c r="O131" i="4" s="1"/>
  <c r="B191" i="4" s="1"/>
  <c r="O191" i="4" s="1"/>
  <c r="B251" i="4" s="1"/>
  <c r="O251" i="4" s="1"/>
  <c r="B311" i="4" s="1"/>
  <c r="O311" i="4" s="1"/>
  <c r="B374" i="4" s="1"/>
  <c r="O374" i="4" s="1"/>
  <c r="B437" i="4" s="1"/>
  <c r="O437" i="4" s="1"/>
  <c r="B501" i="4" s="1"/>
  <c r="O501" i="4" s="1"/>
  <c r="B566" i="4" s="1"/>
  <c r="O566" i="4" s="1"/>
  <c r="B631" i="4" s="1"/>
  <c r="O631" i="4" s="1"/>
  <c r="B694" i="4" s="1"/>
  <c r="O694" i="4" s="1"/>
  <c r="B691" i="4" l="1"/>
  <c r="O691" i="4" s="1"/>
  <c r="A718" i="2"/>
  <c r="M248" i="1"/>
  <c r="N718" i="2" l="1"/>
  <c r="R244" i="1"/>
  <c r="A792" i="2" l="1"/>
  <c r="C244" i="1"/>
  <c r="K244" i="1"/>
  <c r="L243" i="1"/>
  <c r="N243" i="1" s="1"/>
  <c r="L242" i="1"/>
  <c r="N242" i="1" s="1"/>
  <c r="L241" i="1"/>
  <c r="N241" i="1" s="1"/>
  <c r="L240" i="1"/>
  <c r="N240" i="1" s="1"/>
  <c r="L239" i="1"/>
  <c r="N239" i="1" s="1"/>
  <c r="L238" i="1"/>
  <c r="N238" i="1" s="1"/>
  <c r="L237" i="1"/>
  <c r="N237" i="1" s="1"/>
  <c r="L215" i="1"/>
  <c r="L202" i="1"/>
  <c r="L181" i="1"/>
  <c r="L180" i="1"/>
  <c r="N792" i="2" l="1"/>
  <c r="B5" i="3" s="1"/>
  <c r="O5" i="3" s="1"/>
  <c r="M244" i="1"/>
  <c r="B6" i="4" l="1"/>
  <c r="O6" i="4" s="1"/>
  <c r="N5" i="2"/>
  <c r="I244" i="1"/>
  <c r="A244" i="1"/>
  <c r="B70" i="4" l="1"/>
  <c r="O70" i="4" s="1"/>
  <c r="H244" i="1"/>
  <c r="B129" i="4" l="1"/>
  <c r="O129" i="4" s="1"/>
  <c r="N7" i="2"/>
  <c r="F244" i="1"/>
  <c r="E244" i="1"/>
  <c r="D244" i="1"/>
  <c r="G244" i="1"/>
  <c r="B189" i="4" l="1"/>
  <c r="O189" i="4" s="1"/>
  <c r="N67" i="2"/>
  <c r="A74" i="2"/>
  <c r="L204" i="1"/>
  <c r="N204" i="1" s="1"/>
  <c r="B249" i="4" l="1"/>
  <c r="O249" i="4" s="1"/>
  <c r="A134" i="2"/>
  <c r="N74" i="2"/>
  <c r="L179" i="1"/>
  <c r="B309" i="4" l="1"/>
  <c r="O309" i="4" s="1"/>
  <c r="A141" i="2"/>
  <c r="N134" i="2"/>
  <c r="J244" i="1"/>
  <c r="L236" i="1"/>
  <c r="N236" i="1" s="1"/>
  <c r="N235" i="1"/>
  <c r="L234" i="1"/>
  <c r="N234" i="1" s="1"/>
  <c r="L233" i="1"/>
  <c r="N232" i="1"/>
  <c r="L231" i="1"/>
  <c r="N231" i="1" s="1"/>
  <c r="L230" i="1"/>
  <c r="N230" i="1" s="1"/>
  <c r="N229" i="1"/>
  <c r="N228" i="1"/>
  <c r="N227" i="1"/>
  <c r="L226" i="1"/>
  <c r="N226" i="1" s="1"/>
  <c r="N225" i="1"/>
  <c r="L224" i="1"/>
  <c r="N224" i="1" s="1"/>
  <c r="L223" i="1"/>
  <c r="N223" i="1" s="1"/>
  <c r="L222" i="1"/>
  <c r="N222" i="1" s="1"/>
  <c r="N221" i="1"/>
  <c r="N220" i="1"/>
  <c r="N219" i="1"/>
  <c r="N218" i="1"/>
  <c r="N217" i="1"/>
  <c r="L216" i="1"/>
  <c r="N216" i="1" s="1"/>
  <c r="N215" i="1"/>
  <c r="N214" i="1"/>
  <c r="N213" i="1"/>
  <c r="L212" i="1"/>
  <c r="N212" i="1" s="1"/>
  <c r="L211" i="1"/>
  <c r="N211" i="1" s="1"/>
  <c r="L210" i="1"/>
  <c r="N210" i="1" s="1"/>
  <c r="L209" i="1"/>
  <c r="N209" i="1" s="1"/>
  <c r="L208" i="1"/>
  <c r="N208" i="1" s="1"/>
  <c r="N207" i="1"/>
  <c r="L206" i="1"/>
  <c r="N206" i="1" s="1"/>
  <c r="L205" i="1"/>
  <c r="N205" i="1" s="1"/>
  <c r="N203" i="1"/>
  <c r="N202" i="1"/>
  <c r="L201" i="1"/>
  <c r="N201" i="1" s="1"/>
  <c r="L200" i="1"/>
  <c r="N200" i="1" s="1"/>
  <c r="L199" i="1"/>
  <c r="N199" i="1" s="1"/>
  <c r="N198" i="1"/>
  <c r="N197" i="1"/>
  <c r="L196" i="1"/>
  <c r="N196" i="1" s="1"/>
  <c r="L195" i="1"/>
  <c r="N195" i="1" s="1"/>
  <c r="L194" i="1"/>
  <c r="N194" i="1" s="1"/>
  <c r="L193" i="1"/>
  <c r="N193" i="1" s="1"/>
  <c r="L192" i="1"/>
  <c r="N192" i="1" s="1"/>
  <c r="L191" i="1"/>
  <c r="N191" i="1" s="1"/>
  <c r="N190" i="1"/>
  <c r="N189" i="1"/>
  <c r="L188" i="1"/>
  <c r="N188" i="1" s="1"/>
  <c r="L187" i="1"/>
  <c r="N187" i="1" s="1"/>
  <c r="L185" i="1"/>
  <c r="N185" i="1" s="1"/>
  <c r="L184" i="1"/>
  <c r="N184" i="1" s="1"/>
  <c r="N183" i="1"/>
  <c r="L182" i="1"/>
  <c r="N182" i="1" s="1"/>
  <c r="N181" i="1"/>
  <c r="N180" i="1"/>
  <c r="N179" i="1"/>
  <c r="L178" i="1"/>
  <c r="N177" i="1"/>
  <c r="B372" i="4" l="1"/>
  <c r="O372" i="4" s="1"/>
  <c r="N178" i="1"/>
  <c r="N248" i="1" s="1"/>
  <c r="L244" i="1"/>
  <c r="N244" i="1" s="1"/>
  <c r="N141" i="2"/>
  <c r="A203" i="2"/>
  <c r="L248" i="1"/>
  <c r="N148" i="1"/>
  <c r="L162" i="1"/>
  <c r="L160" i="1"/>
  <c r="L157" i="1"/>
  <c r="L156" i="1"/>
  <c r="L155" i="1"/>
  <c r="L154" i="1"/>
  <c r="N154" i="1" s="1"/>
  <c r="L150" i="1"/>
  <c r="L146" i="1"/>
  <c r="L145" i="1"/>
  <c r="L138" i="1"/>
  <c r="L134" i="1"/>
  <c r="L126" i="1"/>
  <c r="L117" i="1"/>
  <c r="L113" i="1"/>
  <c r="N113" i="1" s="1"/>
  <c r="L112" i="1"/>
  <c r="N112" i="1" s="1"/>
  <c r="L108" i="1"/>
  <c r="L106" i="1"/>
  <c r="L97" i="1"/>
  <c r="B435" i="4" l="1"/>
  <c r="O435" i="4" s="1"/>
  <c r="A210" i="2"/>
  <c r="N203" i="2"/>
  <c r="A163" i="1"/>
  <c r="I163" i="1"/>
  <c r="H163" i="1"/>
  <c r="G163" i="1"/>
  <c r="F163" i="1"/>
  <c r="E163" i="1"/>
  <c r="D163" i="1"/>
  <c r="N161" i="1"/>
  <c r="N160" i="1"/>
  <c r="L159" i="1"/>
  <c r="N158" i="1"/>
  <c r="N157" i="1"/>
  <c r="N156" i="1"/>
  <c r="N155" i="1"/>
  <c r="N153" i="1"/>
  <c r="N152" i="1"/>
  <c r="N151" i="1"/>
  <c r="N150" i="1"/>
  <c r="N149" i="1"/>
  <c r="L147" i="1"/>
  <c r="N147" i="1" s="1"/>
  <c r="N146" i="1"/>
  <c r="N145" i="1"/>
  <c r="L144" i="1"/>
  <c r="N144" i="1" s="1"/>
  <c r="J163" i="1"/>
  <c r="N143" i="1"/>
  <c r="N142" i="1"/>
  <c r="N141" i="1"/>
  <c r="N140" i="1"/>
  <c r="N139" i="1"/>
  <c r="N138" i="1"/>
  <c r="N137" i="1"/>
  <c r="N136" i="1"/>
  <c r="N135" i="1"/>
  <c r="N134" i="1"/>
  <c r="L133" i="1"/>
  <c r="N133" i="1" s="1"/>
  <c r="N132" i="1"/>
  <c r="L131" i="1"/>
  <c r="N131" i="1"/>
  <c r="L129" i="1"/>
  <c r="N129" i="1" s="1"/>
  <c r="L128" i="1"/>
  <c r="N128" i="1"/>
  <c r="N127" i="1"/>
  <c r="N126" i="1"/>
  <c r="C163" i="1"/>
  <c r="N122" i="1"/>
  <c r="N121" i="1"/>
  <c r="N120" i="1"/>
  <c r="K163" i="1"/>
  <c r="N118" i="1"/>
  <c r="N117" i="1"/>
  <c r="L116" i="1"/>
  <c r="N116" i="1" s="1"/>
  <c r="N115" i="1"/>
  <c r="N114" i="1"/>
  <c r="L110" i="1"/>
  <c r="N110" i="1" s="1"/>
  <c r="L109" i="1"/>
  <c r="N109" i="1" s="1"/>
  <c r="N108" i="1"/>
  <c r="L107" i="1"/>
  <c r="N107" i="1" s="1"/>
  <c r="N106" i="1"/>
  <c r="N105" i="1"/>
  <c r="N104" i="1"/>
  <c r="N103" i="1"/>
  <c r="N102" i="1"/>
  <c r="L101" i="1"/>
  <c r="N101" i="1" s="1"/>
  <c r="L100" i="1"/>
  <c r="N100" i="1" s="1"/>
  <c r="L98" i="1"/>
  <c r="N98" i="1" s="1"/>
  <c r="N97" i="1"/>
  <c r="N96" i="1"/>
  <c r="L95" i="1"/>
  <c r="N95" i="1" s="1"/>
  <c r="N94" i="1"/>
  <c r="N93" i="1"/>
  <c r="L92" i="1"/>
  <c r="N92" i="1" s="1"/>
  <c r="M163" i="1"/>
  <c r="L91" i="1"/>
  <c r="N90" i="1"/>
  <c r="B499" i="4" l="1"/>
  <c r="O499" i="4" s="1"/>
  <c r="A273" i="2"/>
  <c r="N210" i="2"/>
  <c r="L167" i="1"/>
  <c r="N91" i="1"/>
  <c r="L119" i="1"/>
  <c r="N119" i="1" s="1"/>
  <c r="M167" i="1"/>
  <c r="L125" i="1"/>
  <c r="N125" i="1" s="1"/>
  <c r="B564" i="4" l="1"/>
  <c r="O564" i="4" s="1"/>
  <c r="N273" i="2"/>
  <c r="A280" i="2"/>
  <c r="N167" i="1"/>
  <c r="L163" i="1"/>
  <c r="N163" i="1" s="1"/>
  <c r="B629" i="4" l="1"/>
  <c r="O629" i="4" s="1"/>
  <c r="N280" i="2"/>
  <c r="A344" i="2"/>
  <c r="I79" i="1"/>
  <c r="H79" i="1"/>
  <c r="G79" i="1"/>
  <c r="F79" i="1"/>
  <c r="E79" i="1"/>
  <c r="D79" i="1"/>
  <c r="B692" i="4" l="1"/>
  <c r="O692" i="4" s="1"/>
  <c r="A351" i="2"/>
  <c r="N344" i="2"/>
  <c r="L16" i="1"/>
  <c r="M49" i="1"/>
  <c r="M7" i="1"/>
  <c r="L32" i="1"/>
  <c r="L8" i="1"/>
  <c r="K35" i="1"/>
  <c r="K41" i="1"/>
  <c r="N351" i="2" l="1"/>
  <c r="A417" i="2"/>
  <c r="M83" i="1"/>
  <c r="M79" i="1"/>
  <c r="K79" i="1"/>
  <c r="J60" i="1"/>
  <c r="J79" i="1" s="1"/>
  <c r="L47" i="1"/>
  <c r="L35" i="1"/>
  <c r="L17" i="1"/>
  <c r="L11" i="1"/>
  <c r="L26" i="1"/>
  <c r="L25" i="1"/>
  <c r="L75" i="1"/>
  <c r="L45" i="1"/>
  <c r="L14" i="1"/>
  <c r="L7" i="1"/>
  <c r="C41" i="1"/>
  <c r="L63" i="1"/>
  <c r="L23" i="1"/>
  <c r="L44" i="1"/>
  <c r="L49" i="1"/>
  <c r="L60" i="1" l="1"/>
  <c r="A424" i="2"/>
  <c r="N417" i="2"/>
  <c r="L79" i="1"/>
  <c r="L41" i="1"/>
  <c r="C79" i="1"/>
  <c r="L83" i="1" s="1"/>
  <c r="A4" i="1"/>
  <c r="A6" i="1"/>
  <c r="N6" i="1" s="1"/>
  <c r="A7" i="1"/>
  <c r="N7" i="1" s="1"/>
  <c r="A9" i="1"/>
  <c r="N9" i="1" s="1"/>
  <c r="A10" i="1"/>
  <c r="N10" i="1" s="1"/>
  <c r="A11" i="1"/>
  <c r="N11" i="1" s="1"/>
  <c r="A12" i="1"/>
  <c r="N12" i="1" s="1"/>
  <c r="A13" i="1"/>
  <c r="N13" i="1" s="1"/>
  <c r="A14" i="1"/>
  <c r="N14" i="1" s="1"/>
  <c r="A15" i="1"/>
  <c r="A16" i="1"/>
  <c r="N16" i="1" s="1"/>
  <c r="A17" i="1"/>
  <c r="N17" i="1" s="1"/>
  <c r="A18" i="1"/>
  <c r="N18" i="1" s="1"/>
  <c r="A19" i="1"/>
  <c r="N19" i="1" s="1"/>
  <c r="A20" i="1"/>
  <c r="N20" i="1" s="1"/>
  <c r="A21" i="1"/>
  <c r="N21" i="1" s="1"/>
  <c r="A22" i="1"/>
  <c r="N22" i="1" s="1"/>
  <c r="A23" i="1"/>
  <c r="N23" i="1" s="1"/>
  <c r="A24" i="1"/>
  <c r="N24" i="1" s="1"/>
  <c r="A25" i="1"/>
  <c r="N25" i="1" s="1"/>
  <c r="A26" i="1"/>
  <c r="N26" i="1" s="1"/>
  <c r="A27" i="1"/>
  <c r="A28" i="1"/>
  <c r="A29" i="1"/>
  <c r="A30" i="1"/>
  <c r="N30" i="1" s="1"/>
  <c r="A31" i="1"/>
  <c r="N31" i="1" s="1"/>
  <c r="A32" i="1"/>
  <c r="N32" i="1" s="1"/>
  <c r="A33" i="1"/>
  <c r="N33" i="1" s="1"/>
  <c r="A34" i="1"/>
  <c r="N34" i="1" s="1"/>
  <c r="A35" i="1"/>
  <c r="N35" i="1" s="1"/>
  <c r="A36" i="1"/>
  <c r="N36" i="1" s="1"/>
  <c r="A37" i="1"/>
  <c r="N37" i="1" s="1"/>
  <c r="A38" i="1"/>
  <c r="N38" i="1" s="1"/>
  <c r="A39" i="1"/>
  <c r="A40" i="1"/>
  <c r="A41" i="1"/>
  <c r="N41" i="1" s="1"/>
  <c r="A42" i="1"/>
  <c r="N42" i="1" s="1"/>
  <c r="A43" i="1"/>
  <c r="N43" i="1" s="1"/>
  <c r="A44" i="1"/>
  <c r="N44" i="1" s="1"/>
  <c r="A45" i="1"/>
  <c r="N45" i="1" s="1"/>
  <c r="A46" i="1"/>
  <c r="A47" i="1"/>
  <c r="N47" i="1" s="1"/>
  <c r="A48" i="1"/>
  <c r="N48" i="1" s="1"/>
  <c r="A49" i="1"/>
  <c r="N49" i="1" s="1"/>
  <c r="A50" i="1"/>
  <c r="N50" i="1" s="1"/>
  <c r="A51" i="1"/>
  <c r="N51" i="1" s="1"/>
  <c r="A52" i="1"/>
  <c r="N52" i="1" s="1"/>
  <c r="A53" i="1"/>
  <c r="N53" i="1" s="1"/>
  <c r="A54" i="1"/>
  <c r="N54" i="1" s="1"/>
  <c r="A55" i="1"/>
  <c r="N55" i="1" s="1"/>
  <c r="A56" i="1"/>
  <c r="N56" i="1" s="1"/>
  <c r="A57" i="1"/>
  <c r="N57" i="1" s="1"/>
  <c r="A58" i="1"/>
  <c r="N58" i="1" s="1"/>
  <c r="A59" i="1"/>
  <c r="N59" i="1" s="1"/>
  <c r="A60" i="1"/>
  <c r="N60" i="1" s="1"/>
  <c r="A61" i="1"/>
  <c r="N61" i="1" s="1"/>
  <c r="A62" i="1"/>
  <c r="N62" i="1" s="1"/>
  <c r="A63" i="1"/>
  <c r="N63" i="1" s="1"/>
  <c r="A64" i="1"/>
  <c r="A65" i="1"/>
  <c r="N65" i="1" s="1"/>
  <c r="A66" i="1"/>
  <c r="N66" i="1" s="1"/>
  <c r="A67" i="1"/>
  <c r="N67" i="1" s="1"/>
  <c r="A68" i="1"/>
  <c r="N68" i="1" s="1"/>
  <c r="A69" i="1"/>
  <c r="N69" i="1" s="1"/>
  <c r="A70" i="1"/>
  <c r="A71" i="1"/>
  <c r="N71" i="1" s="1"/>
  <c r="A72" i="1"/>
  <c r="N72" i="1" s="1"/>
  <c r="A73" i="1"/>
  <c r="N73" i="1" s="1"/>
  <c r="A74" i="1"/>
  <c r="N74" i="1" s="1"/>
  <c r="N77" i="1"/>
  <c r="N424" i="2" l="1"/>
  <c r="A490" i="2"/>
  <c r="N75" i="1"/>
  <c r="N76" i="1"/>
  <c r="A75" i="1"/>
  <c r="N79" i="1" s="1"/>
  <c r="A497" i="2" l="1"/>
  <c r="N490" i="2"/>
  <c r="A8" i="1"/>
  <c r="N8" i="1" s="1"/>
  <c r="N83" i="1" s="1"/>
  <c r="N497" i="2" l="1"/>
  <c r="A564" i="2"/>
  <c r="A571" i="2" l="1"/>
  <c r="N564" i="2"/>
  <c r="N571" i="2" l="1"/>
  <c r="A638" i="2"/>
  <c r="A645" i="2" l="1"/>
  <c r="N638" i="2"/>
  <c r="N645" i="2" l="1"/>
  <c r="A712" i="2"/>
  <c r="A719" i="2" l="1"/>
  <c r="N712" i="2"/>
  <c r="N719" i="2" l="1"/>
  <c r="A786" i="2"/>
  <c r="A793" i="2" l="1"/>
  <c r="N786" i="2"/>
  <c r="N793" i="2" l="1"/>
  <c r="A860" i="2"/>
  <c r="N860" i="2" l="1"/>
  <c r="B73" i="3" s="1"/>
  <c r="B6" i="3"/>
  <c r="O6" i="3" s="1"/>
  <c r="B7" i="4" l="1"/>
  <c r="O7" i="4" s="1"/>
  <c r="O73" i="3"/>
  <c r="B56" i="4" s="1"/>
  <c r="O57" i="4" s="1"/>
  <c r="B71" i="4" l="1"/>
  <c r="O71" i="4" s="1"/>
  <c r="O56" i="4"/>
  <c r="B121" i="4" s="1"/>
  <c r="O122" i="4" s="1"/>
  <c r="B130" i="4" l="1"/>
  <c r="O130" i="4" s="1"/>
  <c r="O121" i="4"/>
  <c r="B182" i="4" s="1"/>
  <c r="B190" i="4" l="1"/>
  <c r="O190" i="4" s="1"/>
  <c r="O182" i="4"/>
  <c r="B243" i="4" s="1"/>
  <c r="B250" i="4" l="1"/>
  <c r="O250" i="4" s="1"/>
  <c r="O243" i="4"/>
  <c r="B303" i="4" s="1"/>
  <c r="B310" i="4" l="1"/>
  <c r="O310" i="4" s="1"/>
  <c r="O303" i="4"/>
  <c r="B366" i="4" s="1"/>
  <c r="B373" i="4" l="1"/>
  <c r="O373" i="4" s="1"/>
  <c r="O366" i="4"/>
  <c r="B429" i="4" s="1"/>
  <c r="B436" i="4" l="1"/>
  <c r="O436" i="4" s="1"/>
  <c r="O429" i="4"/>
  <c r="B493" i="4" s="1"/>
  <c r="B500" i="4" l="1"/>
  <c r="O500" i="4" s="1"/>
  <c r="O493" i="4"/>
  <c r="B558" i="4" s="1"/>
  <c r="B565" i="4" l="1"/>
  <c r="O565" i="4" s="1"/>
  <c r="O558" i="4"/>
  <c r="B623" i="4" s="1"/>
  <c r="B630" i="4" l="1"/>
  <c r="O630" i="4" s="1"/>
  <c r="O623" i="4"/>
  <c r="B686" i="4" s="1"/>
  <c r="B693" i="4" l="1"/>
  <c r="O693" i="4" s="1"/>
  <c r="O749" i="4" s="1"/>
  <c r="O686" i="4"/>
  <c r="B749" i="4" s="1"/>
</calcChain>
</file>

<file path=xl/comments1.xml><?xml version="1.0" encoding="utf-8"?>
<comments xmlns="http://schemas.openxmlformats.org/spreadsheetml/2006/main">
  <authors>
    <author>Администратор</author>
  </authors>
  <commentList>
    <comment ref="E55" authorId="0" shapeId="0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МТЦСОН
</t>
        </r>
      </text>
    </comment>
    <comment ref="E119" authorId="0" shapeId="0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МТЦСОН
</t>
        </r>
      </text>
    </comment>
    <comment ref="E180" authorId="0" shapeId="0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МТЦСОН
</t>
        </r>
      </text>
    </comment>
    <comment ref="E241" authorId="0" shapeId="0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МТЦСОН
</t>
        </r>
      </text>
    </comment>
    <comment ref="D283" authorId="0" shapeId="0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по акту сверки на 1.01.2020г.</t>
        </r>
      </text>
    </comment>
    <comment ref="E301" authorId="0" shapeId="0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МТЦСОН
</t>
        </r>
      </text>
    </comment>
    <comment ref="D343" authorId="0" shapeId="0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по акту сверки на 1.01.2020г.</t>
        </r>
      </text>
    </comment>
    <comment ref="E364" authorId="0" shapeId="0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МТЦСОН
</t>
        </r>
      </text>
    </comment>
    <comment ref="D406" authorId="0" shapeId="0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по акту сверки на 1.01.2020г.</t>
        </r>
      </text>
    </comment>
    <comment ref="E427" authorId="0" shapeId="0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МТЦСОН
</t>
        </r>
      </text>
    </comment>
    <comment ref="D470" authorId="0" shapeId="0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по акту сверки на 1.01.2020г.</t>
        </r>
      </text>
    </comment>
    <comment ref="E491" authorId="0" shapeId="0">
      <text>
        <r>
          <rPr>
            <b/>
            <sz val="9"/>
            <color indexed="81"/>
            <rFont val="Tahoma"/>
            <charset val="1"/>
          </rPr>
          <t>Администратор:</t>
        </r>
        <r>
          <rPr>
            <sz val="9"/>
            <color indexed="81"/>
            <rFont val="Tahoma"/>
            <charset val="1"/>
          </rPr>
          <t xml:space="preserve">
Профком упр.по труду</t>
        </r>
      </text>
    </comment>
    <comment ref="J491" authorId="0" shapeId="0">
      <text>
        <r>
          <rPr>
            <b/>
            <sz val="9"/>
            <color indexed="81"/>
            <rFont val="Tahoma"/>
            <charset val="1"/>
          </rPr>
          <t>Администратор:</t>
        </r>
        <r>
          <rPr>
            <sz val="9"/>
            <color indexed="81"/>
            <rFont val="Tahoma"/>
            <charset val="1"/>
          </rPr>
          <t xml:space="preserve">
фин.отдел</t>
        </r>
      </text>
    </comment>
    <comment ref="D534" authorId="0" shapeId="0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по акту сверки на 1.01.2020г.</t>
        </r>
      </text>
    </comment>
    <comment ref="E556" authorId="0" shapeId="0">
      <text>
        <r>
          <rPr>
            <b/>
            <sz val="9"/>
            <color indexed="81"/>
            <rFont val="Tahoma"/>
            <charset val="1"/>
          </rPr>
          <t>Администратор:</t>
        </r>
        <r>
          <rPr>
            <sz val="9"/>
            <color indexed="81"/>
            <rFont val="Tahoma"/>
            <charset val="1"/>
          </rPr>
          <t xml:space="preserve">
Профком упр.по труду</t>
        </r>
      </text>
    </comment>
    <comment ref="F556" authorId="0" shapeId="0">
      <text>
        <r>
          <rPr>
            <b/>
            <sz val="9"/>
            <color indexed="81"/>
            <rFont val="Tahoma"/>
            <charset val="1"/>
          </rPr>
          <t>Администратор:</t>
        </r>
        <r>
          <rPr>
            <sz val="9"/>
            <color indexed="81"/>
            <rFont val="Tahoma"/>
            <charset val="1"/>
          </rPr>
          <t xml:space="preserve">
отд.статистики</t>
        </r>
      </text>
    </comment>
    <comment ref="J556" authorId="0" shapeId="0">
      <text>
        <r>
          <rPr>
            <b/>
            <sz val="9"/>
            <color indexed="81"/>
            <rFont val="Tahoma"/>
            <charset val="1"/>
          </rPr>
          <t>Администратор:</t>
        </r>
        <r>
          <rPr>
            <sz val="9"/>
            <color indexed="81"/>
            <rFont val="Tahoma"/>
            <charset val="1"/>
          </rPr>
          <t xml:space="preserve">
фин.отдел</t>
        </r>
      </text>
    </comment>
    <comment ref="D599" authorId="0" shapeId="0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по акту сверки на 1.01.2020г.</t>
        </r>
      </text>
    </comment>
    <comment ref="E621" authorId="0" shapeId="0">
      <text>
        <r>
          <rPr>
            <b/>
            <sz val="9"/>
            <color indexed="81"/>
            <rFont val="Tahoma"/>
            <charset val="1"/>
          </rPr>
          <t>Администратор:</t>
        </r>
        <r>
          <rPr>
            <sz val="9"/>
            <color indexed="81"/>
            <rFont val="Tahoma"/>
            <charset val="1"/>
          </rPr>
          <t xml:space="preserve">
Профком упр.по труду</t>
        </r>
      </text>
    </comment>
    <comment ref="F621" authorId="0" shapeId="0">
      <text>
        <r>
          <rPr>
            <b/>
            <sz val="9"/>
            <color indexed="81"/>
            <rFont val="Tahoma"/>
            <charset val="1"/>
          </rPr>
          <t>Администратор:</t>
        </r>
        <r>
          <rPr>
            <sz val="9"/>
            <color indexed="81"/>
            <rFont val="Tahoma"/>
            <charset val="1"/>
          </rPr>
          <t xml:space="preserve">
отд.статистики</t>
        </r>
      </text>
    </comment>
    <comment ref="J621" authorId="0" shapeId="0">
      <text>
        <r>
          <rPr>
            <b/>
            <sz val="9"/>
            <color indexed="81"/>
            <rFont val="Tahoma"/>
            <charset val="1"/>
          </rPr>
          <t>Администратор:</t>
        </r>
        <r>
          <rPr>
            <sz val="9"/>
            <color indexed="81"/>
            <rFont val="Tahoma"/>
            <charset val="1"/>
          </rPr>
          <t xml:space="preserve">
фин.отдел</t>
        </r>
      </text>
    </comment>
    <comment ref="D664" authorId="0" shapeId="0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по акту сверки на 1.01.2020г.</t>
        </r>
      </text>
    </comment>
    <comment ref="E684" authorId="0" shapeId="0">
      <text>
        <r>
          <rPr>
            <b/>
            <sz val="9"/>
            <color indexed="81"/>
            <rFont val="Tahoma"/>
            <charset val="1"/>
          </rPr>
          <t>Администратор:</t>
        </r>
        <r>
          <rPr>
            <sz val="9"/>
            <color indexed="81"/>
            <rFont val="Tahoma"/>
            <charset val="1"/>
          </rPr>
          <t xml:space="preserve">
Профком упр.по труду</t>
        </r>
      </text>
    </comment>
    <comment ref="F684" authorId="0" shapeId="0">
      <text>
        <r>
          <rPr>
            <b/>
            <sz val="9"/>
            <color indexed="81"/>
            <rFont val="Tahoma"/>
            <charset val="1"/>
          </rPr>
          <t>Администратор:</t>
        </r>
        <r>
          <rPr>
            <sz val="9"/>
            <color indexed="81"/>
            <rFont val="Tahoma"/>
            <charset val="1"/>
          </rPr>
          <t xml:space="preserve">
отд.статистики</t>
        </r>
      </text>
    </comment>
    <comment ref="J684" authorId="0" shapeId="0">
      <text>
        <r>
          <rPr>
            <b/>
            <sz val="9"/>
            <color indexed="81"/>
            <rFont val="Tahoma"/>
            <charset val="1"/>
          </rPr>
          <t>Администратор:</t>
        </r>
        <r>
          <rPr>
            <sz val="9"/>
            <color indexed="81"/>
            <rFont val="Tahoma"/>
            <charset val="1"/>
          </rPr>
          <t xml:space="preserve">
фин.отдел</t>
        </r>
      </text>
    </comment>
    <comment ref="D727" authorId="0" shapeId="0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по акту сверки на 1.01.2020г.</t>
        </r>
      </text>
    </comment>
    <comment ref="E747" authorId="0" shapeId="0">
      <text>
        <r>
          <rPr>
            <b/>
            <sz val="9"/>
            <color indexed="81"/>
            <rFont val="Tahoma"/>
            <charset val="1"/>
          </rPr>
          <t>Администратор:</t>
        </r>
        <r>
          <rPr>
            <sz val="9"/>
            <color indexed="81"/>
            <rFont val="Tahoma"/>
            <charset val="1"/>
          </rPr>
          <t xml:space="preserve">
Профком упр.по труду</t>
        </r>
      </text>
    </comment>
    <comment ref="F747" authorId="0" shapeId="0">
      <text>
        <r>
          <rPr>
            <b/>
            <sz val="9"/>
            <color indexed="81"/>
            <rFont val="Tahoma"/>
            <charset val="1"/>
          </rPr>
          <t>Администратор:</t>
        </r>
        <r>
          <rPr>
            <sz val="9"/>
            <color indexed="81"/>
            <rFont val="Tahoma"/>
            <charset val="1"/>
          </rPr>
          <t xml:space="preserve">
отд.статистики</t>
        </r>
      </text>
    </comment>
    <comment ref="J747" authorId="0" shapeId="0">
      <text>
        <r>
          <rPr>
            <b/>
            <sz val="9"/>
            <color indexed="81"/>
            <rFont val="Tahoma"/>
            <charset val="1"/>
          </rPr>
          <t>Администратор:</t>
        </r>
        <r>
          <rPr>
            <sz val="9"/>
            <color indexed="81"/>
            <rFont val="Tahoma"/>
            <charset val="1"/>
          </rPr>
          <t xml:space="preserve">
фин.отдел</t>
        </r>
      </text>
    </comment>
  </commentList>
</comments>
</file>

<file path=xl/comments2.xml><?xml version="1.0" encoding="utf-8"?>
<comments xmlns="http://schemas.openxmlformats.org/spreadsheetml/2006/main">
  <authors>
    <author>Администратор</author>
  </authors>
  <commentList>
    <comment ref="R812" authorId="0" shapeId="0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Т.19.11.19</t>
        </r>
      </text>
    </comment>
    <comment ref="O825" authorId="0" shapeId="0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Т.18.11.19</t>
        </r>
      </text>
    </comment>
    <comment ref="D857" authorId="0" shapeId="0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МТЦСОН
</t>
        </r>
      </text>
    </comment>
  </commentList>
</comments>
</file>

<file path=xl/comments3.xml><?xml version="1.0" encoding="utf-8"?>
<comments xmlns="http://schemas.openxmlformats.org/spreadsheetml/2006/main">
  <authors>
    <author>Администратор</author>
  </authors>
  <commentList>
    <comment ref="E70" authorId="0" shapeId="0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МТЦСОН
</t>
        </r>
      </text>
    </comment>
  </commentList>
</comments>
</file>

<file path=xl/sharedStrings.xml><?xml version="1.0" encoding="utf-8"?>
<sst xmlns="http://schemas.openxmlformats.org/spreadsheetml/2006/main" count="2414" uniqueCount="564">
  <si>
    <t>СПК "Рита"</t>
  </si>
  <si>
    <t>ЧСУП "Савушкино"</t>
  </si>
  <si>
    <t xml:space="preserve">ГП "Радежское" </t>
  </si>
  <si>
    <t>СПК "Гвозница"</t>
  </si>
  <si>
    <t xml:space="preserve">СПК "Красный партизан" </t>
  </si>
  <si>
    <t xml:space="preserve">СПК "Мокраны"  </t>
  </si>
  <si>
    <t xml:space="preserve">СПК "Ляховцы" </t>
  </si>
  <si>
    <t xml:space="preserve">СПК "Орехово" </t>
  </si>
  <si>
    <t>СПК "Хотиславский"</t>
  </si>
  <si>
    <t>СПК "Доропеевичи"</t>
  </si>
  <si>
    <t>СПК "Черняны"</t>
  </si>
  <si>
    <t>Орехово сс</t>
  </si>
  <si>
    <t xml:space="preserve">ДЭУ-179 </t>
  </si>
  <si>
    <t>АвтоНаВек</t>
  </si>
  <si>
    <t>Профком.мал газосн.</t>
  </si>
  <si>
    <t>АПК</t>
  </si>
  <si>
    <t>Аптека №14</t>
  </si>
  <si>
    <t>АСБ-120</t>
  </si>
  <si>
    <t>Профком.раб образ</t>
  </si>
  <si>
    <t>Белгосстрах</t>
  </si>
  <si>
    <t>БелРитаСервис</t>
  </si>
  <si>
    <t>БООР</t>
  </si>
  <si>
    <t>Электросети</t>
  </si>
  <si>
    <t xml:space="preserve">ГПЛ СП </t>
  </si>
  <si>
    <t xml:space="preserve">Профком ГПЛ СП </t>
  </si>
  <si>
    <t>Департ. Охраны</t>
  </si>
  <si>
    <t>Объед.инвал</t>
  </si>
  <si>
    <t>Дозир</t>
  </si>
  <si>
    <t>ДЮСШ</t>
  </si>
  <si>
    <t>ДЮСЪЛ</t>
  </si>
  <si>
    <t>КварцМелПром</t>
  </si>
  <si>
    <t>КОСК</t>
  </si>
  <si>
    <t>КРАУНБЕЛАГРО</t>
  </si>
  <si>
    <t xml:space="preserve">КУМПП ЖКХ </t>
  </si>
  <si>
    <t xml:space="preserve">Лесхоз </t>
  </si>
  <si>
    <t>Мал-агроэнергосервис</t>
  </si>
  <si>
    <t>Малорита-Ритуал</t>
  </si>
  <si>
    <t>МТЦСОН</t>
  </si>
  <si>
    <t>Олтуш. Сельисполком</t>
  </si>
  <si>
    <t>ОТДЕЛ культуры</t>
  </si>
  <si>
    <t>Профком отд. Культуры</t>
  </si>
  <si>
    <t>Отдел образования</t>
  </si>
  <si>
    <t>Профк. Отд. Образ.</t>
  </si>
  <si>
    <t>Охрана окр. Среды</t>
  </si>
  <si>
    <t>Гимназия</t>
  </si>
  <si>
    <t>ПМК-20</t>
  </si>
  <si>
    <t>ПМК-8</t>
  </si>
  <si>
    <t>Вояж эффект</t>
  </si>
  <si>
    <t>Великоритский сс</t>
  </si>
  <si>
    <t>Профком райветстанции</t>
  </si>
  <si>
    <t xml:space="preserve">профс. Раб. Гос-ва </t>
  </si>
  <si>
    <t>Райветстанция</t>
  </si>
  <si>
    <t>Райпо</t>
  </si>
  <si>
    <t>РАПТ</t>
  </si>
  <si>
    <t>РКБО</t>
  </si>
  <si>
    <t>Малор Логистик</t>
  </si>
  <si>
    <t>Белхмельагро</t>
  </si>
  <si>
    <t>РУПС</t>
  </si>
  <si>
    <t>РУЭС- Белтелеком</t>
  </si>
  <si>
    <t>Дороп дс-сш</t>
  </si>
  <si>
    <t>СПК "Ланская"</t>
  </si>
  <si>
    <t>Ланской дс</t>
  </si>
  <si>
    <t>ИП Макарук</t>
  </si>
  <si>
    <t>Фин. Отдел</t>
  </si>
  <si>
    <t>ЦГ и Э</t>
  </si>
  <si>
    <t>ЦРБ</t>
  </si>
  <si>
    <t>ЭльдаСервис</t>
  </si>
  <si>
    <t>октябрь</t>
  </si>
  <si>
    <t>начислено</t>
  </si>
  <si>
    <t>перечисл</t>
  </si>
  <si>
    <t>Управ.по труду</t>
  </si>
  <si>
    <t>РУП Белпочта</t>
  </si>
  <si>
    <t>Райком.проф</t>
  </si>
  <si>
    <t>Итого:</t>
  </si>
  <si>
    <t xml:space="preserve"> </t>
  </si>
  <si>
    <t>Плательщик</t>
  </si>
  <si>
    <t>Итого на 30.10.16</t>
  </si>
  <si>
    <t>ноябрь</t>
  </si>
  <si>
    <t xml:space="preserve">  </t>
  </si>
  <si>
    <t>ПМС</t>
  </si>
  <si>
    <t>племстанция</t>
  </si>
  <si>
    <t>профком РТС</t>
  </si>
  <si>
    <t>БПСРАК</t>
  </si>
  <si>
    <t>Итого на 30.12.16</t>
  </si>
  <si>
    <t>декабрь</t>
  </si>
  <si>
    <t>Итого на 01.12.16</t>
  </si>
  <si>
    <t xml:space="preserve">СПК "Кр. партизан" </t>
  </si>
  <si>
    <t>Роскорм</t>
  </si>
  <si>
    <t>ПропертиМенед</t>
  </si>
  <si>
    <t>СПК Ланская</t>
  </si>
  <si>
    <t>Олтуш д/сад</t>
  </si>
  <si>
    <t>Диона</t>
  </si>
  <si>
    <t>Упр.идеол.работы</t>
  </si>
  <si>
    <t>РКЦ № 13 БАПБ</t>
  </si>
  <si>
    <t>об-во инвалидов</t>
  </si>
  <si>
    <t>АСБ</t>
  </si>
  <si>
    <t>ДЭУ-179</t>
  </si>
  <si>
    <t>Отдел статистики</t>
  </si>
  <si>
    <t>нет</t>
  </si>
  <si>
    <t>Аптека № 14</t>
  </si>
  <si>
    <t>профком райветстанция</t>
  </si>
  <si>
    <t>лесхоз</t>
  </si>
  <si>
    <t>профком районо к.91</t>
  </si>
  <si>
    <t>райпо</t>
  </si>
  <si>
    <t xml:space="preserve"> ИТОГО</t>
  </si>
  <si>
    <t>горгаз профком</t>
  </si>
  <si>
    <t>Малоритские организации</t>
  </si>
  <si>
    <t>Район электросетей</t>
  </si>
  <si>
    <t>Великорита с/с</t>
  </si>
  <si>
    <t>БАПБ</t>
  </si>
  <si>
    <t>Белтелеком</t>
  </si>
  <si>
    <t>Салон-Трафик</t>
  </si>
  <si>
    <t>финансовый отдел</t>
  </si>
  <si>
    <t>Управление по труду</t>
  </si>
  <si>
    <t>АВТОнаВЕК</t>
  </si>
  <si>
    <t>ЦГиЭ</t>
  </si>
  <si>
    <t>отдел культуры</t>
  </si>
  <si>
    <t>СтройПост</t>
  </si>
  <si>
    <t>Белритасервис</t>
  </si>
  <si>
    <t>ПожТоргПлюс</t>
  </si>
  <si>
    <t>Алькор</t>
  </si>
  <si>
    <t>МалорЛогистик</t>
  </si>
  <si>
    <t>Итого на 01.12.18</t>
  </si>
  <si>
    <t>Алексантим</t>
  </si>
  <si>
    <t>Итого на 01.01.19</t>
  </si>
  <si>
    <t>СПК Рита</t>
  </si>
  <si>
    <t>Профком ОАО Мокраны</t>
  </si>
  <si>
    <t xml:space="preserve">ОАО "Мокраны"  </t>
  </si>
  <si>
    <t xml:space="preserve">ОАО "Красный партизан" </t>
  </si>
  <si>
    <t>ОАО "Гвозница"</t>
  </si>
  <si>
    <t xml:space="preserve">ОАО "Орехово" </t>
  </si>
  <si>
    <t>СУП "Хотиславский"</t>
  </si>
  <si>
    <t>СУП "Хотиславский" ППО</t>
  </si>
  <si>
    <t>ОАО "Черняны"</t>
  </si>
  <si>
    <t>АПК профком</t>
  </si>
  <si>
    <t>Райком проф. госучрежд.</t>
  </si>
  <si>
    <t>ООО МалоритаЭлектро</t>
  </si>
  <si>
    <t>перечислено</t>
  </si>
  <si>
    <t>Белгосстрах профком</t>
  </si>
  <si>
    <t>ЦРБ профком</t>
  </si>
  <si>
    <t>51/5.12.18</t>
  </si>
  <si>
    <t>3618/5.12.18</t>
  </si>
  <si>
    <t>36/6.12.18</t>
  </si>
  <si>
    <t>1021/17.12.18</t>
  </si>
  <si>
    <t>1585/17.12.18</t>
  </si>
  <si>
    <t>592/20.12.18</t>
  </si>
  <si>
    <t>26276/26.12.18</t>
  </si>
  <si>
    <t>62/27.12.18</t>
  </si>
  <si>
    <t>1453/28.12.18</t>
  </si>
  <si>
    <t>6148/29.12.18</t>
  </si>
  <si>
    <t>213/29.12.18</t>
  </si>
  <si>
    <t>5753/5.12.18</t>
  </si>
  <si>
    <t>Итого на 01.02.19</t>
  </si>
  <si>
    <t>6/3.01.19</t>
  </si>
  <si>
    <t>4/4.01.19</t>
  </si>
  <si>
    <t>53/8.01.19</t>
  </si>
  <si>
    <t>4/9.01.19</t>
  </si>
  <si>
    <t>73/11.01.19</t>
  </si>
  <si>
    <t>85/11.01.19</t>
  </si>
  <si>
    <t>255/11.01.19</t>
  </si>
  <si>
    <t>Мясокомбинат</t>
  </si>
  <si>
    <t>52/15.01.19</t>
  </si>
  <si>
    <t>1/15.01.19</t>
  </si>
  <si>
    <t>3/15.01.19</t>
  </si>
  <si>
    <t>119/15.01.19</t>
  </si>
  <si>
    <t>81/18.01.19</t>
  </si>
  <si>
    <t>23/21.01.19</t>
  </si>
  <si>
    <t>46/23.01.19</t>
  </si>
  <si>
    <t>162/24.01.19</t>
  </si>
  <si>
    <t>1/23.01.19</t>
  </si>
  <si>
    <t>58/28.01.19</t>
  </si>
  <si>
    <t>168/31.01.19</t>
  </si>
  <si>
    <t>Итого на 01.03.19</t>
  </si>
  <si>
    <t>256/1.02.19</t>
  </si>
  <si>
    <t>3/1.02.19</t>
  </si>
  <si>
    <t>58/4.02.19</t>
  </si>
  <si>
    <t>260/4.02.19</t>
  </si>
  <si>
    <t>546/6.02.19</t>
  </si>
  <si>
    <t>910/7.02.19</t>
  </si>
  <si>
    <t>217/5.02.19</t>
  </si>
  <si>
    <t>113/18.02.19</t>
  </si>
  <si>
    <t>23/18.02.19</t>
  </si>
  <si>
    <t>4101/14.02.19</t>
  </si>
  <si>
    <t>41/14.02.19</t>
  </si>
  <si>
    <t>9/18.02.19</t>
  </si>
  <si>
    <t>Профконструкции</t>
  </si>
  <si>
    <t>75/18.02.19</t>
  </si>
  <si>
    <t>228/13.02.19</t>
  </si>
  <si>
    <t>132/12.02.19</t>
  </si>
  <si>
    <t>572/12.02.19</t>
  </si>
  <si>
    <t>3/8.02.19</t>
  </si>
  <si>
    <t>РостАгроТрейд</t>
  </si>
  <si>
    <t>536/13.02.19</t>
  </si>
  <si>
    <t>20/21.02.19</t>
  </si>
  <si>
    <t>СУП "Савушкино"</t>
  </si>
  <si>
    <t>ОАО "Гвозница" профком</t>
  </si>
  <si>
    <t>2/25.02.19</t>
  </si>
  <si>
    <t>546/27.02.19</t>
  </si>
  <si>
    <t>31/19.02.19</t>
  </si>
  <si>
    <t>161/21.02.19</t>
  </si>
  <si>
    <t>2/22.02.19</t>
  </si>
  <si>
    <t>6/22.02.19</t>
  </si>
  <si>
    <t>849/22.02.19</t>
  </si>
  <si>
    <t>750/25.02.19</t>
  </si>
  <si>
    <t>24/26.02.19</t>
  </si>
  <si>
    <t>516/26.02.19</t>
  </si>
  <si>
    <t>909/28.02.19</t>
  </si>
  <si>
    <t>358/28.02.19</t>
  </si>
  <si>
    <t>466/28.02.19</t>
  </si>
  <si>
    <t>575/28.02.19</t>
  </si>
  <si>
    <t>Итого на 01.04.19</t>
  </si>
  <si>
    <t>райпо профком</t>
  </si>
  <si>
    <t>45/1.03.19</t>
  </si>
  <si>
    <t>10/4.03.19</t>
  </si>
  <si>
    <t>242/5.03.19</t>
  </si>
  <si>
    <t>170/6.03.19</t>
  </si>
  <si>
    <t>2634/11.03.19</t>
  </si>
  <si>
    <t>52/12.03.19</t>
  </si>
  <si>
    <t>142/12.03.19</t>
  </si>
  <si>
    <t>1078/12.03.19</t>
  </si>
  <si>
    <t>1675/12.03.19</t>
  </si>
  <si>
    <t>1733/13.03.19</t>
  </si>
  <si>
    <t>966/13.03.19</t>
  </si>
  <si>
    <t>1770/14.03.19</t>
  </si>
  <si>
    <t>14/15.03.19</t>
  </si>
  <si>
    <t>756/18.03.19</t>
  </si>
  <si>
    <t>536/19.03.19</t>
  </si>
  <si>
    <t>196/19.03.19</t>
  </si>
  <si>
    <t>447/21.03.19</t>
  </si>
  <si>
    <t>531/21.03.19</t>
  </si>
  <si>
    <t>241/21.03.19</t>
  </si>
  <si>
    <t>42/22.03.19</t>
  </si>
  <si>
    <t>203/22.03.19</t>
  </si>
  <si>
    <t>ЧТУП БелВАЛА</t>
  </si>
  <si>
    <t>42/25.03.19</t>
  </si>
  <si>
    <t>1895/27.03.19</t>
  </si>
  <si>
    <t>211/28.03.19</t>
  </si>
  <si>
    <t>Итого на 01.05.19</t>
  </si>
  <si>
    <t>69/1.04.19</t>
  </si>
  <si>
    <t>105/2.04.19</t>
  </si>
  <si>
    <t>1349/3.04.19</t>
  </si>
  <si>
    <t>554/3.04.19</t>
  </si>
  <si>
    <t>79/5.04.19</t>
  </si>
  <si>
    <t>133/10.04.19</t>
  </si>
  <si>
    <t>81/12.04.19</t>
  </si>
  <si>
    <t>155/12.04.19</t>
  </si>
  <si>
    <t>1247/12.04.19</t>
  </si>
  <si>
    <t>20/15.04.19</t>
  </si>
  <si>
    <t>233/15.04.19</t>
  </si>
  <si>
    <t>1591/15.04.19</t>
  </si>
  <si>
    <t>513/16.04.19</t>
  </si>
  <si>
    <t>625/16.04.19</t>
  </si>
  <si>
    <t>отдел культуры (профком)</t>
  </si>
  <si>
    <t>5/16.04.19</t>
  </si>
  <si>
    <t>628/18.04.19</t>
  </si>
  <si>
    <t>25/19.04.19</t>
  </si>
  <si>
    <t>94/19.04.19</t>
  </si>
  <si>
    <t>134/22.04.19</t>
  </si>
  <si>
    <t>1351/22.04.19</t>
  </si>
  <si>
    <t>1208/23.04.19</t>
  </si>
  <si>
    <t>279/23.04.19</t>
  </si>
  <si>
    <t>ПМС профком</t>
  </si>
  <si>
    <t>4/25.04.19</t>
  </si>
  <si>
    <t>305/26.04.19</t>
  </si>
  <si>
    <t>49/26.04.19</t>
  </si>
  <si>
    <t>764/26.04.19</t>
  </si>
  <si>
    <t>Итого на 01.06.19</t>
  </si>
  <si>
    <t>108/3.05.19</t>
  </si>
  <si>
    <t>121/4.05.19</t>
  </si>
  <si>
    <t>МегаСтЭК</t>
  </si>
  <si>
    <t>63/4.05.19</t>
  </si>
  <si>
    <t>387/10.05.19</t>
  </si>
  <si>
    <t>Бизон</t>
  </si>
  <si>
    <t>256/13.05.19</t>
  </si>
  <si>
    <t>5/14.05.19</t>
  </si>
  <si>
    <t>431/14.05.19</t>
  </si>
  <si>
    <t>11/14.05.19</t>
  </si>
  <si>
    <t>706/14.05.19</t>
  </si>
  <si>
    <t>328/14.05.19</t>
  </si>
  <si>
    <t>345/16.05.19</t>
  </si>
  <si>
    <t>402/17.05.19</t>
  </si>
  <si>
    <t>1843/17.05.19</t>
  </si>
  <si>
    <t>1552/20.05.19</t>
  </si>
  <si>
    <t>1853/22.05.19</t>
  </si>
  <si>
    <t>831/22.05.19</t>
  </si>
  <si>
    <t>120/28.05.19</t>
  </si>
  <si>
    <t>159/27.05.19</t>
  </si>
  <si>
    <t>1223/27.05.19</t>
  </si>
  <si>
    <t>4/27.05.19</t>
  </si>
  <si>
    <t>14/27.05.19</t>
  </si>
  <si>
    <t>1925/22.05.19</t>
  </si>
  <si>
    <t>Ф/х ЮрексПлант</t>
  </si>
  <si>
    <t>2642/30.05.19</t>
  </si>
  <si>
    <t>1721/30.05.19</t>
  </si>
  <si>
    <t>145/30.05.19</t>
  </si>
  <si>
    <t>Итого на 01.07.19</t>
  </si>
  <si>
    <t>111/3.06.19</t>
  </si>
  <si>
    <t>104/3.06.19</t>
  </si>
  <si>
    <t>412/10.06.19</t>
  </si>
  <si>
    <t>2907/10.06.19</t>
  </si>
  <si>
    <t>1772/5.06.19</t>
  </si>
  <si>
    <t>631/13.06.19</t>
  </si>
  <si>
    <t>193/20.06.19</t>
  </si>
  <si>
    <t>107/20.06.19</t>
  </si>
  <si>
    <t>2642/19.06.19</t>
  </si>
  <si>
    <t>Малоритский РЭС</t>
  </si>
  <si>
    <t>1093/17.06.19</t>
  </si>
  <si>
    <t>1122/20.06.19</t>
  </si>
  <si>
    <t>256/12.06.19</t>
  </si>
  <si>
    <t>398/12.06.19</t>
  </si>
  <si>
    <t>110/13.06.19</t>
  </si>
  <si>
    <t>458/17.06.19</t>
  </si>
  <si>
    <t>593/25.06.19</t>
  </si>
  <si>
    <t>1500/25.06.19</t>
  </si>
  <si>
    <t>394/25.06.19</t>
  </si>
  <si>
    <t>2016/24.06.19</t>
  </si>
  <si>
    <t>1152/24.06.19</t>
  </si>
  <si>
    <t>91/19.06.19</t>
  </si>
  <si>
    <t>34/17.06.19</t>
  </si>
  <si>
    <t>ООО Проюкей</t>
  </si>
  <si>
    <t>Чернышёв</t>
  </si>
  <si>
    <t>2783/28.06.19</t>
  </si>
  <si>
    <t>Итого на 01.08.19</t>
  </si>
  <si>
    <t>Аптека № 14 профком</t>
  </si>
  <si>
    <t>217/5.07.19</t>
  </si>
  <si>
    <t>2852/5.07.19</t>
  </si>
  <si>
    <t>79/8.07.19</t>
  </si>
  <si>
    <t>2918/10.07.19</t>
  </si>
  <si>
    <t>1316/9.07.19</t>
  </si>
  <si>
    <t>3643/10.07.19</t>
  </si>
  <si>
    <t>53123/12.07.19</t>
  </si>
  <si>
    <t>2955/11.07.19</t>
  </si>
  <si>
    <t>37/12.07.19</t>
  </si>
  <si>
    <t>1110/11.07.19</t>
  </si>
  <si>
    <t>4/19.07.19</t>
  </si>
  <si>
    <t>1790/19.07.19</t>
  </si>
  <si>
    <t>519/16.07.19</t>
  </si>
  <si>
    <t>665/16.07.19</t>
  </si>
  <si>
    <t>385/17.07.19</t>
  </si>
  <si>
    <t>40/18.07.19</t>
  </si>
  <si>
    <t>566/22.07.19</t>
  </si>
  <si>
    <t>518/15.07.19</t>
  </si>
  <si>
    <t>2235/15.07.19</t>
  </si>
  <si>
    <t>1047/15.07.19</t>
  </si>
  <si>
    <t>2334/23.07.19</t>
  </si>
  <si>
    <t>89/29.07.19</t>
  </si>
  <si>
    <t>315/26.07.19</t>
  </si>
  <si>
    <t>2403/26.07.19</t>
  </si>
  <si>
    <t>744/30.07.19</t>
  </si>
  <si>
    <t>2453/30.07.19</t>
  </si>
  <si>
    <t>226/31.07.19</t>
  </si>
  <si>
    <t>Итого на 01.09.19</t>
  </si>
  <si>
    <t>6/7.08.19</t>
  </si>
  <si>
    <t>ОлгерГрупп</t>
  </si>
  <si>
    <t>450/26.08.19</t>
  </si>
  <si>
    <t>3162/21.08.19</t>
  </si>
  <si>
    <t>БелАПБ</t>
  </si>
  <si>
    <t>603/9.08.19</t>
  </si>
  <si>
    <t>96/13.08.19</t>
  </si>
  <si>
    <t>579/13.08.19</t>
  </si>
  <si>
    <t>12/14.08.19</t>
  </si>
  <si>
    <t>Райветстанция (ППО)</t>
  </si>
  <si>
    <t>634/15.08.19</t>
  </si>
  <si>
    <t>3501/15.08.19</t>
  </si>
  <si>
    <t>2151/15.08.19</t>
  </si>
  <si>
    <t>2696/16.08.19</t>
  </si>
  <si>
    <t>1291/20.08.19</t>
  </si>
  <si>
    <t>3602/21.08.19</t>
  </si>
  <si>
    <t>620/21.08.19</t>
  </si>
  <si>
    <t>2782/22.08.19</t>
  </si>
  <si>
    <t>1483/22.08.19</t>
  </si>
  <si>
    <t>601/22.08.19</t>
  </si>
  <si>
    <t>58194/9.08.19</t>
  </si>
  <si>
    <t>7/29.08.19</t>
  </si>
  <si>
    <t>3801/28.08.19</t>
  </si>
  <si>
    <t>Итого на 01.10.19</t>
  </si>
  <si>
    <t>15/2.09.19</t>
  </si>
  <si>
    <t>506/5.09.19</t>
  </si>
  <si>
    <t>2977/5.09.19</t>
  </si>
  <si>
    <t>446/9.09.19</t>
  </si>
  <si>
    <t>4020/9.09.19</t>
  </si>
  <si>
    <t>3005/9.09.19</t>
  </si>
  <si>
    <t>1440/10.09.19</t>
  </si>
  <si>
    <t>632/6.09.19</t>
  </si>
  <si>
    <t>635/10.09.19</t>
  </si>
  <si>
    <t>646/10.09.19</t>
  </si>
  <si>
    <t>278/10.09.19</t>
  </si>
  <si>
    <t>2/12.09.19</t>
  </si>
  <si>
    <t>829/3.09.19</t>
  </si>
  <si>
    <t>4093/13.09.19</t>
  </si>
  <si>
    <t>533/13.09.19</t>
  </si>
  <si>
    <t>964/13.09.19</t>
  </si>
  <si>
    <t>557/18.09.19</t>
  </si>
  <si>
    <t>558/19.09.19</t>
  </si>
  <si>
    <t>4211/18.09.19</t>
  </si>
  <si>
    <t>3155/18.09.19</t>
  </si>
  <si>
    <t>716/16.09.19</t>
  </si>
  <si>
    <t>17/16.09.19</t>
  </si>
  <si>
    <t>1530/20.09.19</t>
  </si>
  <si>
    <t>252/19.09.19</t>
  </si>
  <si>
    <t>11511,11532/23.09.19</t>
  </si>
  <si>
    <t>3760/23.09.19</t>
  </si>
  <si>
    <t>726/25.09.19</t>
  </si>
  <si>
    <t>110/26.09.19</t>
  </si>
  <si>
    <t>3710/25.09.19</t>
  </si>
  <si>
    <t>709/27.09.19</t>
  </si>
  <si>
    <t>40/30.09.19</t>
  </si>
  <si>
    <t>11986/30.09.19</t>
  </si>
  <si>
    <t>4416/30.09.19</t>
  </si>
  <si>
    <t>78/30.09.19</t>
  </si>
  <si>
    <t>Итого на 01.11.19</t>
  </si>
  <si>
    <t>18/7.10.19</t>
  </si>
  <si>
    <t>628/3.10.19</t>
  </si>
  <si>
    <t>3410/4.10.19</t>
  </si>
  <si>
    <t>1569/7.10.19</t>
  </si>
  <si>
    <t>5953/8.10.19</t>
  </si>
  <si>
    <t>4522/8.10.19</t>
  </si>
  <si>
    <t>1235/8.10.19</t>
  </si>
  <si>
    <t>1168/8.10.19</t>
  </si>
  <si>
    <t>313/10.10.19</t>
  </si>
  <si>
    <t>776/10.10.19</t>
  </si>
  <si>
    <t>4567/10.10.19</t>
  </si>
  <si>
    <t>6101/11.10.19</t>
  </si>
  <si>
    <t>4708/15.10.19</t>
  </si>
  <si>
    <t>6/16.10.19</t>
  </si>
  <si>
    <t>234/16.10.19</t>
  </si>
  <si>
    <t>1641/16.10.19</t>
  </si>
  <si>
    <t>6287/18.10.19</t>
  </si>
  <si>
    <t xml:space="preserve">Райветстанция </t>
  </si>
  <si>
    <t>10/22.10.19</t>
  </si>
  <si>
    <t>1682/24.10.19</t>
  </si>
  <si>
    <t>532/24.10.19</t>
  </si>
  <si>
    <t>2612/24.10.19</t>
  </si>
  <si>
    <t>996/25.10.19</t>
  </si>
  <si>
    <t>3613/28.10.19</t>
  </si>
  <si>
    <t>3838/30.10.19</t>
  </si>
  <si>
    <t>51/31.10.19</t>
  </si>
  <si>
    <t>Итого на 01.12.19</t>
  </si>
  <si>
    <t>816/1.11.19</t>
  </si>
  <si>
    <t>2713/4.11.19</t>
  </si>
  <si>
    <t>4/5.11.19</t>
  </si>
  <si>
    <t>4934/5.11.19</t>
  </si>
  <si>
    <t>298/5.11.19</t>
  </si>
  <si>
    <t>1363/12.11.19</t>
  </si>
  <si>
    <t>2801/12.11.19</t>
  </si>
  <si>
    <t>4987/11.11.19</t>
  </si>
  <si>
    <t>1755/6.11.19</t>
  </si>
  <si>
    <t>129/14.11.19</t>
  </si>
  <si>
    <t>442/13.11.19</t>
  </si>
  <si>
    <t>43/15.11.19</t>
  </si>
  <si>
    <t>82/15.11.19</t>
  </si>
  <si>
    <t>2849/15.11.19</t>
  </si>
  <si>
    <t>5174/18.11.19</t>
  </si>
  <si>
    <t>570/16.11.19</t>
  </si>
  <si>
    <t>Радежская сш</t>
  </si>
  <si>
    <t>25/25.11.2019</t>
  </si>
  <si>
    <t>4187/26.11.2019</t>
  </si>
  <si>
    <t>656/27.11.19</t>
  </si>
  <si>
    <t>459/27.11.19</t>
  </si>
  <si>
    <t>828/27.11.19</t>
  </si>
  <si>
    <t>2612/27.11.19</t>
  </si>
  <si>
    <t>Размещение информации на сайте - ноябрь 2019г.</t>
  </si>
  <si>
    <t>ОАО Гвозница</t>
  </si>
  <si>
    <t>даты</t>
  </si>
  <si>
    <t>Итого на 01.01.20</t>
  </si>
  <si>
    <t>1880/03.12.</t>
  </si>
  <si>
    <t>2754/10.12.19</t>
  </si>
  <si>
    <t>1917/11.12.19</t>
  </si>
  <si>
    <t>5568/12.12.2019</t>
  </si>
  <si>
    <t>56/17.12.2019</t>
  </si>
  <si>
    <t>910/20.12.19</t>
  </si>
  <si>
    <t>907/ 24.12.19</t>
  </si>
  <si>
    <t>2/24.12.19</t>
  </si>
  <si>
    <t>3256/26.12.19</t>
  </si>
  <si>
    <t>1050/30.12.19</t>
  </si>
  <si>
    <t>17066/31.12.19</t>
  </si>
  <si>
    <t>10/5.12.19</t>
  </si>
  <si>
    <t>325/5.12.19</t>
  </si>
  <si>
    <t>Размещение информации на сайте - январь 2020г.</t>
  </si>
  <si>
    <t>Итого на 01.02.20</t>
  </si>
  <si>
    <t>РОСКОРМ</t>
  </si>
  <si>
    <t>28/15.01</t>
  </si>
  <si>
    <t>3/15.01</t>
  </si>
  <si>
    <t>6834/15.01</t>
  </si>
  <si>
    <t>13,15.01.2020</t>
  </si>
  <si>
    <t>27/17.01</t>
  </si>
  <si>
    <t>16, 22.01.2020</t>
  </si>
  <si>
    <t>44/24.01</t>
  </si>
  <si>
    <t>11/30.01</t>
  </si>
  <si>
    <t>129/31.01</t>
  </si>
  <si>
    <t>364/24.01,425/28.01</t>
  </si>
  <si>
    <t>7/21,31.11/ 27.01</t>
  </si>
  <si>
    <t>52/03.</t>
  </si>
  <si>
    <t>5/12.</t>
  </si>
  <si>
    <t>11/14.02</t>
  </si>
  <si>
    <t>Итого на 01.03.20</t>
  </si>
  <si>
    <t>05,07,17.02</t>
  </si>
  <si>
    <t>Итого на 01.04.20</t>
  </si>
  <si>
    <t>02,12.03.2020</t>
  </si>
  <si>
    <t>16,18,20.03.2020</t>
  </si>
  <si>
    <t>13,24.03.2020</t>
  </si>
  <si>
    <t>12,25.03.2020</t>
  </si>
  <si>
    <t>17,25.03.2020</t>
  </si>
  <si>
    <t>Итого на 01.05.20</t>
  </si>
  <si>
    <t>04,16,31</t>
  </si>
  <si>
    <t>04,06,27,31</t>
  </si>
  <si>
    <t>03,14.04.2020</t>
  </si>
  <si>
    <t>Кобрин УКС</t>
  </si>
  <si>
    <t>06,10,22.04.2020</t>
  </si>
  <si>
    <t>10,29.04.2020</t>
  </si>
  <si>
    <t>Итого на 01.06.20</t>
  </si>
  <si>
    <t>07,14.05.2020</t>
  </si>
  <si>
    <t>13,25.05.2020</t>
  </si>
  <si>
    <t>Вояж-Эффект</t>
  </si>
  <si>
    <t>15,27.05.2020</t>
  </si>
  <si>
    <t>08,29.05.2020</t>
  </si>
  <si>
    <t>Итого на 01.07.20</t>
  </si>
  <si>
    <t>14,28.05.2020</t>
  </si>
  <si>
    <t>Центр ОДБО</t>
  </si>
  <si>
    <t>ПаллетенЛюкс</t>
  </si>
  <si>
    <t>17, 26</t>
  </si>
  <si>
    <t>16, 26</t>
  </si>
  <si>
    <t>Итого на 01.08.20</t>
  </si>
  <si>
    <t>Малор.гимназия</t>
  </si>
  <si>
    <t>Итого на 01.09.20</t>
  </si>
  <si>
    <t>Мясокомбинат Брест</t>
  </si>
  <si>
    <t>с 2017 года</t>
  </si>
  <si>
    <t>3,10;18</t>
  </si>
  <si>
    <t>4;20</t>
  </si>
  <si>
    <t>Лесхоз</t>
  </si>
  <si>
    <t>Итого на 01.10.20</t>
  </si>
  <si>
    <t>упр. По труду</t>
  </si>
  <si>
    <t>август</t>
  </si>
  <si>
    <t>8, 15</t>
  </si>
  <si>
    <t>9, 18</t>
  </si>
  <si>
    <t>8,15,18</t>
  </si>
  <si>
    <t>МалоритаРитуал</t>
  </si>
  <si>
    <t>3, 22</t>
  </si>
  <si>
    <t>444, 470</t>
  </si>
  <si>
    <t>24, 25</t>
  </si>
  <si>
    <t>10,  22, 29</t>
  </si>
  <si>
    <t>Итого на 01.11.20</t>
  </si>
  <si>
    <t>2,12, 19</t>
  </si>
  <si>
    <t>8, 21</t>
  </si>
  <si>
    <t>акт 508,521</t>
  </si>
  <si>
    <t>звонила 22.10</t>
  </si>
  <si>
    <t>12, 23</t>
  </si>
  <si>
    <t>9, 23</t>
  </si>
  <si>
    <t>ППО Орехово</t>
  </si>
  <si>
    <t>РО профсоюзов Строк</t>
  </si>
  <si>
    <t>2, 8, 26</t>
  </si>
  <si>
    <t>14,  20,29</t>
  </si>
  <si>
    <t>Профком упр. По труду не опл. За август</t>
  </si>
  <si>
    <t>Итого на 01.12.20</t>
  </si>
  <si>
    <t xml:space="preserve">1, 7, 9, </t>
  </si>
  <si>
    <t>1, 21</t>
  </si>
  <si>
    <t>ООО Крестьянская лавка</t>
  </si>
  <si>
    <t>12, 13</t>
  </si>
  <si>
    <t>20, 25</t>
  </si>
  <si>
    <t>ЧП Вкусландия</t>
  </si>
  <si>
    <t>3,  10, 30</t>
  </si>
  <si>
    <t xml:space="preserve">13, 19,30 </t>
  </si>
  <si>
    <t>Итого на 01.01.21</t>
  </si>
  <si>
    <t>4, 8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</si>
</sst>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0"/>
      <color rgb="FF3F3F3F"/>
      <name val="Times New Roman"/>
      <family val="1"/>
      <charset val="204"/>
    </font>
    <font>
      <sz val="12"/>
      <color rgb="FF3F3F3F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rgb="FF3F3F3F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rgb="FF3F3F3F"/>
      <name val="Times New Roman"/>
      <family val="1"/>
      <charset val="204"/>
    </font>
    <font>
      <b/>
      <sz val="12"/>
      <color rgb="FF3F3F3F"/>
      <name val="Times New Roman"/>
      <family val="1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8"/>
      </right>
      <top style="thin">
        <color rgb="FF3F3F3F"/>
      </top>
      <bottom/>
      <diagonal/>
    </border>
    <border>
      <left style="thin">
        <color rgb="FF3F3F3F"/>
      </left>
      <right style="medium">
        <color indexed="8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medium">
        <color indexed="8"/>
      </left>
      <right style="medium">
        <color indexed="8"/>
      </right>
      <top style="thin">
        <color rgb="FF3F3F3F"/>
      </top>
      <bottom/>
      <diagonal/>
    </border>
    <border>
      <left style="medium">
        <color indexed="8"/>
      </left>
      <right style="medium">
        <color indexed="8"/>
      </right>
      <top/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7">
    <xf numFmtId="0" fontId="0" fillId="0" borderId="0" xfId="0"/>
    <xf numFmtId="4" fontId="2" fillId="3" borderId="1" xfId="1" applyNumberFormat="1" applyFont="1" applyFill="1" applyAlignment="1">
      <alignment horizontal="center"/>
    </xf>
    <xf numFmtId="4" fontId="3" fillId="3" borderId="1" xfId="1" applyNumberFormat="1" applyFont="1" applyFill="1" applyAlignment="1">
      <alignment horizontal="center"/>
    </xf>
    <xf numFmtId="4" fontId="4" fillId="3" borderId="1" xfId="1" applyNumberFormat="1" applyFont="1" applyFill="1" applyAlignment="1">
      <alignment horizontal="center"/>
    </xf>
    <xf numFmtId="0" fontId="2" fillId="3" borderId="1" xfId="1" applyFont="1" applyFill="1" applyAlignment="1">
      <alignment horizontal="left"/>
    </xf>
    <xf numFmtId="0" fontId="3" fillId="3" borderId="1" xfId="1" applyFont="1" applyFill="1" applyAlignment="1">
      <alignment horizontal="left"/>
    </xf>
    <xf numFmtId="0" fontId="3" fillId="3" borderId="1" xfId="1" applyFont="1" applyFill="1" applyAlignment="1">
      <alignment horizontal="center"/>
    </xf>
    <xf numFmtId="2" fontId="3" fillId="3" borderId="1" xfId="1" applyNumberFormat="1" applyFont="1" applyFill="1" applyAlignment="1">
      <alignment horizontal="center"/>
    </xf>
    <xf numFmtId="2" fontId="5" fillId="3" borderId="1" xfId="1" applyNumberFormat="1" applyFont="1" applyFill="1" applyAlignment="1">
      <alignment horizontal="center"/>
    </xf>
    <xf numFmtId="0" fontId="6" fillId="3" borderId="1" xfId="1" applyFont="1" applyFill="1"/>
    <xf numFmtId="2" fontId="7" fillId="3" borderId="1" xfId="1" applyNumberFormat="1" applyFont="1" applyFill="1" applyAlignment="1">
      <alignment horizontal="center"/>
    </xf>
    <xf numFmtId="2" fontId="3" fillId="5" borderId="1" xfId="1" applyNumberFormat="1" applyFont="1" applyFill="1" applyAlignment="1">
      <alignment horizontal="center"/>
    </xf>
    <xf numFmtId="2" fontId="5" fillId="5" borderId="1" xfId="1" applyNumberFormat="1" applyFont="1" applyFill="1" applyAlignment="1">
      <alignment horizontal="center"/>
    </xf>
    <xf numFmtId="2" fontId="0" fillId="0" borderId="0" xfId="0" applyNumberFormat="1"/>
    <xf numFmtId="2" fontId="3" fillId="4" borderId="1" xfId="1" applyNumberFormat="1" applyFont="1" applyFill="1" applyAlignment="1">
      <alignment horizontal="center"/>
    </xf>
    <xf numFmtId="2" fontId="3" fillId="0" borderId="1" xfId="1" applyNumberFormat="1" applyFont="1" applyFill="1" applyAlignment="1">
      <alignment horizontal="center"/>
    </xf>
    <xf numFmtId="0" fontId="3" fillId="0" borderId="1" xfId="1" applyFont="1" applyFill="1" applyAlignment="1">
      <alignment horizontal="center"/>
    </xf>
    <xf numFmtId="2" fontId="5" fillId="0" borderId="1" xfId="1" applyNumberFormat="1" applyFont="1" applyFill="1" applyAlignment="1">
      <alignment horizontal="center"/>
    </xf>
    <xf numFmtId="2" fontId="3" fillId="6" borderId="1" xfId="1" applyNumberFormat="1" applyFont="1" applyFill="1" applyAlignment="1">
      <alignment horizontal="center"/>
    </xf>
    <xf numFmtId="0" fontId="3" fillId="6" borderId="1" xfId="1" applyFont="1" applyFill="1" applyAlignment="1">
      <alignment horizontal="center"/>
    </xf>
    <xf numFmtId="0" fontId="8" fillId="0" borderId="0" xfId="0" applyFont="1"/>
    <xf numFmtId="0" fontId="0" fillId="5" borderId="0" xfId="0" applyFill="1"/>
    <xf numFmtId="2" fontId="7" fillId="5" borderId="1" xfId="1" applyNumberFormat="1" applyFont="1" applyFill="1" applyAlignment="1">
      <alignment horizontal="center"/>
    </xf>
    <xf numFmtId="0" fontId="9" fillId="0" borderId="0" xfId="0" applyFont="1"/>
    <xf numFmtId="0" fontId="0" fillId="6" borderId="0" xfId="0" applyFill="1"/>
    <xf numFmtId="2" fontId="10" fillId="3" borderId="1" xfId="1" applyNumberFormat="1" applyFont="1" applyFill="1" applyAlignment="1">
      <alignment horizontal="center"/>
    </xf>
    <xf numFmtId="0" fontId="3" fillId="3" borderId="10" xfId="1" applyFont="1" applyFill="1" applyBorder="1" applyAlignment="1">
      <alignment horizontal="center"/>
    </xf>
    <xf numFmtId="0" fontId="3" fillId="3" borderId="9" xfId="1" applyFont="1" applyFill="1" applyBorder="1" applyAlignment="1">
      <alignment horizontal="center"/>
    </xf>
    <xf numFmtId="0" fontId="5" fillId="0" borderId="0" xfId="0" applyFont="1"/>
    <xf numFmtId="14" fontId="0" fillId="0" borderId="0" xfId="0" applyNumberFormat="1"/>
    <xf numFmtId="0" fontId="3" fillId="7" borderId="9" xfId="1" applyFont="1" applyFill="1" applyBorder="1" applyAlignment="1">
      <alignment horizontal="center"/>
    </xf>
    <xf numFmtId="0" fontId="3" fillId="7" borderId="10" xfId="1" applyFont="1" applyFill="1" applyBorder="1" applyAlignment="1">
      <alignment horizontal="center"/>
    </xf>
    <xf numFmtId="0" fontId="3" fillId="7" borderId="1" xfId="1" applyFont="1" applyFill="1" applyAlignment="1">
      <alignment horizontal="center"/>
    </xf>
    <xf numFmtId="2" fontId="3" fillId="7" borderId="1" xfId="1" applyNumberFormat="1" applyFont="1" applyFill="1" applyAlignment="1">
      <alignment horizontal="center"/>
    </xf>
    <xf numFmtId="0" fontId="3" fillId="8" borderId="9" xfId="1" applyFont="1" applyFill="1" applyBorder="1" applyAlignment="1">
      <alignment horizontal="center"/>
    </xf>
    <xf numFmtId="0" fontId="3" fillId="8" borderId="10" xfId="1" applyFont="1" applyFill="1" applyBorder="1" applyAlignment="1">
      <alignment horizontal="center"/>
    </xf>
    <xf numFmtId="0" fontId="3" fillId="8" borderId="1" xfId="1" applyFont="1" applyFill="1" applyAlignment="1">
      <alignment horizontal="center"/>
    </xf>
    <xf numFmtId="2" fontId="3" fillId="8" borderId="1" xfId="1" applyNumberFormat="1" applyFont="1" applyFill="1" applyAlignment="1">
      <alignment horizontal="center"/>
    </xf>
    <xf numFmtId="0" fontId="3" fillId="3" borderId="1" xfId="1" applyNumberFormat="1" applyFont="1" applyFill="1" applyAlignment="1">
      <alignment horizontal="center"/>
    </xf>
    <xf numFmtId="0" fontId="3" fillId="3" borderId="5" xfId="1" applyFont="1" applyFill="1" applyBorder="1" applyAlignment="1"/>
    <xf numFmtId="0" fontId="0" fillId="3" borderId="0" xfId="0" applyFill="1"/>
    <xf numFmtId="16" fontId="0" fillId="0" borderId="0" xfId="0" applyNumberFormat="1"/>
    <xf numFmtId="0" fontId="0" fillId="9" borderId="0" xfId="0" applyFill="1"/>
    <xf numFmtId="2" fontId="13" fillId="3" borderId="1" xfId="1" applyNumberFormat="1" applyFont="1" applyFill="1" applyAlignment="1">
      <alignment horizontal="center"/>
    </xf>
    <xf numFmtId="4" fontId="0" fillId="0" borderId="0" xfId="0" applyNumberFormat="1"/>
    <xf numFmtId="14" fontId="13" fillId="3" borderId="1" xfId="1" applyNumberFormat="1" applyFont="1" applyFill="1" applyAlignment="1">
      <alignment horizontal="center"/>
    </xf>
    <xf numFmtId="14" fontId="3" fillId="3" borderId="1" xfId="1" applyNumberFormat="1" applyFont="1" applyFill="1" applyAlignment="1">
      <alignment horizontal="center"/>
    </xf>
    <xf numFmtId="0" fontId="7" fillId="3" borderId="1" xfId="1" applyFont="1" applyFill="1" applyAlignment="1">
      <alignment horizontal="center"/>
    </xf>
    <xf numFmtId="0" fontId="13" fillId="3" borderId="1" xfId="1" applyNumberFormat="1" applyFont="1" applyFill="1" applyAlignment="1">
      <alignment horizontal="center"/>
    </xf>
    <xf numFmtId="0" fontId="13" fillId="8" borderId="1" xfId="1" applyNumberFormat="1" applyFont="1" applyFill="1" applyAlignment="1">
      <alignment horizontal="center"/>
    </xf>
    <xf numFmtId="14" fontId="13" fillId="0" borderId="1" xfId="1" applyNumberFormat="1" applyFont="1" applyFill="1" applyAlignment="1">
      <alignment horizontal="center"/>
    </xf>
    <xf numFmtId="14" fontId="3" fillId="0" borderId="1" xfId="1" applyNumberFormat="1" applyFont="1" applyFill="1" applyAlignment="1">
      <alignment horizontal="center"/>
    </xf>
    <xf numFmtId="0" fontId="3" fillId="8" borderId="1" xfId="1" applyNumberFormat="1" applyFont="1" applyFill="1" applyAlignment="1">
      <alignment horizontal="center"/>
    </xf>
    <xf numFmtId="2" fontId="7" fillId="6" borderId="1" xfId="1" applyNumberFormat="1" applyFont="1" applyFill="1" applyAlignment="1">
      <alignment horizontal="center"/>
    </xf>
    <xf numFmtId="2" fontId="3" fillId="10" borderId="1" xfId="1" applyNumberFormat="1" applyFont="1" applyFill="1" applyAlignment="1">
      <alignment horizontal="center"/>
    </xf>
    <xf numFmtId="2" fontId="3" fillId="11" borderId="1" xfId="1" applyNumberFormat="1" applyFont="1" applyFill="1" applyAlignment="1">
      <alignment horizontal="center"/>
    </xf>
    <xf numFmtId="2" fontId="3" fillId="9" borderId="1" xfId="1" applyNumberFormat="1" applyFont="1" applyFill="1" applyAlignment="1">
      <alignment horizontal="center"/>
    </xf>
    <xf numFmtId="0" fontId="3" fillId="3" borderId="2" xfId="1" applyFont="1" applyFill="1" applyBorder="1" applyAlignment="1">
      <alignment horizontal="center" wrapText="1"/>
    </xf>
    <xf numFmtId="0" fontId="3" fillId="3" borderId="3" xfId="1" applyFont="1" applyFill="1" applyBorder="1" applyAlignment="1">
      <alignment horizontal="center" wrapText="1"/>
    </xf>
    <xf numFmtId="0" fontId="14" fillId="3" borderId="6" xfId="1" applyFont="1" applyFill="1" applyBorder="1" applyAlignment="1">
      <alignment horizontal="center" vertical="center" wrapText="1"/>
    </xf>
    <xf numFmtId="0" fontId="3" fillId="3" borderId="7" xfId="1" applyFont="1" applyFill="1" applyBorder="1" applyAlignment="1">
      <alignment horizontal="center" vertical="center" wrapText="1"/>
    </xf>
    <xf numFmtId="0" fontId="3" fillId="3" borderId="6" xfId="1" applyFont="1" applyFill="1" applyBorder="1" applyAlignment="1">
      <alignment horizontal="center" wrapText="1"/>
    </xf>
    <xf numFmtId="0" fontId="3" fillId="3" borderId="7" xfId="1" applyFont="1" applyFill="1" applyBorder="1" applyAlignment="1">
      <alignment horizontal="center" wrapText="1"/>
    </xf>
    <xf numFmtId="0" fontId="14" fillId="3" borderId="6" xfId="1" applyFont="1" applyFill="1" applyBorder="1" applyAlignment="1">
      <alignment horizontal="center" vertical="center"/>
    </xf>
    <xf numFmtId="0" fontId="3" fillId="3" borderId="7" xfId="1" applyFont="1" applyFill="1" applyBorder="1" applyAlignment="1">
      <alignment horizontal="center" vertical="center"/>
    </xf>
    <xf numFmtId="0" fontId="3" fillId="3" borderId="6" xfId="1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center"/>
    </xf>
    <xf numFmtId="0" fontId="3" fillId="3" borderId="5" xfId="1" applyFont="1" applyFill="1" applyBorder="1" applyAlignment="1">
      <alignment horizontal="center"/>
    </xf>
    <xf numFmtId="2" fontId="3" fillId="3" borderId="4" xfId="1" applyNumberFormat="1" applyFont="1" applyFill="1" applyBorder="1" applyAlignment="1">
      <alignment horizontal="center"/>
    </xf>
    <xf numFmtId="2" fontId="3" fillId="3" borderId="8" xfId="1" applyNumberFormat="1" applyFont="1" applyFill="1" applyBorder="1" applyAlignment="1">
      <alignment horizontal="center"/>
    </xf>
    <xf numFmtId="0" fontId="2" fillId="3" borderId="2" xfId="1" applyFont="1" applyFill="1" applyBorder="1" applyAlignment="1">
      <alignment horizontal="center" wrapText="1"/>
    </xf>
    <xf numFmtId="0" fontId="2" fillId="3" borderId="3" xfId="1" applyFont="1" applyFill="1" applyBorder="1" applyAlignment="1">
      <alignment horizontal="center" wrapText="1"/>
    </xf>
    <xf numFmtId="0" fontId="3" fillId="3" borderId="8" xfId="1" applyFont="1" applyFill="1" applyBorder="1" applyAlignment="1">
      <alignment horizontal="center"/>
    </xf>
    <xf numFmtId="0" fontId="2" fillId="3" borderId="6" xfId="1" applyFont="1" applyFill="1" applyBorder="1" applyAlignment="1">
      <alignment horizontal="center" wrapText="1"/>
    </xf>
    <xf numFmtId="0" fontId="2" fillId="3" borderId="7" xfId="1" applyFont="1" applyFill="1" applyBorder="1" applyAlignment="1">
      <alignment horizontal="center" wrapText="1"/>
    </xf>
    <xf numFmtId="0" fontId="13" fillId="3" borderId="6" xfId="1" applyFont="1" applyFill="1" applyBorder="1" applyAlignment="1">
      <alignment horizontal="center" wrapText="1"/>
    </xf>
    <xf numFmtId="0" fontId="13" fillId="3" borderId="7" xfId="1" applyFont="1" applyFill="1" applyBorder="1" applyAlignment="1">
      <alignment horizontal="center" wrapText="1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77;&#1085;&#1090;&#1103;&#1073;&#1088;&#1100;%20&#1084;&#1072;&#1083;&#1086;&#1088;&#1080;&#1090;&#1072;%20&#1088;&#1072;&#1079;&#1085;&#1077;&#1089;&#1090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 refreshError="1">
        <row r="2">
          <cell r="N2" t="str">
            <v>Итого на 30 сентября</v>
          </cell>
        </row>
        <row r="4">
          <cell r="N4">
            <v>-42.8</v>
          </cell>
        </row>
        <row r="5">
          <cell r="N5">
            <v>-13</v>
          </cell>
        </row>
        <row r="6">
          <cell r="N6">
            <v>-65.599999999999994</v>
          </cell>
        </row>
        <row r="7">
          <cell r="N7">
            <v>-25.8</v>
          </cell>
        </row>
        <row r="8">
          <cell r="N8">
            <v>-70</v>
          </cell>
        </row>
        <row r="9">
          <cell r="N9">
            <v>-219.1</v>
          </cell>
        </row>
        <row r="10">
          <cell r="N10">
            <v>-53.1</v>
          </cell>
        </row>
        <row r="11">
          <cell r="N11">
            <v>-112</v>
          </cell>
        </row>
        <row r="12">
          <cell r="N12">
            <v>-173.6</v>
          </cell>
        </row>
        <row r="13">
          <cell r="N13">
            <v>-19.11</v>
          </cell>
        </row>
        <row r="14">
          <cell r="N14">
            <v>-1376.8</v>
          </cell>
        </row>
        <row r="15">
          <cell r="N15">
            <v>-283.39999999999998</v>
          </cell>
        </row>
        <row r="16">
          <cell r="N16">
            <v>-13</v>
          </cell>
        </row>
        <row r="17">
          <cell r="N17">
            <v>-260</v>
          </cell>
        </row>
        <row r="18">
          <cell r="N18">
            <v>0</v>
          </cell>
        </row>
        <row r="19">
          <cell r="N19">
            <v>-8</v>
          </cell>
        </row>
        <row r="20">
          <cell r="N20">
            <v>10</v>
          </cell>
        </row>
        <row r="21">
          <cell r="N21">
            <v>39.1</v>
          </cell>
        </row>
        <row r="22">
          <cell r="N22">
            <v>-261.8</v>
          </cell>
        </row>
        <row r="23">
          <cell r="N23">
            <v>-7</v>
          </cell>
        </row>
        <row r="24">
          <cell r="N24">
            <v>0.5</v>
          </cell>
        </row>
        <row r="25">
          <cell r="N25">
            <v>0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-71.400000000000006</v>
          </cell>
        </row>
        <row r="29">
          <cell r="N29">
            <v>-34.500000000000014</v>
          </cell>
        </row>
        <row r="30">
          <cell r="N30">
            <v>-25</v>
          </cell>
        </row>
        <row r="31">
          <cell r="N31">
            <v>-82.6</v>
          </cell>
        </row>
        <row r="32">
          <cell r="N32">
            <v>-13</v>
          </cell>
        </row>
        <row r="33">
          <cell r="N33">
            <v>78.400000000000006</v>
          </cell>
        </row>
        <row r="34">
          <cell r="N34">
            <v>-34.4</v>
          </cell>
        </row>
        <row r="35">
          <cell r="N35">
            <v>-207.3</v>
          </cell>
        </row>
        <row r="36">
          <cell r="N36">
            <v>-64.2</v>
          </cell>
        </row>
        <row r="37">
          <cell r="N37">
            <v>0</v>
          </cell>
        </row>
        <row r="38">
          <cell r="N38">
            <v>0</v>
          </cell>
        </row>
        <row r="39">
          <cell r="N39">
            <v>-155.1</v>
          </cell>
        </row>
        <row r="40">
          <cell r="N40">
            <v>-13</v>
          </cell>
        </row>
        <row r="41">
          <cell r="N41">
            <v>-12.4</v>
          </cell>
        </row>
        <row r="42">
          <cell r="N42">
            <v>-41.999999999999986</v>
          </cell>
        </row>
        <row r="43">
          <cell r="N43">
            <v>-38</v>
          </cell>
        </row>
        <row r="44">
          <cell r="N44">
            <v>0</v>
          </cell>
        </row>
        <row r="45">
          <cell r="N45">
            <v>13.2</v>
          </cell>
        </row>
        <row r="46">
          <cell r="N46">
            <v>0</v>
          </cell>
        </row>
        <row r="47">
          <cell r="N47">
            <v>2.3000000000000007</v>
          </cell>
        </row>
        <row r="48">
          <cell r="N48">
            <v>-18</v>
          </cell>
        </row>
        <row r="49">
          <cell r="N49">
            <v>-8</v>
          </cell>
        </row>
        <row r="50">
          <cell r="N50">
            <v>-6</v>
          </cell>
        </row>
        <row r="51">
          <cell r="N51">
            <v>-329.5</v>
          </cell>
        </row>
        <row r="52">
          <cell r="N52">
            <v>-68</v>
          </cell>
        </row>
        <row r="53">
          <cell r="N53">
            <v>-34.299999999999997</v>
          </cell>
        </row>
        <row r="54">
          <cell r="N54">
            <v>-27</v>
          </cell>
        </row>
        <row r="55">
          <cell r="N55">
            <v>-26</v>
          </cell>
        </row>
        <row r="56">
          <cell r="N56">
            <v>-42</v>
          </cell>
        </row>
        <row r="57">
          <cell r="N57">
            <v>-21.099999999999994</v>
          </cell>
        </row>
        <row r="58">
          <cell r="N58">
            <v>-140.20000000000005</v>
          </cell>
        </row>
        <row r="59">
          <cell r="N59">
            <v>-408.08589999999998</v>
          </cell>
        </row>
        <row r="60">
          <cell r="N60">
            <v>-29.999999999999993</v>
          </cell>
        </row>
        <row r="61">
          <cell r="N61">
            <v>0</v>
          </cell>
        </row>
        <row r="62">
          <cell r="N62">
            <v>0</v>
          </cell>
        </row>
        <row r="63">
          <cell r="N63">
            <v>0.69999999999999929</v>
          </cell>
        </row>
        <row r="64">
          <cell r="N64">
            <v>-115.5</v>
          </cell>
        </row>
        <row r="65">
          <cell r="N65">
            <v>-9</v>
          </cell>
        </row>
        <row r="66">
          <cell r="N66">
            <v>-8</v>
          </cell>
        </row>
        <row r="67">
          <cell r="N67">
            <v>-9</v>
          </cell>
        </row>
        <row r="68">
          <cell r="N68">
            <v>0</v>
          </cell>
        </row>
        <row r="69">
          <cell r="N69">
            <v>18.700000000000003</v>
          </cell>
        </row>
        <row r="70">
          <cell r="N70">
            <v>-23.1</v>
          </cell>
        </row>
        <row r="71">
          <cell r="N71">
            <v>0</v>
          </cell>
        </row>
        <row r="72">
          <cell r="N72">
            <v>-13</v>
          </cell>
        </row>
        <row r="73">
          <cell r="N73">
            <v>-4969.8963999999996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U749"/>
  <sheetViews>
    <sheetView tabSelected="1" topLeftCell="B717" workbookViewId="0">
      <selection activeCell="C689" sqref="C689:C690"/>
    </sheetView>
  </sheetViews>
  <sheetFormatPr defaultRowHeight="15" x14ac:dyDescent="0.25"/>
  <cols>
    <col min="1" max="1" width="7.28515625" customWidth="1"/>
    <col min="2" max="2" width="11.28515625" customWidth="1"/>
    <col min="3" max="3" width="21.42578125" customWidth="1"/>
    <col min="4" max="4" width="9.28515625" customWidth="1"/>
    <col min="5" max="5" width="8.140625" customWidth="1"/>
    <col min="6" max="6" width="7.5703125" customWidth="1"/>
    <col min="7" max="7" width="7.140625" customWidth="1"/>
    <col min="9" max="9" width="8.42578125" customWidth="1"/>
    <col min="10" max="10" width="8.140625" customWidth="1"/>
    <col min="11" max="11" width="7.28515625" customWidth="1"/>
    <col min="12" max="12" width="8.5703125" customWidth="1"/>
    <col min="15" max="15" width="9.28515625" bestFit="1" customWidth="1"/>
    <col min="16" max="16" width="10.7109375" customWidth="1"/>
  </cols>
  <sheetData>
    <row r="3" spans="2:16" ht="15.75" x14ac:dyDescent="0.25">
      <c r="B3" s="57" t="s">
        <v>464</v>
      </c>
      <c r="C3" s="65"/>
      <c r="D3" s="27"/>
      <c r="E3" s="27">
        <v>1</v>
      </c>
      <c r="F3" s="27">
        <v>2</v>
      </c>
      <c r="G3" s="27">
        <v>3</v>
      </c>
      <c r="H3" s="27">
        <v>4</v>
      </c>
      <c r="I3" s="27">
        <v>5</v>
      </c>
      <c r="J3" s="27">
        <v>6</v>
      </c>
      <c r="K3" s="27">
        <v>7</v>
      </c>
      <c r="L3" s="27"/>
      <c r="M3" s="57" t="s">
        <v>68</v>
      </c>
      <c r="N3" s="61" t="s">
        <v>137</v>
      </c>
      <c r="O3" s="57" t="s">
        <v>479</v>
      </c>
      <c r="P3" s="7"/>
    </row>
    <row r="4" spans="2:16" ht="15.75" x14ac:dyDescent="0.25">
      <c r="B4" s="58"/>
      <c r="C4" s="64"/>
      <c r="D4" s="26"/>
      <c r="E4" s="26">
        <v>4</v>
      </c>
      <c r="F4" s="26">
        <v>11</v>
      </c>
      <c r="G4" s="26">
        <v>15</v>
      </c>
      <c r="H4" s="26">
        <v>18</v>
      </c>
      <c r="I4" s="26">
        <v>22</v>
      </c>
      <c r="J4" s="26">
        <v>25</v>
      </c>
      <c r="K4" s="6">
        <v>29</v>
      </c>
      <c r="L4" s="6"/>
      <c r="M4" s="58"/>
      <c r="N4" s="62"/>
      <c r="O4" s="58"/>
      <c r="P4" s="7"/>
    </row>
    <row r="5" spans="2:16" ht="15.75" x14ac:dyDescent="0.25">
      <c r="B5" s="2">
        <f>'декабрь 2019'!O4</f>
        <v>0</v>
      </c>
      <c r="C5" s="5" t="s">
        <v>123</v>
      </c>
      <c r="D5" s="6"/>
      <c r="E5" s="6"/>
      <c r="F5" s="6"/>
      <c r="G5" s="6"/>
      <c r="H5" s="6"/>
      <c r="I5" s="6"/>
      <c r="J5" s="6"/>
      <c r="K5" s="6"/>
      <c r="L5" s="6"/>
      <c r="M5" s="7">
        <f>SUM(D5:L5)</f>
        <v>0</v>
      </c>
      <c r="N5" s="7"/>
      <c r="O5" s="7">
        <f>N5+B5-M5</f>
        <v>0</v>
      </c>
      <c r="P5" s="45"/>
    </row>
    <row r="6" spans="2:16" ht="15.75" x14ac:dyDescent="0.25">
      <c r="B6" s="2">
        <f>'декабрь 2019'!O5</f>
        <v>-20</v>
      </c>
      <c r="C6" s="5" t="s">
        <v>125</v>
      </c>
      <c r="D6" s="6"/>
      <c r="E6" s="7"/>
      <c r="F6" s="6"/>
      <c r="G6" s="7"/>
      <c r="H6" s="6"/>
      <c r="I6" s="6"/>
      <c r="J6" s="7"/>
      <c r="K6" s="7"/>
      <c r="L6" s="7"/>
      <c r="M6" s="7">
        <f>SUM(D6:L6)</f>
        <v>0</v>
      </c>
      <c r="N6" s="7">
        <v>20</v>
      </c>
      <c r="O6" s="7">
        <f t="shared" ref="O6:O54" si="0">N6+B6-M6</f>
        <v>0</v>
      </c>
      <c r="P6" s="45">
        <v>43843</v>
      </c>
    </row>
    <row r="7" spans="2:16" ht="15.75" x14ac:dyDescent="0.25">
      <c r="B7" s="2">
        <f>'декабрь 2019'!O6</f>
        <v>-119.5</v>
      </c>
      <c r="C7" s="5" t="s">
        <v>194</v>
      </c>
      <c r="D7" s="7"/>
      <c r="E7" s="7">
        <v>25</v>
      </c>
      <c r="F7" s="7"/>
      <c r="G7" s="7"/>
      <c r="H7" s="7"/>
      <c r="I7" s="7"/>
      <c r="J7" s="7">
        <v>25</v>
      </c>
      <c r="K7" s="15"/>
      <c r="L7" s="7"/>
      <c r="M7" s="7">
        <f>SUM(D7:L7)</f>
        <v>50</v>
      </c>
      <c r="N7" s="7">
        <v>119.5</v>
      </c>
      <c r="O7" s="7">
        <f t="shared" si="0"/>
        <v>-50</v>
      </c>
      <c r="P7" s="45">
        <v>43834</v>
      </c>
    </row>
    <row r="8" spans="2:16" ht="15.75" x14ac:dyDescent="0.25">
      <c r="B8" s="2">
        <f>'декабрь 2019'!O7</f>
        <v>-32</v>
      </c>
      <c r="C8" s="5" t="s">
        <v>2</v>
      </c>
      <c r="D8" s="6"/>
      <c r="E8" s="7"/>
      <c r="F8" s="6"/>
      <c r="G8" s="7"/>
      <c r="H8" s="6"/>
      <c r="I8" s="7"/>
      <c r="J8" s="7">
        <v>25</v>
      </c>
      <c r="K8" s="7"/>
      <c r="L8" s="7"/>
      <c r="M8" s="7">
        <f>SUM(D8:L8)</f>
        <v>25</v>
      </c>
      <c r="N8" s="7"/>
      <c r="O8" s="7">
        <f t="shared" si="0"/>
        <v>-57</v>
      </c>
      <c r="P8" s="45"/>
    </row>
    <row r="9" spans="2:16" ht="15.75" x14ac:dyDescent="0.25">
      <c r="B9" s="2">
        <f>'декабрь 2019'!O8</f>
        <v>-117.6</v>
      </c>
      <c r="C9" s="5" t="s">
        <v>129</v>
      </c>
      <c r="D9" s="6"/>
      <c r="E9" s="7"/>
      <c r="F9" s="6"/>
      <c r="G9" s="6"/>
      <c r="H9" s="6"/>
      <c r="I9" s="7"/>
      <c r="J9" s="6"/>
      <c r="K9" s="7"/>
      <c r="L9" s="7"/>
      <c r="M9" s="7">
        <f t="shared" ref="M9:M26" si="1">SUM(D9:L9)</f>
        <v>0</v>
      </c>
      <c r="N9" s="7"/>
      <c r="O9" s="7">
        <f t="shared" si="0"/>
        <v>-117.6</v>
      </c>
      <c r="P9" s="45"/>
    </row>
    <row r="10" spans="2:16" ht="15.75" x14ac:dyDescent="0.25">
      <c r="B10" s="2">
        <f>'декабрь 2019'!O9</f>
        <v>0</v>
      </c>
      <c r="C10" s="5" t="s">
        <v>195</v>
      </c>
      <c r="D10" s="6"/>
      <c r="E10" s="7"/>
      <c r="F10" s="6"/>
      <c r="G10" s="6"/>
      <c r="H10" s="6"/>
      <c r="I10" s="7"/>
      <c r="J10" s="7"/>
      <c r="K10" s="7"/>
      <c r="L10" s="7"/>
      <c r="M10" s="7">
        <f t="shared" si="1"/>
        <v>0</v>
      </c>
      <c r="N10" s="7"/>
      <c r="O10" s="7">
        <f t="shared" si="0"/>
        <v>0</v>
      </c>
      <c r="P10" s="45"/>
    </row>
    <row r="11" spans="2:16" ht="15.75" x14ac:dyDescent="0.25">
      <c r="B11" s="2">
        <f>'декабрь 2019'!O10</f>
        <v>-5</v>
      </c>
      <c r="C11" s="5" t="s">
        <v>128</v>
      </c>
      <c r="D11" s="7"/>
      <c r="E11" s="7"/>
      <c r="F11" s="7"/>
      <c r="G11" s="7"/>
      <c r="H11" s="7"/>
      <c r="I11" s="7"/>
      <c r="J11" s="7"/>
      <c r="K11" s="7"/>
      <c r="L11" s="7"/>
      <c r="M11" s="7">
        <f t="shared" si="1"/>
        <v>0</v>
      </c>
      <c r="N11" s="7">
        <v>25</v>
      </c>
      <c r="O11" s="7">
        <f t="shared" si="0"/>
        <v>20</v>
      </c>
      <c r="P11" s="45">
        <v>43839</v>
      </c>
    </row>
    <row r="12" spans="2:16" ht="15.75" x14ac:dyDescent="0.25">
      <c r="B12" s="2">
        <f>'декабрь 2019'!O11</f>
        <v>-285.2</v>
      </c>
      <c r="C12" s="5" t="s">
        <v>127</v>
      </c>
      <c r="D12" s="6"/>
      <c r="E12" s="7"/>
      <c r="F12" s="7"/>
      <c r="G12" s="7"/>
      <c r="H12" s="6"/>
      <c r="I12" s="7"/>
      <c r="J12" s="6"/>
      <c r="K12" s="7"/>
      <c r="L12" s="7"/>
      <c r="M12" s="7">
        <f t="shared" si="1"/>
        <v>0</v>
      </c>
      <c r="N12" s="7">
        <v>25</v>
      </c>
      <c r="O12" s="7">
        <f t="shared" si="0"/>
        <v>-260.2</v>
      </c>
      <c r="P12" s="45" t="s">
        <v>489</v>
      </c>
    </row>
    <row r="13" spans="2:16" ht="15.75" x14ac:dyDescent="0.25">
      <c r="B13" s="2">
        <f>'декабрь 2019'!O12</f>
        <v>0</v>
      </c>
      <c r="C13" s="5" t="s">
        <v>126</v>
      </c>
      <c r="D13" s="6"/>
      <c r="E13" s="7"/>
      <c r="F13" s="6"/>
      <c r="G13" s="6"/>
      <c r="H13" s="6"/>
      <c r="I13" s="7"/>
      <c r="J13" s="6"/>
      <c r="K13" s="7"/>
      <c r="L13" s="7"/>
      <c r="M13" s="7">
        <f t="shared" si="1"/>
        <v>0</v>
      </c>
      <c r="N13" s="7"/>
      <c r="O13" s="7">
        <f t="shared" si="0"/>
        <v>0</v>
      </c>
      <c r="P13" s="45"/>
    </row>
    <row r="14" spans="2:16" ht="15.75" x14ac:dyDescent="0.25">
      <c r="B14" s="2">
        <f>'декабрь 2019'!O13</f>
        <v>-528.20000000000005</v>
      </c>
      <c r="C14" s="5" t="s">
        <v>130</v>
      </c>
      <c r="D14" s="7"/>
      <c r="E14" s="7"/>
      <c r="F14" s="7"/>
      <c r="G14" s="7"/>
      <c r="H14" s="7"/>
      <c r="I14" s="7"/>
      <c r="J14" s="6"/>
      <c r="K14" s="7"/>
      <c r="L14" s="7"/>
      <c r="M14" s="7">
        <f t="shared" si="1"/>
        <v>0</v>
      </c>
      <c r="N14" s="7"/>
      <c r="O14" s="7">
        <f t="shared" si="0"/>
        <v>-528.20000000000005</v>
      </c>
      <c r="P14" s="45"/>
    </row>
    <row r="15" spans="2:16" ht="15.75" x14ac:dyDescent="0.25">
      <c r="B15" s="2">
        <f>'декабрь 2019'!O14</f>
        <v>-89.13</v>
      </c>
      <c r="C15" s="5" t="s">
        <v>131</v>
      </c>
      <c r="D15" s="7"/>
      <c r="E15" s="7"/>
      <c r="F15" s="7"/>
      <c r="G15" s="7"/>
      <c r="H15" s="7"/>
      <c r="I15" s="7"/>
      <c r="J15" s="7"/>
      <c r="K15" s="7"/>
      <c r="L15" s="7"/>
      <c r="M15" s="7">
        <f t="shared" si="1"/>
        <v>0</v>
      </c>
      <c r="N15" s="7">
        <v>30.5</v>
      </c>
      <c r="O15" s="7">
        <f t="shared" si="0"/>
        <v>-58.629999999999995</v>
      </c>
      <c r="P15" s="45">
        <v>43834</v>
      </c>
    </row>
    <row r="16" spans="2:16" ht="15.75" x14ac:dyDescent="0.25">
      <c r="B16" s="2">
        <f>'декабрь 2019'!O15</f>
        <v>-20</v>
      </c>
      <c r="C16" s="5" t="s">
        <v>132</v>
      </c>
      <c r="D16" s="7"/>
      <c r="E16" s="7"/>
      <c r="F16" s="7"/>
      <c r="G16" s="7"/>
      <c r="H16" s="7"/>
      <c r="I16" s="7"/>
      <c r="J16" s="7"/>
      <c r="K16" s="7">
        <v>25</v>
      </c>
      <c r="L16" s="7"/>
      <c r="M16" s="7">
        <f t="shared" si="1"/>
        <v>25</v>
      </c>
      <c r="N16" s="7"/>
      <c r="O16" s="7">
        <f t="shared" si="0"/>
        <v>-45</v>
      </c>
      <c r="P16" s="45"/>
    </row>
    <row r="17" spans="2:16" ht="15.75" x14ac:dyDescent="0.25">
      <c r="B17" s="2">
        <f>'декабрь 2019'!O16</f>
        <v>-20</v>
      </c>
      <c r="C17" s="5" t="s">
        <v>9</v>
      </c>
      <c r="D17" s="6"/>
      <c r="E17" s="7">
        <v>34.700000000000003</v>
      </c>
      <c r="F17" s="7"/>
      <c r="G17" s="7"/>
      <c r="H17" s="7"/>
      <c r="I17" s="6"/>
      <c r="J17" s="7"/>
      <c r="K17" s="7"/>
      <c r="L17" s="7"/>
      <c r="M17" s="7">
        <f t="shared" si="1"/>
        <v>34.700000000000003</v>
      </c>
      <c r="N17" s="7"/>
      <c r="O17" s="7">
        <f t="shared" si="0"/>
        <v>-54.7</v>
      </c>
      <c r="P17" s="45"/>
    </row>
    <row r="18" spans="2:16" ht="15.75" x14ac:dyDescent="0.25">
      <c r="B18" s="2">
        <f>'декабрь 2019'!O17</f>
        <v>-115</v>
      </c>
      <c r="C18" s="5" t="s">
        <v>133</v>
      </c>
      <c r="D18" s="7"/>
      <c r="E18" s="7">
        <v>25</v>
      </c>
      <c r="F18" s="7"/>
      <c r="G18" s="7"/>
      <c r="H18" s="7"/>
      <c r="I18" s="7"/>
      <c r="J18" s="7"/>
      <c r="K18" s="7"/>
      <c r="L18" s="7"/>
      <c r="M18" s="7">
        <f t="shared" si="1"/>
        <v>25</v>
      </c>
      <c r="N18" s="8"/>
      <c r="O18" s="7">
        <f t="shared" si="0"/>
        <v>-140</v>
      </c>
      <c r="P18" s="45"/>
    </row>
    <row r="19" spans="2:16" ht="15.75" x14ac:dyDescent="0.25">
      <c r="B19" s="2">
        <f>'декабрь 2019'!O18</f>
        <v>-102.1</v>
      </c>
      <c r="C19" s="5" t="s">
        <v>96</v>
      </c>
      <c r="D19" s="7"/>
      <c r="E19" s="7"/>
      <c r="F19" s="7"/>
      <c r="G19" s="7"/>
      <c r="H19" s="7"/>
      <c r="I19" s="7"/>
      <c r="J19" s="7"/>
      <c r="K19" s="7"/>
      <c r="L19" s="7"/>
      <c r="M19" s="7">
        <f t="shared" si="1"/>
        <v>0</v>
      </c>
      <c r="N19" s="7"/>
      <c r="O19" s="7">
        <f t="shared" si="0"/>
        <v>-102.1</v>
      </c>
      <c r="P19" s="45"/>
    </row>
    <row r="20" spans="2:16" ht="15.75" x14ac:dyDescent="0.25">
      <c r="B20" s="2">
        <f>'декабрь 2019'!O19</f>
        <v>-22.5</v>
      </c>
      <c r="C20" s="5" t="s">
        <v>134</v>
      </c>
      <c r="D20" s="7"/>
      <c r="E20" s="7"/>
      <c r="F20" s="6"/>
      <c r="G20" s="7"/>
      <c r="H20" s="6"/>
      <c r="I20" s="7"/>
      <c r="J20" s="7"/>
      <c r="K20" s="7"/>
      <c r="L20" s="7"/>
      <c r="M20" s="7">
        <f t="shared" si="1"/>
        <v>0</v>
      </c>
      <c r="N20" s="7">
        <v>22.5</v>
      </c>
      <c r="O20" s="7">
        <f t="shared" si="0"/>
        <v>0</v>
      </c>
      <c r="P20" s="45" t="s">
        <v>488</v>
      </c>
    </row>
    <row r="21" spans="2:16" ht="15.75" x14ac:dyDescent="0.25">
      <c r="B21" s="2">
        <f>'декабрь 2019'!O20</f>
        <v>26.100000000000009</v>
      </c>
      <c r="C21" s="5" t="s">
        <v>99</v>
      </c>
      <c r="D21" s="7"/>
      <c r="E21" s="7">
        <v>27.9</v>
      </c>
      <c r="F21" s="6"/>
      <c r="G21" s="7"/>
      <c r="H21" s="6"/>
      <c r="I21" s="7"/>
      <c r="J21" s="6"/>
      <c r="K21" s="6"/>
      <c r="L21" s="7"/>
      <c r="M21" s="7">
        <f t="shared" si="1"/>
        <v>27.9</v>
      </c>
      <c r="N21" s="7">
        <v>27.9</v>
      </c>
      <c r="O21" s="7">
        <f t="shared" si="0"/>
        <v>26.100000000000009</v>
      </c>
      <c r="P21" s="45" t="s">
        <v>485</v>
      </c>
    </row>
    <row r="22" spans="2:16" ht="15.75" x14ac:dyDescent="0.25">
      <c r="B22" s="2">
        <f>'декабрь 2019'!O24</f>
        <v>-384.59</v>
      </c>
      <c r="C22" s="5" t="s">
        <v>53</v>
      </c>
      <c r="D22" s="7"/>
      <c r="E22" s="7"/>
      <c r="F22" s="7"/>
      <c r="G22" s="7"/>
      <c r="H22" s="7"/>
      <c r="I22" s="7"/>
      <c r="J22" s="7"/>
      <c r="K22" s="7"/>
      <c r="L22" s="7"/>
      <c r="M22" s="7">
        <f t="shared" si="1"/>
        <v>0</v>
      </c>
      <c r="N22" s="7"/>
      <c r="O22" s="7">
        <f t="shared" si="0"/>
        <v>-384.59</v>
      </c>
      <c r="P22" s="45"/>
    </row>
    <row r="23" spans="2:16" ht="15.75" x14ac:dyDescent="0.25">
      <c r="B23" s="2">
        <f>'декабрь 2019'!O25</f>
        <v>-73.800000000000011</v>
      </c>
      <c r="C23" s="5" t="s">
        <v>33</v>
      </c>
      <c r="D23" s="7"/>
      <c r="E23" s="7"/>
      <c r="F23" s="7">
        <v>12.6</v>
      </c>
      <c r="G23" s="7"/>
      <c r="H23" s="7">
        <v>17.100000000000001</v>
      </c>
      <c r="I23" s="7"/>
      <c r="J23" s="7"/>
      <c r="K23" s="7"/>
      <c r="L23" s="7"/>
      <c r="M23" s="7">
        <f t="shared" si="1"/>
        <v>29.700000000000003</v>
      </c>
      <c r="N23" s="7">
        <f>12.6+17.1</f>
        <v>29.700000000000003</v>
      </c>
      <c r="O23" s="7">
        <f t="shared" si="0"/>
        <v>-73.800000000000011</v>
      </c>
      <c r="P23" s="45" t="s">
        <v>490</v>
      </c>
    </row>
    <row r="24" spans="2:16" ht="15.75" x14ac:dyDescent="0.25">
      <c r="B24" s="2">
        <f>'декабрь 2019'!O26</f>
        <v>0</v>
      </c>
      <c r="C24" s="5" t="s">
        <v>480</v>
      </c>
      <c r="D24" s="7"/>
      <c r="E24" s="7">
        <v>30.2</v>
      </c>
      <c r="F24" s="7"/>
      <c r="G24" s="7"/>
      <c r="H24" s="7"/>
      <c r="I24" s="7"/>
      <c r="J24" s="7"/>
      <c r="K24" s="7"/>
      <c r="L24" s="7"/>
      <c r="M24" s="7">
        <f t="shared" si="1"/>
        <v>30.2</v>
      </c>
      <c r="N24" s="7">
        <v>30.2</v>
      </c>
      <c r="O24" s="7">
        <f t="shared" si="0"/>
        <v>0</v>
      </c>
      <c r="P24" s="45" t="s">
        <v>483</v>
      </c>
    </row>
    <row r="25" spans="2:16" ht="15.75" x14ac:dyDescent="0.25">
      <c r="B25" s="2">
        <f>'декабрь 2019'!O27</f>
        <v>0.19999999999999929</v>
      </c>
      <c r="C25" s="5" t="s">
        <v>23</v>
      </c>
      <c r="D25" s="7"/>
      <c r="E25" s="7"/>
      <c r="F25" s="7"/>
      <c r="G25" s="7"/>
      <c r="H25" s="7"/>
      <c r="I25" s="7">
        <v>28.4</v>
      </c>
      <c r="J25" s="7">
        <v>32.9</v>
      </c>
      <c r="K25" s="7"/>
      <c r="L25" s="7"/>
      <c r="M25" s="7">
        <f t="shared" si="1"/>
        <v>61.3</v>
      </c>
      <c r="N25" s="7">
        <v>61.3</v>
      </c>
      <c r="O25" s="7">
        <f t="shared" si="0"/>
        <v>0.20000000000000284</v>
      </c>
      <c r="P25" s="45">
        <v>43861</v>
      </c>
    </row>
    <row r="26" spans="2:16" ht="15.75" x14ac:dyDescent="0.25">
      <c r="B26" s="2">
        <f>'декабрь 2019'!O28</f>
        <v>-50</v>
      </c>
      <c r="C26" s="5" t="s">
        <v>24</v>
      </c>
      <c r="D26" s="7"/>
      <c r="E26" s="7"/>
      <c r="F26" s="7"/>
      <c r="G26" s="7"/>
      <c r="H26" s="7"/>
      <c r="I26" s="7"/>
      <c r="J26" s="7"/>
      <c r="K26" s="7"/>
      <c r="L26" s="7"/>
      <c r="M26" s="7">
        <f t="shared" si="1"/>
        <v>0</v>
      </c>
      <c r="N26" s="7">
        <v>24.8</v>
      </c>
      <c r="O26" s="7">
        <f t="shared" si="0"/>
        <v>-25.2</v>
      </c>
      <c r="P26" s="45" t="s">
        <v>481</v>
      </c>
    </row>
    <row r="27" spans="2:16" ht="15.75" x14ac:dyDescent="0.25">
      <c r="B27" s="2">
        <f>'декабрь 2019'!O29</f>
        <v>0</v>
      </c>
      <c r="C27" s="5"/>
      <c r="D27" s="7"/>
      <c r="E27" s="7"/>
      <c r="F27" s="7"/>
      <c r="G27" s="7"/>
      <c r="H27" s="7"/>
      <c r="I27" s="7"/>
      <c r="J27" s="7"/>
      <c r="K27" s="7"/>
      <c r="L27" s="7"/>
      <c r="M27" s="7">
        <f>SUM(D27:L27)</f>
        <v>0</v>
      </c>
      <c r="N27" s="7"/>
      <c r="O27" s="7">
        <f t="shared" si="0"/>
        <v>0</v>
      </c>
      <c r="P27" s="45"/>
    </row>
    <row r="28" spans="2:16" ht="15.75" x14ac:dyDescent="0.25">
      <c r="B28" s="2">
        <f>'декабрь 2019'!O30</f>
        <v>0</v>
      </c>
      <c r="C28" s="5" t="s">
        <v>25</v>
      </c>
      <c r="D28" s="7"/>
      <c r="E28" s="7"/>
      <c r="F28" s="7"/>
      <c r="G28" s="7"/>
      <c r="H28" s="7"/>
      <c r="I28" s="7"/>
      <c r="J28" s="7"/>
      <c r="K28" s="7"/>
      <c r="L28" s="7"/>
      <c r="M28" s="7">
        <f>SUM(D28:L28)</f>
        <v>0</v>
      </c>
      <c r="N28" s="7"/>
      <c r="O28" s="7">
        <f t="shared" si="0"/>
        <v>0</v>
      </c>
      <c r="P28" s="45"/>
    </row>
    <row r="29" spans="2:16" ht="15.75" x14ac:dyDescent="0.25">
      <c r="B29" s="2">
        <f>'декабрь 2019'!O31</f>
        <v>-84.499999999999986</v>
      </c>
      <c r="C29" s="5" t="s">
        <v>27</v>
      </c>
      <c r="D29" s="7"/>
      <c r="E29" s="7"/>
      <c r="F29" s="7"/>
      <c r="G29" s="7"/>
      <c r="H29" s="7"/>
      <c r="I29" s="7"/>
      <c r="J29" s="7"/>
      <c r="K29" s="7"/>
      <c r="L29" s="7"/>
      <c r="M29" s="7">
        <f>SUM(D29:L29)</f>
        <v>0</v>
      </c>
      <c r="N29" s="7">
        <v>34.5</v>
      </c>
      <c r="O29" s="7">
        <f t="shared" si="0"/>
        <v>-49.999999999999986</v>
      </c>
      <c r="P29" s="45">
        <v>43839</v>
      </c>
    </row>
    <row r="30" spans="2:16" ht="15.75" x14ac:dyDescent="0.25">
      <c r="B30" s="2">
        <f>'декабрь 2019'!O32</f>
        <v>-124.5</v>
      </c>
      <c r="C30" s="5" t="s">
        <v>29</v>
      </c>
      <c r="D30" s="7"/>
      <c r="E30" s="7"/>
      <c r="F30" s="7"/>
      <c r="G30" s="7"/>
      <c r="H30" s="7"/>
      <c r="I30" s="7"/>
      <c r="J30" s="7"/>
      <c r="K30" s="7"/>
      <c r="L30" s="7"/>
      <c r="M30" s="7">
        <f t="shared" ref="M30:M31" si="2">SUM(D30:L30)</f>
        <v>0</v>
      </c>
      <c r="N30" s="7">
        <v>50</v>
      </c>
      <c r="O30" s="7">
        <f t="shared" si="0"/>
        <v>-74.5</v>
      </c>
      <c r="P30" s="45">
        <v>43843</v>
      </c>
    </row>
    <row r="31" spans="2:16" ht="15.75" x14ac:dyDescent="0.25">
      <c r="B31" s="2">
        <f>'декабрь 2019'!O33</f>
        <v>-64.200000000000045</v>
      </c>
      <c r="C31" s="5" t="s">
        <v>30</v>
      </c>
      <c r="D31" s="7"/>
      <c r="E31" s="7"/>
      <c r="F31" s="7"/>
      <c r="G31" s="7"/>
      <c r="H31" s="7"/>
      <c r="I31" s="7"/>
      <c r="J31" s="7"/>
      <c r="K31" s="7"/>
      <c r="L31" s="7"/>
      <c r="M31" s="7">
        <f t="shared" si="2"/>
        <v>0</v>
      </c>
      <c r="N31" s="7"/>
      <c r="O31" s="7">
        <f t="shared" si="0"/>
        <v>-64.200000000000045</v>
      </c>
      <c r="P31" s="45"/>
    </row>
    <row r="32" spans="2:16" ht="15.75" x14ac:dyDescent="0.25">
      <c r="B32" s="2">
        <f>'декабрь 2019'!O35</f>
        <v>0</v>
      </c>
      <c r="C32" s="5" t="s">
        <v>356</v>
      </c>
      <c r="D32" s="7"/>
      <c r="E32" s="7"/>
      <c r="F32" s="7"/>
      <c r="G32" s="7"/>
      <c r="H32" s="7"/>
      <c r="I32" s="7"/>
      <c r="J32" s="7"/>
      <c r="K32" s="7"/>
      <c r="L32" s="7"/>
      <c r="M32" s="7">
        <f>SUM(D32:L32)</f>
        <v>0</v>
      </c>
      <c r="N32" s="7"/>
      <c r="O32" s="7">
        <f t="shared" si="0"/>
        <v>0</v>
      </c>
      <c r="P32" s="45"/>
    </row>
    <row r="33" spans="2:16" ht="15.75" x14ac:dyDescent="0.25">
      <c r="B33" s="2">
        <f>'декабрь 2019'!O36</f>
        <v>-351.8</v>
      </c>
      <c r="C33" s="5" t="s">
        <v>101</v>
      </c>
      <c r="D33" s="7"/>
      <c r="E33" s="7"/>
      <c r="F33" s="7"/>
      <c r="G33" s="7"/>
      <c r="H33" s="7">
        <v>25</v>
      </c>
      <c r="I33" s="7">
        <v>25</v>
      </c>
      <c r="J33" s="7">
        <v>25</v>
      </c>
      <c r="K33" s="7"/>
      <c r="L33" s="7"/>
      <c r="M33" s="7">
        <f t="shared" ref="M33:M46" si="3">SUM(D33:L33)</f>
        <v>75</v>
      </c>
      <c r="N33" s="7">
        <f>57.2+201.6</f>
        <v>258.8</v>
      </c>
      <c r="O33" s="7">
        <f t="shared" si="0"/>
        <v>-168</v>
      </c>
      <c r="P33" s="45" t="s">
        <v>484</v>
      </c>
    </row>
    <row r="34" spans="2:16" ht="15.75" x14ac:dyDescent="0.25">
      <c r="B34" s="2">
        <f>'декабрь 2019'!O37</f>
        <v>-52.8</v>
      </c>
      <c r="C34" s="5" t="s">
        <v>41</v>
      </c>
      <c r="D34" s="6"/>
      <c r="E34" s="7"/>
      <c r="F34" s="7"/>
      <c r="G34" s="7"/>
      <c r="H34" s="7"/>
      <c r="I34" s="7"/>
      <c r="J34" s="7"/>
      <c r="K34" s="7"/>
      <c r="L34" s="7"/>
      <c r="M34" s="7">
        <f t="shared" si="3"/>
        <v>0</v>
      </c>
      <c r="N34" s="7"/>
      <c r="O34" s="7">
        <f t="shared" si="0"/>
        <v>-52.8</v>
      </c>
      <c r="P34" s="45"/>
    </row>
    <row r="35" spans="2:16" ht="15.75" x14ac:dyDescent="0.25">
      <c r="B35" s="2">
        <f>'декабрь 2019'!O38</f>
        <v>-67.5</v>
      </c>
      <c r="C35" s="5" t="s">
        <v>102</v>
      </c>
      <c r="D35" s="7"/>
      <c r="E35" s="7"/>
      <c r="F35" s="7"/>
      <c r="G35" s="7"/>
      <c r="H35" s="7">
        <v>19.8</v>
      </c>
      <c r="I35" s="7"/>
      <c r="J35" s="7"/>
      <c r="K35" s="7">
        <v>25</v>
      </c>
      <c r="L35" s="7"/>
      <c r="M35" s="7">
        <f t="shared" si="3"/>
        <v>44.8</v>
      </c>
      <c r="N35" s="7">
        <f>47.5+19.8+25</f>
        <v>92.3</v>
      </c>
      <c r="O35" s="7">
        <f t="shared" si="0"/>
        <v>-20</v>
      </c>
      <c r="P35" s="45" t="s">
        <v>491</v>
      </c>
    </row>
    <row r="36" spans="2:16" ht="15.75" x14ac:dyDescent="0.25">
      <c r="B36" s="2">
        <f>'декабрь 2019'!O39</f>
        <v>0</v>
      </c>
      <c r="C36" s="5" t="s">
        <v>45</v>
      </c>
      <c r="D36" s="7"/>
      <c r="E36" s="7">
        <v>25</v>
      </c>
      <c r="F36" s="7"/>
      <c r="G36" s="7"/>
      <c r="H36" s="7"/>
      <c r="I36" s="7"/>
      <c r="J36" s="7"/>
      <c r="K36" s="7"/>
      <c r="L36" s="7"/>
      <c r="M36" s="7">
        <f t="shared" si="3"/>
        <v>25</v>
      </c>
      <c r="N36" s="7"/>
      <c r="O36" s="7">
        <f t="shared" si="0"/>
        <v>-25</v>
      </c>
      <c r="P36" s="45"/>
    </row>
    <row r="37" spans="2:16" ht="15.75" x14ac:dyDescent="0.25">
      <c r="B37" s="2">
        <f>'декабрь 2019'!O40</f>
        <v>-87.600000000000009</v>
      </c>
      <c r="C37" s="5" t="s">
        <v>46</v>
      </c>
      <c r="D37" s="7"/>
      <c r="E37" s="7"/>
      <c r="F37" s="10"/>
      <c r="G37" s="7">
        <v>21.2</v>
      </c>
      <c r="H37" s="7"/>
      <c r="I37" s="7"/>
      <c r="J37" s="7"/>
      <c r="K37" s="7"/>
      <c r="L37" s="7"/>
      <c r="M37" s="7">
        <f t="shared" si="3"/>
        <v>21.2</v>
      </c>
      <c r="N37" s="7">
        <v>111.9</v>
      </c>
      <c r="O37" s="7">
        <f t="shared" si="0"/>
        <v>3.0999999999999979</v>
      </c>
      <c r="P37" s="45">
        <v>43834</v>
      </c>
    </row>
    <row r="38" spans="2:16" ht="15.75" x14ac:dyDescent="0.25">
      <c r="B38" s="2">
        <f>'декабрь 2019'!O41</f>
        <v>25</v>
      </c>
      <c r="C38" s="5" t="s">
        <v>79</v>
      </c>
      <c r="D38" s="7"/>
      <c r="E38" s="7"/>
      <c r="F38" s="10"/>
      <c r="G38" s="7"/>
      <c r="H38" s="7"/>
      <c r="I38" s="7"/>
      <c r="J38" s="7"/>
      <c r="K38" s="7"/>
      <c r="L38" s="7"/>
      <c r="M38" s="7">
        <f t="shared" si="3"/>
        <v>0</v>
      </c>
      <c r="N38" s="7"/>
      <c r="O38" s="7">
        <f t="shared" si="0"/>
        <v>25</v>
      </c>
      <c r="P38" s="45"/>
    </row>
    <row r="39" spans="2:16" ht="15.75" x14ac:dyDescent="0.25">
      <c r="B39" s="2">
        <f>'декабрь 2019'!O42</f>
        <v>-25</v>
      </c>
      <c r="C39" s="5" t="s">
        <v>261</v>
      </c>
      <c r="D39" s="7"/>
      <c r="E39" s="6"/>
      <c r="F39" s="10"/>
      <c r="G39" s="7"/>
      <c r="H39" s="7"/>
      <c r="I39" s="7"/>
      <c r="J39" s="7"/>
      <c r="K39" s="7"/>
      <c r="L39" s="7"/>
      <c r="M39" s="7">
        <f t="shared" si="3"/>
        <v>0</v>
      </c>
      <c r="N39" s="7"/>
      <c r="O39" s="7">
        <f t="shared" si="0"/>
        <v>-25</v>
      </c>
      <c r="P39" s="45"/>
    </row>
    <row r="40" spans="2:16" ht="15.75" x14ac:dyDescent="0.25">
      <c r="B40" s="2">
        <f>'декабрь 2019'!O43</f>
        <v>-639.69999999999959</v>
      </c>
      <c r="C40" s="5" t="s">
        <v>103</v>
      </c>
      <c r="D40" s="6"/>
      <c r="E40" s="7"/>
      <c r="F40" s="7"/>
      <c r="G40" s="7"/>
      <c r="H40" s="7">
        <v>106.2</v>
      </c>
      <c r="I40" s="7"/>
      <c r="J40" s="7"/>
      <c r="K40" s="7"/>
      <c r="L40" s="7"/>
      <c r="M40" s="7">
        <f t="shared" si="3"/>
        <v>106.2</v>
      </c>
      <c r="N40" s="7">
        <v>500</v>
      </c>
      <c r="O40" s="7">
        <f t="shared" si="0"/>
        <v>-245.89999999999958</v>
      </c>
      <c r="P40" s="45">
        <v>43834</v>
      </c>
    </row>
    <row r="41" spans="2:16" ht="15.75" x14ac:dyDescent="0.25">
      <c r="B41" s="2">
        <f>'декабрь 2019'!O44</f>
        <v>0</v>
      </c>
      <c r="C41" s="5" t="s">
        <v>211</v>
      </c>
      <c r="D41" s="6"/>
      <c r="E41" s="7"/>
      <c r="F41" s="6"/>
      <c r="G41" s="7"/>
      <c r="H41" s="7"/>
      <c r="I41" s="7"/>
      <c r="J41" s="7"/>
      <c r="K41" s="7"/>
      <c r="L41" s="7"/>
      <c r="M41" s="7">
        <f t="shared" si="3"/>
        <v>0</v>
      </c>
      <c r="N41" s="7"/>
      <c r="O41" s="7">
        <f t="shared" si="0"/>
        <v>0</v>
      </c>
      <c r="P41" s="45"/>
    </row>
    <row r="42" spans="2:16" ht="15.75" x14ac:dyDescent="0.25">
      <c r="B42" s="2">
        <f>'декабрь 2019'!O45</f>
        <v>-20</v>
      </c>
      <c r="C42" s="5" t="s">
        <v>139</v>
      </c>
      <c r="D42" s="7"/>
      <c r="E42" s="7"/>
      <c r="F42" s="6"/>
      <c r="G42" s="7"/>
      <c r="H42" s="7"/>
      <c r="I42" s="7"/>
      <c r="J42" s="7"/>
      <c r="K42" s="7">
        <v>25</v>
      </c>
      <c r="L42" s="7"/>
      <c r="M42" s="7">
        <f t="shared" si="3"/>
        <v>25</v>
      </c>
      <c r="N42" s="7">
        <v>20</v>
      </c>
      <c r="O42" s="7">
        <f t="shared" si="0"/>
        <v>-25</v>
      </c>
      <c r="P42" s="45" t="s">
        <v>482</v>
      </c>
    </row>
    <row r="43" spans="2:16" ht="15.75" x14ac:dyDescent="0.25">
      <c r="B43" s="2">
        <f>'декабрь 2019'!O48</f>
        <v>-32.5</v>
      </c>
      <c r="C43" s="5" t="s">
        <v>31</v>
      </c>
      <c r="D43" s="7"/>
      <c r="E43" s="7"/>
      <c r="F43" s="7"/>
      <c r="G43" s="7"/>
      <c r="H43" s="7"/>
      <c r="I43" s="7"/>
      <c r="J43" s="7"/>
      <c r="K43" s="7"/>
      <c r="L43" s="7"/>
      <c r="M43" s="7">
        <f t="shared" si="3"/>
        <v>0</v>
      </c>
      <c r="N43" s="7">
        <v>37.5</v>
      </c>
      <c r="O43" s="7">
        <f t="shared" si="0"/>
        <v>5</v>
      </c>
      <c r="P43" s="45">
        <v>43840</v>
      </c>
    </row>
    <row r="44" spans="2:16" ht="15.75" x14ac:dyDescent="0.25">
      <c r="B44" s="2">
        <f>'декабрь 2019'!O49</f>
        <v>0</v>
      </c>
      <c r="C44" s="5" t="s">
        <v>37</v>
      </c>
      <c r="D44" s="7"/>
      <c r="E44" s="7"/>
      <c r="F44" s="7"/>
      <c r="G44" s="7"/>
      <c r="H44" s="7"/>
      <c r="I44" s="7"/>
      <c r="J44" s="7"/>
      <c r="K44" s="7"/>
      <c r="L44" s="7"/>
      <c r="M44" s="7">
        <f t="shared" si="3"/>
        <v>0</v>
      </c>
      <c r="N44" s="7"/>
      <c r="O44" s="7">
        <f t="shared" si="0"/>
        <v>0</v>
      </c>
      <c r="P44" s="43"/>
    </row>
    <row r="45" spans="2:16" ht="15.75" x14ac:dyDescent="0.25">
      <c r="B45" s="2">
        <f>'декабрь 2019'!O50</f>
        <v>-40</v>
      </c>
      <c r="C45" s="5" t="s">
        <v>105</v>
      </c>
      <c r="D45" s="7"/>
      <c r="E45" s="7"/>
      <c r="F45" s="7"/>
      <c r="G45" s="7"/>
      <c r="H45" s="7"/>
      <c r="I45" s="7"/>
      <c r="J45" s="7"/>
      <c r="K45" s="7"/>
      <c r="L45" s="7"/>
      <c r="M45" s="7">
        <f t="shared" si="3"/>
        <v>0</v>
      </c>
      <c r="N45" s="7">
        <f>20+20</f>
        <v>40</v>
      </c>
      <c r="O45" s="7">
        <f t="shared" si="0"/>
        <v>0</v>
      </c>
      <c r="P45" s="43" t="s">
        <v>486</v>
      </c>
    </row>
    <row r="46" spans="2:16" ht="15.75" x14ac:dyDescent="0.25">
      <c r="B46" s="2">
        <f>'декабрь 2019'!O53</f>
        <v>0</v>
      </c>
      <c r="C46" s="5" t="s">
        <v>19</v>
      </c>
      <c r="D46" s="7"/>
      <c r="E46" s="7"/>
      <c r="F46" s="7"/>
      <c r="G46" s="7"/>
      <c r="H46" s="7"/>
      <c r="I46" s="7"/>
      <c r="J46" s="7"/>
      <c r="K46" s="7"/>
      <c r="L46" s="7"/>
      <c r="M46" s="7">
        <f t="shared" si="3"/>
        <v>0</v>
      </c>
      <c r="N46" s="7"/>
      <c r="O46" s="7">
        <f t="shared" si="0"/>
        <v>0</v>
      </c>
      <c r="P46" s="43"/>
    </row>
    <row r="47" spans="2:16" ht="15.75" x14ac:dyDescent="0.25">
      <c r="B47" s="2">
        <f>'декабрь 2019'!O55</f>
        <v>7</v>
      </c>
      <c r="C47" s="5" t="s">
        <v>136</v>
      </c>
      <c r="D47" s="7"/>
      <c r="E47" s="7"/>
      <c r="F47" s="7"/>
      <c r="G47" s="7"/>
      <c r="H47" s="7"/>
      <c r="I47" s="7"/>
      <c r="J47" s="7"/>
      <c r="K47" s="7"/>
      <c r="L47" s="7"/>
      <c r="M47" s="7">
        <f>SUM(D47:L47)</f>
        <v>0</v>
      </c>
      <c r="N47" s="7"/>
      <c r="O47" s="8">
        <f t="shared" si="0"/>
        <v>7</v>
      </c>
      <c r="P47" s="43"/>
    </row>
    <row r="48" spans="2:16" ht="15.75" x14ac:dyDescent="0.25">
      <c r="B48" s="2">
        <f>'декабрь 2019'!O60</f>
        <v>0</v>
      </c>
      <c r="C48" s="5" t="s">
        <v>111</v>
      </c>
      <c r="D48" s="6"/>
      <c r="E48" s="7"/>
      <c r="F48" s="7">
        <v>50</v>
      </c>
      <c r="G48" s="7"/>
      <c r="H48" s="7"/>
      <c r="I48" s="7"/>
      <c r="J48" s="7"/>
      <c r="K48" s="7"/>
      <c r="L48" s="7"/>
      <c r="M48" s="7">
        <f t="shared" ref="M48:M51" si="4">SUM(D48:L48)</f>
        <v>50</v>
      </c>
      <c r="N48" s="7"/>
      <c r="O48" s="7">
        <f t="shared" si="0"/>
        <v>-50</v>
      </c>
      <c r="P48" s="43"/>
    </row>
    <row r="49" spans="2:16" ht="15.75" x14ac:dyDescent="0.25">
      <c r="B49" s="2">
        <f>'декабрь 2019'!O61</f>
        <v>0</v>
      </c>
      <c r="C49" s="5" t="s">
        <v>428</v>
      </c>
      <c r="D49" s="6"/>
      <c r="E49" s="7"/>
      <c r="F49" s="7">
        <v>18</v>
      </c>
      <c r="G49" s="7">
        <v>25</v>
      </c>
      <c r="H49" s="7"/>
      <c r="I49" s="7"/>
      <c r="J49" s="7">
        <v>12.6</v>
      </c>
      <c r="K49" s="7"/>
      <c r="L49" s="7"/>
      <c r="M49" s="7">
        <f t="shared" si="4"/>
        <v>55.6</v>
      </c>
      <c r="N49" s="7">
        <v>18</v>
      </c>
      <c r="O49" s="7">
        <f t="shared" si="0"/>
        <v>-37.6</v>
      </c>
      <c r="P49" s="43" t="s">
        <v>487</v>
      </c>
    </row>
    <row r="50" spans="2:16" ht="15.75" x14ac:dyDescent="0.25">
      <c r="B50" s="2">
        <f>'декабрь 2019'!O65</f>
        <v>0</v>
      </c>
      <c r="C50" s="5" t="s">
        <v>115</v>
      </c>
      <c r="D50" s="6"/>
      <c r="E50" s="7"/>
      <c r="F50" s="7"/>
      <c r="G50" s="7"/>
      <c r="H50" s="7"/>
      <c r="I50" s="7"/>
      <c r="J50" s="7"/>
      <c r="K50" s="7"/>
      <c r="L50" s="7"/>
      <c r="M50" s="7">
        <f t="shared" si="4"/>
        <v>0</v>
      </c>
      <c r="N50" s="7"/>
      <c r="O50" s="7">
        <f t="shared" si="0"/>
        <v>0</v>
      </c>
      <c r="P50" s="43"/>
    </row>
    <row r="51" spans="2:16" ht="15.75" x14ac:dyDescent="0.25">
      <c r="B51" s="2">
        <f>'декабрь 2019'!O66</f>
        <v>0</v>
      </c>
      <c r="C51" s="5" t="s">
        <v>252</v>
      </c>
      <c r="D51" s="7"/>
      <c r="E51" s="7"/>
      <c r="F51" s="7"/>
      <c r="G51" s="7"/>
      <c r="H51" s="7"/>
      <c r="I51" s="7"/>
      <c r="J51" s="7"/>
      <c r="K51" s="7"/>
      <c r="L51" s="7"/>
      <c r="M51" s="7">
        <f t="shared" si="4"/>
        <v>0</v>
      </c>
      <c r="N51" s="7"/>
      <c r="O51" s="7">
        <f t="shared" si="0"/>
        <v>0</v>
      </c>
      <c r="P51" s="43"/>
    </row>
    <row r="52" spans="2:16" ht="15.75" x14ac:dyDescent="0.25">
      <c r="B52" s="2">
        <f>'декабрь 2019'!O67</f>
        <v>150</v>
      </c>
      <c r="C52" s="5" t="s">
        <v>117</v>
      </c>
      <c r="D52" s="7"/>
      <c r="E52" s="7"/>
      <c r="F52" s="7"/>
      <c r="G52" s="7"/>
      <c r="H52" s="7"/>
      <c r="I52" s="7"/>
      <c r="J52" s="7"/>
      <c r="K52" s="7"/>
      <c r="L52" s="7"/>
      <c r="M52" s="7">
        <f>SUM(D52:L52)</f>
        <v>0</v>
      </c>
      <c r="N52" s="7"/>
      <c r="O52" s="7">
        <f t="shared" si="0"/>
        <v>150</v>
      </c>
      <c r="P52" s="43"/>
    </row>
    <row r="53" spans="2:16" ht="15.75" x14ac:dyDescent="0.25">
      <c r="B53" s="2">
        <f>'декабрь 2019'!O68</f>
        <v>0</v>
      </c>
      <c r="C53" s="5" t="s">
        <v>118</v>
      </c>
      <c r="D53" s="7"/>
      <c r="E53" s="7"/>
      <c r="F53" s="7"/>
      <c r="G53" s="7"/>
      <c r="H53" s="7"/>
      <c r="I53" s="7"/>
      <c r="J53" s="7"/>
      <c r="K53" s="7"/>
      <c r="L53" s="7"/>
      <c r="M53" s="7">
        <f t="shared" ref="M53:M55" si="5">SUM(D53:L53)</f>
        <v>0</v>
      </c>
      <c r="N53" s="7"/>
      <c r="O53" s="7">
        <f t="shared" si="0"/>
        <v>0</v>
      </c>
      <c r="P53" s="43"/>
    </row>
    <row r="54" spans="2:16" ht="15.75" x14ac:dyDescent="0.25">
      <c r="B54" s="2">
        <f>'декабрь 2019'!O69</f>
        <v>0</v>
      </c>
      <c r="C54" s="5" t="s">
        <v>233</v>
      </c>
      <c r="D54" s="7"/>
      <c r="E54" s="7"/>
      <c r="F54" s="7"/>
      <c r="G54" s="7"/>
      <c r="H54" s="7"/>
      <c r="I54" s="7"/>
      <c r="J54" s="7"/>
      <c r="K54" s="7"/>
      <c r="L54" s="7"/>
      <c r="M54" s="7">
        <f t="shared" si="5"/>
        <v>0</v>
      </c>
      <c r="N54" s="7"/>
      <c r="O54" s="7">
        <f t="shared" si="0"/>
        <v>0</v>
      </c>
      <c r="P54" s="43"/>
    </row>
    <row r="55" spans="2:16" ht="15.75" x14ac:dyDescent="0.25">
      <c r="B55" s="2">
        <f>'декабрь 2019'!O70</f>
        <v>-25</v>
      </c>
      <c r="C55" s="5" t="s">
        <v>135</v>
      </c>
      <c r="D55" s="7"/>
      <c r="E55" s="7"/>
      <c r="F55" s="7"/>
      <c r="G55" s="7"/>
      <c r="H55" s="7"/>
      <c r="I55" s="7"/>
      <c r="J55" s="7"/>
      <c r="K55" s="7"/>
      <c r="L55" s="7"/>
      <c r="M55" s="7">
        <f t="shared" si="5"/>
        <v>0</v>
      </c>
      <c r="N55" s="7"/>
      <c r="O55" s="7">
        <f>N55+B55-M55</f>
        <v>-25</v>
      </c>
      <c r="P55" s="43"/>
    </row>
    <row r="56" spans="2:16" ht="15.75" x14ac:dyDescent="0.25">
      <c r="B56" s="2">
        <f>'декабрь 2019'!O73</f>
        <v>-3391.4199999999992</v>
      </c>
      <c r="C56" s="6" t="s">
        <v>104</v>
      </c>
      <c r="D56" s="7">
        <f t="shared" ref="D56:O56" si="6">SUM(D5:D55)</f>
        <v>0</v>
      </c>
      <c r="E56" s="7">
        <f t="shared" si="6"/>
        <v>167.79999999999998</v>
      </c>
      <c r="F56" s="7">
        <f t="shared" si="6"/>
        <v>80.599999999999994</v>
      </c>
      <c r="G56" s="7">
        <f t="shared" si="6"/>
        <v>46.2</v>
      </c>
      <c r="H56" s="7">
        <f t="shared" si="6"/>
        <v>168.10000000000002</v>
      </c>
      <c r="I56" s="7">
        <f t="shared" si="6"/>
        <v>53.4</v>
      </c>
      <c r="J56" s="7">
        <f t="shared" si="6"/>
        <v>120.5</v>
      </c>
      <c r="K56" s="7">
        <f t="shared" si="6"/>
        <v>75</v>
      </c>
      <c r="L56" s="7">
        <f t="shared" si="6"/>
        <v>0</v>
      </c>
      <c r="M56" s="7">
        <f t="shared" si="6"/>
        <v>711.6</v>
      </c>
      <c r="N56" s="15">
        <f t="shared" si="6"/>
        <v>1579.4</v>
      </c>
      <c r="O56" s="7">
        <f t="shared" si="6"/>
        <v>-2523.62</v>
      </c>
      <c r="P56" s="7"/>
    </row>
    <row r="57" spans="2:16" ht="15.75" x14ac:dyDescent="0.25">
      <c r="O57" s="44">
        <f>B56+N56-M56</f>
        <v>-2523.619999999999</v>
      </c>
      <c r="P57" s="7"/>
    </row>
    <row r="58" spans="2:16" ht="15.75" x14ac:dyDescent="0.25">
      <c r="P58" s="7"/>
    </row>
    <row r="60" spans="2:16" ht="15.75" x14ac:dyDescent="0.25">
      <c r="B60" s="66" t="s">
        <v>478</v>
      </c>
      <c r="C60" s="67"/>
      <c r="D60" s="67"/>
      <c r="E60" s="67"/>
      <c r="F60" s="67"/>
      <c r="G60" s="67"/>
      <c r="H60" s="67"/>
      <c r="I60" s="67"/>
      <c r="J60" s="67"/>
      <c r="K60" s="39"/>
      <c r="L60" s="57" t="s">
        <v>68</v>
      </c>
      <c r="M60" s="61" t="s">
        <v>137</v>
      </c>
      <c r="N60" s="57" t="s">
        <v>437</v>
      </c>
    </row>
    <row r="61" spans="2:16" ht="15.75" x14ac:dyDescent="0.25">
      <c r="B61" s="5"/>
      <c r="C61" s="68" t="s">
        <v>463</v>
      </c>
      <c r="D61" s="69"/>
      <c r="E61" s="7"/>
      <c r="F61" s="7"/>
      <c r="G61" s="7"/>
      <c r="H61" s="7"/>
      <c r="I61" s="7"/>
      <c r="J61" s="7"/>
      <c r="K61" s="7"/>
      <c r="L61" s="58"/>
      <c r="M61" s="62"/>
      <c r="N61" s="58"/>
    </row>
    <row r="62" spans="2:16" ht="15.75" x14ac:dyDescent="0.25">
      <c r="B62" s="5" t="s">
        <v>462</v>
      </c>
      <c r="C62" s="38"/>
      <c r="D62" s="38"/>
      <c r="E62" s="7"/>
      <c r="F62" s="7"/>
      <c r="G62" s="7"/>
      <c r="H62" s="7"/>
      <c r="I62" s="7"/>
      <c r="J62" s="7"/>
      <c r="K62" s="7"/>
      <c r="L62" s="7">
        <v>0</v>
      </c>
      <c r="M62" s="7">
        <v>0</v>
      </c>
      <c r="N62" s="7">
        <v>-8.57</v>
      </c>
    </row>
    <row r="63" spans="2:16" ht="15.75" x14ac:dyDescent="0.25">
      <c r="B63" s="5"/>
      <c r="C63" s="7"/>
      <c r="D63" s="7"/>
      <c r="E63" s="7"/>
      <c r="F63" s="7"/>
      <c r="G63" s="7"/>
      <c r="H63" s="7"/>
      <c r="I63" s="7"/>
      <c r="J63" s="7"/>
      <c r="K63" s="7"/>
      <c r="L63" s="7">
        <f>SUM(L62)</f>
        <v>0</v>
      </c>
      <c r="M63" s="7">
        <f>SUM(M62)</f>
        <v>0</v>
      </c>
      <c r="N63" s="7">
        <v>-8.57</v>
      </c>
    </row>
    <row r="67" spans="1:16" ht="15.75" customHeight="1" x14ac:dyDescent="0.25">
      <c r="B67" s="57" t="s">
        <v>479</v>
      </c>
      <c r="C67" s="65"/>
      <c r="D67" s="27">
        <v>8</v>
      </c>
      <c r="E67" s="27">
        <v>9</v>
      </c>
      <c r="F67" s="27">
        <v>10</v>
      </c>
      <c r="G67" s="27">
        <v>11</v>
      </c>
      <c r="H67" s="27">
        <v>12</v>
      </c>
      <c r="I67" s="27">
        <v>13</v>
      </c>
      <c r="J67" s="27">
        <v>14</v>
      </c>
      <c r="K67" s="27">
        <v>15</v>
      </c>
      <c r="L67" s="27">
        <v>16</v>
      </c>
      <c r="M67" s="57" t="s">
        <v>68</v>
      </c>
      <c r="N67" s="61" t="s">
        <v>137</v>
      </c>
      <c r="O67" s="57" t="s">
        <v>495</v>
      </c>
      <c r="P67" s="7"/>
    </row>
    <row r="68" spans="1:16" ht="15.75" x14ac:dyDescent="0.25">
      <c r="B68" s="58"/>
      <c r="C68" s="64"/>
      <c r="D68" s="26">
        <v>1</v>
      </c>
      <c r="E68" s="26">
        <v>5</v>
      </c>
      <c r="F68" s="26">
        <v>8</v>
      </c>
      <c r="G68" s="26">
        <v>12</v>
      </c>
      <c r="H68" s="26">
        <v>15</v>
      </c>
      <c r="I68" s="26">
        <v>19</v>
      </c>
      <c r="J68" s="26">
        <v>22</v>
      </c>
      <c r="K68" s="26">
        <v>26</v>
      </c>
      <c r="L68" s="6">
        <v>29</v>
      </c>
      <c r="M68" s="58"/>
      <c r="N68" s="62"/>
      <c r="O68" s="58"/>
      <c r="P68" s="7"/>
    </row>
    <row r="69" spans="1:16" ht="15.75" x14ac:dyDescent="0.25">
      <c r="B69" s="2">
        <f>O5</f>
        <v>0</v>
      </c>
      <c r="C69" s="5" t="s">
        <v>123</v>
      </c>
      <c r="D69" s="6"/>
      <c r="E69" s="6"/>
      <c r="F69" s="6"/>
      <c r="G69" s="6"/>
      <c r="H69" s="6"/>
      <c r="I69" s="6"/>
      <c r="J69" s="6"/>
      <c r="K69" s="6"/>
      <c r="L69" s="6"/>
      <c r="M69" s="7">
        <f>SUM(D69:L69)</f>
        <v>0</v>
      </c>
      <c r="N69" s="7"/>
      <c r="O69" s="7">
        <f>N69+B69-M69</f>
        <v>0</v>
      </c>
      <c r="P69" s="45"/>
    </row>
    <row r="70" spans="1:16" ht="15.75" x14ac:dyDescent="0.25">
      <c r="B70" s="2">
        <f t="shared" ref="B70:B119" si="7">O6</f>
        <v>0</v>
      </c>
      <c r="C70" s="5" t="s">
        <v>125</v>
      </c>
      <c r="D70" s="6"/>
      <c r="E70" s="7"/>
      <c r="F70" s="6"/>
      <c r="G70" s="7"/>
      <c r="H70" s="6"/>
      <c r="I70" s="6"/>
      <c r="J70" s="7">
        <v>20</v>
      </c>
      <c r="K70" s="7"/>
      <c r="L70" s="7"/>
      <c r="M70" s="7">
        <f>SUM(D70:L70)</f>
        <v>20</v>
      </c>
      <c r="N70" s="7"/>
      <c r="O70" s="7">
        <f t="shared" ref="O70:O118" si="8">N70+B70-M70</f>
        <v>-20</v>
      </c>
      <c r="P70" s="45"/>
    </row>
    <row r="71" spans="1:16" ht="15.75" x14ac:dyDescent="0.25">
      <c r="B71" s="2">
        <f t="shared" si="7"/>
        <v>-50</v>
      </c>
      <c r="C71" s="5" t="s">
        <v>194</v>
      </c>
      <c r="D71" s="7"/>
      <c r="E71" s="7"/>
      <c r="F71" s="7"/>
      <c r="G71" s="7"/>
      <c r="H71" s="7"/>
      <c r="I71" s="7"/>
      <c r="J71" s="7">
        <f>25+29.3</f>
        <v>54.3</v>
      </c>
      <c r="K71" s="15"/>
      <c r="L71" s="7">
        <v>18</v>
      </c>
      <c r="M71" s="7">
        <f>SUM(D71:L71)</f>
        <v>72.3</v>
      </c>
      <c r="N71" s="7"/>
      <c r="O71" s="7">
        <f t="shared" si="8"/>
        <v>-122.3</v>
      </c>
      <c r="P71" s="45"/>
    </row>
    <row r="72" spans="1:16" ht="15.75" x14ac:dyDescent="0.25">
      <c r="B72" s="2">
        <f t="shared" si="7"/>
        <v>-57</v>
      </c>
      <c r="C72" s="5" t="s">
        <v>2</v>
      </c>
      <c r="D72" s="6"/>
      <c r="E72" s="7"/>
      <c r="F72" s="6"/>
      <c r="G72" s="7"/>
      <c r="H72" s="6"/>
      <c r="I72" s="7"/>
      <c r="J72" s="7"/>
      <c r="K72" s="7"/>
      <c r="L72" s="7"/>
      <c r="M72" s="7">
        <f>SUM(D72:L72)</f>
        <v>0</v>
      </c>
      <c r="N72" s="7"/>
      <c r="O72" s="7">
        <f t="shared" si="8"/>
        <v>-57</v>
      </c>
      <c r="P72" s="45"/>
    </row>
    <row r="73" spans="1:16" ht="15.75" x14ac:dyDescent="0.25">
      <c r="B73" s="2">
        <f t="shared" si="7"/>
        <v>-117.6</v>
      </c>
      <c r="C73" s="5" t="s">
        <v>129</v>
      </c>
      <c r="D73" s="6"/>
      <c r="E73" s="7"/>
      <c r="F73" s="6"/>
      <c r="G73" s="6"/>
      <c r="H73" s="6"/>
      <c r="I73" s="7"/>
      <c r="J73" s="6"/>
      <c r="K73" s="7"/>
      <c r="L73" s="7"/>
      <c r="M73" s="7">
        <f t="shared" ref="M73:M90" si="9">SUM(D73:L73)</f>
        <v>0</v>
      </c>
      <c r="N73" s="7"/>
      <c r="O73" s="7">
        <f t="shared" si="8"/>
        <v>-117.6</v>
      </c>
      <c r="P73" s="45"/>
    </row>
    <row r="74" spans="1:16" ht="15.75" x14ac:dyDescent="0.25">
      <c r="B74" s="2">
        <f t="shared" si="7"/>
        <v>0</v>
      </c>
      <c r="C74" s="5" t="s">
        <v>195</v>
      </c>
      <c r="D74" s="6"/>
      <c r="E74" s="7"/>
      <c r="F74" s="6"/>
      <c r="G74" s="6"/>
      <c r="H74" s="6"/>
      <c r="I74" s="7"/>
      <c r="J74" s="7">
        <v>20</v>
      </c>
      <c r="K74" s="7"/>
      <c r="L74" s="7"/>
      <c r="M74" s="7">
        <f t="shared" si="9"/>
        <v>20</v>
      </c>
      <c r="N74" s="7"/>
      <c r="O74" s="7">
        <f t="shared" si="8"/>
        <v>-20</v>
      </c>
      <c r="P74" s="45"/>
    </row>
    <row r="75" spans="1:16" ht="15.75" x14ac:dyDescent="0.25">
      <c r="B75" s="2">
        <f t="shared" si="7"/>
        <v>20</v>
      </c>
      <c r="C75" s="5" t="s">
        <v>128</v>
      </c>
      <c r="D75" s="7"/>
      <c r="E75" s="7"/>
      <c r="F75" s="7"/>
      <c r="G75" s="7"/>
      <c r="H75" s="7"/>
      <c r="I75" s="7"/>
      <c r="J75" s="7">
        <v>25</v>
      </c>
      <c r="K75" s="7"/>
      <c r="L75" s="7">
        <v>106.2</v>
      </c>
      <c r="M75" s="7">
        <f t="shared" si="9"/>
        <v>131.19999999999999</v>
      </c>
      <c r="N75" s="7"/>
      <c r="O75" s="7">
        <f t="shared" si="8"/>
        <v>-111.19999999999999</v>
      </c>
      <c r="P75" s="45"/>
    </row>
    <row r="76" spans="1:16" ht="15.75" x14ac:dyDescent="0.25">
      <c r="B76" s="2">
        <f t="shared" si="7"/>
        <v>-260.2</v>
      </c>
      <c r="C76" s="5" t="s">
        <v>127</v>
      </c>
      <c r="D76" s="6"/>
      <c r="E76" s="7">
        <v>25</v>
      </c>
      <c r="F76" s="7"/>
      <c r="G76" s="7"/>
      <c r="H76" s="6"/>
      <c r="I76" s="7"/>
      <c r="J76" s="6"/>
      <c r="K76" s="7"/>
      <c r="L76" s="7"/>
      <c r="M76" s="7">
        <f t="shared" si="9"/>
        <v>25</v>
      </c>
      <c r="N76" s="7"/>
      <c r="O76" s="7">
        <f t="shared" si="8"/>
        <v>-285.2</v>
      </c>
      <c r="P76" s="45"/>
    </row>
    <row r="77" spans="1:16" ht="15.75" x14ac:dyDescent="0.25">
      <c r="B77" s="2">
        <f t="shared" si="7"/>
        <v>0</v>
      </c>
      <c r="C77" s="5" t="s">
        <v>126</v>
      </c>
      <c r="D77" s="6"/>
      <c r="E77" s="7"/>
      <c r="F77" s="6"/>
      <c r="G77" s="6"/>
      <c r="H77" s="6"/>
      <c r="I77" s="7"/>
      <c r="J77" s="6"/>
      <c r="K77" s="7"/>
      <c r="L77" s="7"/>
      <c r="M77" s="7">
        <f t="shared" si="9"/>
        <v>0</v>
      </c>
      <c r="N77" s="7"/>
      <c r="O77" s="7">
        <f t="shared" si="8"/>
        <v>0</v>
      </c>
      <c r="P77" s="45"/>
    </row>
    <row r="78" spans="1:16" ht="15.75" x14ac:dyDescent="0.25">
      <c r="B78" s="2">
        <f t="shared" si="7"/>
        <v>-528.20000000000005</v>
      </c>
      <c r="C78" s="5" t="s">
        <v>130</v>
      </c>
      <c r="D78" s="7"/>
      <c r="E78" s="7"/>
      <c r="F78" s="7"/>
      <c r="G78" s="7"/>
      <c r="H78" s="7"/>
      <c r="I78" s="7"/>
      <c r="J78" s="6"/>
      <c r="K78" s="7"/>
      <c r="L78" s="7"/>
      <c r="M78" s="7">
        <f t="shared" si="9"/>
        <v>0</v>
      </c>
      <c r="N78" s="7"/>
      <c r="O78" s="7">
        <f t="shared" si="8"/>
        <v>-528.20000000000005</v>
      </c>
      <c r="P78" s="45"/>
    </row>
    <row r="79" spans="1:16" ht="15.75" x14ac:dyDescent="0.25">
      <c r="B79" s="2">
        <f t="shared" si="7"/>
        <v>-58.629999999999995</v>
      </c>
      <c r="C79" s="5" t="s">
        <v>131</v>
      </c>
      <c r="D79" s="7"/>
      <c r="E79" s="7"/>
      <c r="F79" s="7"/>
      <c r="G79" s="7"/>
      <c r="H79" s="7"/>
      <c r="I79" s="7"/>
      <c r="J79" s="7"/>
      <c r="K79" s="7"/>
      <c r="L79" s="7"/>
      <c r="M79" s="7">
        <f t="shared" si="9"/>
        <v>0</v>
      </c>
      <c r="N79" s="7"/>
      <c r="O79" s="7">
        <f t="shared" si="8"/>
        <v>-58.629999999999995</v>
      </c>
      <c r="P79" s="45"/>
    </row>
    <row r="80" spans="1:16" ht="15.75" x14ac:dyDescent="0.25">
      <c r="A80" s="13"/>
      <c r="B80" s="2">
        <f t="shared" si="7"/>
        <v>-45</v>
      </c>
      <c r="C80" s="5" t="s">
        <v>132</v>
      </c>
      <c r="D80" s="7"/>
      <c r="E80" s="7"/>
      <c r="F80" s="7"/>
      <c r="G80" s="7"/>
      <c r="H80" s="7"/>
      <c r="I80" s="7"/>
      <c r="J80" s="7">
        <v>25</v>
      </c>
      <c r="K80" s="7"/>
      <c r="L80" s="7"/>
      <c r="M80" s="7">
        <f t="shared" si="9"/>
        <v>25</v>
      </c>
      <c r="N80" s="7"/>
      <c r="O80" s="7">
        <f t="shared" si="8"/>
        <v>-70</v>
      </c>
      <c r="P80" s="45"/>
    </row>
    <row r="81" spans="2:16" ht="15.75" x14ac:dyDescent="0.25">
      <c r="B81" s="2">
        <f t="shared" si="7"/>
        <v>-54.7</v>
      </c>
      <c r="C81" s="5" t="s">
        <v>9</v>
      </c>
      <c r="D81" s="6"/>
      <c r="E81" s="7"/>
      <c r="F81" s="7"/>
      <c r="G81" s="7">
        <v>72</v>
      </c>
      <c r="H81" s="7"/>
      <c r="I81" s="6"/>
      <c r="J81" s="7">
        <v>25</v>
      </c>
      <c r="K81" s="7"/>
      <c r="L81" s="7"/>
      <c r="M81" s="7">
        <f t="shared" si="9"/>
        <v>97</v>
      </c>
      <c r="N81" s="7"/>
      <c r="O81" s="7">
        <f t="shared" si="8"/>
        <v>-151.69999999999999</v>
      </c>
      <c r="P81" s="45"/>
    </row>
    <row r="82" spans="2:16" ht="15.75" x14ac:dyDescent="0.25">
      <c r="B82" s="2">
        <f t="shared" si="7"/>
        <v>-140</v>
      </c>
      <c r="C82" s="5" t="s">
        <v>133</v>
      </c>
      <c r="D82" s="7"/>
      <c r="E82" s="7"/>
      <c r="F82" s="7"/>
      <c r="G82" s="7"/>
      <c r="H82" s="7"/>
      <c r="I82" s="7"/>
      <c r="J82" s="7">
        <v>25</v>
      </c>
      <c r="K82" s="7"/>
      <c r="L82" s="7"/>
      <c r="M82" s="7">
        <f t="shared" si="9"/>
        <v>25</v>
      </c>
      <c r="N82" s="8"/>
      <c r="O82" s="7">
        <f t="shared" si="8"/>
        <v>-165</v>
      </c>
      <c r="P82" s="45"/>
    </row>
    <row r="83" spans="2:16" ht="15.75" x14ac:dyDescent="0.25">
      <c r="B83" s="2">
        <f t="shared" si="7"/>
        <v>-102.1</v>
      </c>
      <c r="C83" s="5" t="s">
        <v>96</v>
      </c>
      <c r="D83" s="7">
        <v>25</v>
      </c>
      <c r="E83" s="7">
        <v>30</v>
      </c>
      <c r="F83" s="7"/>
      <c r="G83" s="7"/>
      <c r="H83" s="7"/>
      <c r="I83" s="7">
        <f>13.5+25</f>
        <v>38.5</v>
      </c>
      <c r="J83" s="7">
        <v>25</v>
      </c>
      <c r="K83" s="7"/>
      <c r="L83" s="7"/>
      <c r="M83" s="7">
        <f t="shared" si="9"/>
        <v>118.5</v>
      </c>
      <c r="N83" s="7"/>
      <c r="O83" s="7">
        <f t="shared" si="8"/>
        <v>-220.6</v>
      </c>
      <c r="P83" s="45"/>
    </row>
    <row r="84" spans="2:16" ht="15.75" x14ac:dyDescent="0.25">
      <c r="B84" s="2">
        <f t="shared" si="7"/>
        <v>0</v>
      </c>
      <c r="C84" s="5" t="s">
        <v>134</v>
      </c>
      <c r="D84" s="7">
        <v>26</v>
      </c>
      <c r="E84" s="7"/>
      <c r="F84" s="6"/>
      <c r="G84" s="7"/>
      <c r="H84" s="6"/>
      <c r="I84" s="7"/>
      <c r="J84" s="7">
        <v>25</v>
      </c>
      <c r="K84" s="7"/>
      <c r="L84" s="7"/>
      <c r="M84" s="7">
        <f t="shared" si="9"/>
        <v>51</v>
      </c>
      <c r="N84" s="7"/>
      <c r="O84" s="7">
        <f t="shared" si="8"/>
        <v>-51</v>
      </c>
      <c r="P84" s="45"/>
    </row>
    <row r="85" spans="2:16" ht="15.75" x14ac:dyDescent="0.25">
      <c r="B85" s="2">
        <f t="shared" si="7"/>
        <v>26.100000000000009</v>
      </c>
      <c r="C85" s="5" t="s">
        <v>99</v>
      </c>
      <c r="D85" s="7"/>
      <c r="E85" s="7"/>
      <c r="F85" s="6"/>
      <c r="G85" s="7"/>
      <c r="H85" s="6"/>
      <c r="I85" s="7"/>
      <c r="J85" s="6"/>
      <c r="K85" s="6"/>
      <c r="L85" s="7"/>
      <c r="M85" s="7">
        <f t="shared" si="9"/>
        <v>0</v>
      </c>
      <c r="N85" s="7"/>
      <c r="O85" s="7">
        <f t="shared" si="8"/>
        <v>26.100000000000009</v>
      </c>
      <c r="P85" s="45"/>
    </row>
    <row r="86" spans="2:16" ht="15.75" x14ac:dyDescent="0.25">
      <c r="B86" s="2">
        <f t="shared" si="7"/>
        <v>-384.59</v>
      </c>
      <c r="C86" s="5" t="s">
        <v>53</v>
      </c>
      <c r="D86" s="7"/>
      <c r="E86" s="7"/>
      <c r="F86" s="7"/>
      <c r="G86" s="7"/>
      <c r="H86" s="7"/>
      <c r="I86" s="7"/>
      <c r="J86" s="7"/>
      <c r="K86" s="7"/>
      <c r="L86" s="7"/>
      <c r="M86" s="7">
        <f t="shared" si="9"/>
        <v>0</v>
      </c>
      <c r="N86" s="7"/>
      <c r="O86" s="7">
        <f t="shared" si="8"/>
        <v>-384.59</v>
      </c>
      <c r="P86" s="45"/>
    </row>
    <row r="87" spans="2:16" ht="15.75" x14ac:dyDescent="0.25">
      <c r="B87" s="2">
        <f t="shared" si="7"/>
        <v>-73.800000000000011</v>
      </c>
      <c r="C87" s="5" t="s">
        <v>33</v>
      </c>
      <c r="D87" s="7"/>
      <c r="E87" s="7">
        <v>17.100000000000001</v>
      </c>
      <c r="F87" s="7"/>
      <c r="G87" s="7"/>
      <c r="H87" s="7">
        <v>30.6</v>
      </c>
      <c r="I87" s="7"/>
      <c r="J87" s="7">
        <v>25</v>
      </c>
      <c r="K87" s="7"/>
      <c r="L87" s="7"/>
      <c r="M87" s="7">
        <f t="shared" si="9"/>
        <v>72.7</v>
      </c>
      <c r="N87" s="7">
        <v>55.6</v>
      </c>
      <c r="O87" s="7">
        <f t="shared" si="8"/>
        <v>-90.9</v>
      </c>
      <c r="P87" s="45">
        <v>43888</v>
      </c>
    </row>
    <row r="88" spans="2:16" ht="15.75" x14ac:dyDescent="0.25">
      <c r="B88" s="2">
        <f t="shared" si="7"/>
        <v>0</v>
      </c>
      <c r="C88" s="5" t="s">
        <v>480</v>
      </c>
      <c r="D88" s="7"/>
      <c r="E88" s="7"/>
      <c r="F88" s="7"/>
      <c r="G88" s="7"/>
      <c r="H88" s="7"/>
      <c r="I88" s="7"/>
      <c r="J88" s="7"/>
      <c r="K88" s="7">
        <v>36</v>
      </c>
      <c r="L88" s="7"/>
      <c r="M88" s="7">
        <f t="shared" si="9"/>
        <v>36</v>
      </c>
      <c r="N88" s="7"/>
      <c r="O88" s="7">
        <f t="shared" si="8"/>
        <v>-36</v>
      </c>
      <c r="P88" s="45"/>
    </row>
    <row r="89" spans="2:16" ht="15.75" x14ac:dyDescent="0.25">
      <c r="B89" s="2">
        <f t="shared" si="7"/>
        <v>0.20000000000000284</v>
      </c>
      <c r="C89" s="5" t="s">
        <v>23</v>
      </c>
      <c r="D89" s="7"/>
      <c r="E89" s="7"/>
      <c r="F89" s="7"/>
      <c r="G89" s="7"/>
      <c r="H89" s="7"/>
      <c r="I89" s="7"/>
      <c r="J89" s="7"/>
      <c r="K89" s="7"/>
      <c r="L89" s="7"/>
      <c r="M89" s="7">
        <f t="shared" si="9"/>
        <v>0</v>
      </c>
      <c r="N89" s="7"/>
      <c r="O89" s="7">
        <f t="shared" si="8"/>
        <v>0.20000000000000284</v>
      </c>
      <c r="P89" s="45"/>
    </row>
    <row r="90" spans="2:16" ht="15.75" x14ac:dyDescent="0.25">
      <c r="B90" s="2">
        <f t="shared" si="7"/>
        <v>-25.2</v>
      </c>
      <c r="C90" s="5" t="s">
        <v>24</v>
      </c>
      <c r="D90" s="7"/>
      <c r="E90" s="7"/>
      <c r="F90" s="7"/>
      <c r="G90" s="7"/>
      <c r="H90" s="7"/>
      <c r="I90" s="7"/>
      <c r="J90" s="7"/>
      <c r="K90" s="7"/>
      <c r="L90" s="7"/>
      <c r="M90" s="7">
        <f t="shared" si="9"/>
        <v>0</v>
      </c>
      <c r="N90" s="7"/>
      <c r="O90" s="7">
        <f t="shared" si="8"/>
        <v>-25.2</v>
      </c>
      <c r="P90" s="45"/>
    </row>
    <row r="91" spans="2:16" ht="15.75" x14ac:dyDescent="0.25">
      <c r="B91" s="2">
        <f t="shared" si="7"/>
        <v>0</v>
      </c>
      <c r="C91" s="5"/>
      <c r="D91" s="7"/>
      <c r="E91" s="7"/>
      <c r="F91" s="7"/>
      <c r="G91" s="7"/>
      <c r="H91" s="7"/>
      <c r="I91" s="7"/>
      <c r="J91" s="7"/>
      <c r="K91" s="7"/>
      <c r="L91" s="7"/>
      <c r="M91" s="7">
        <f>SUM(D91:L91)</f>
        <v>0</v>
      </c>
      <c r="N91" s="7"/>
      <c r="O91" s="7">
        <f t="shared" si="8"/>
        <v>0</v>
      </c>
      <c r="P91" s="45"/>
    </row>
    <row r="92" spans="2:16" ht="15.75" x14ac:dyDescent="0.25">
      <c r="B92" s="2">
        <f t="shared" si="7"/>
        <v>0</v>
      </c>
      <c r="C92" s="5" t="s">
        <v>25</v>
      </c>
      <c r="D92" s="7"/>
      <c r="E92" s="7"/>
      <c r="F92" s="7"/>
      <c r="G92" s="7"/>
      <c r="H92" s="7"/>
      <c r="I92" s="7"/>
      <c r="J92" s="7"/>
      <c r="K92" s="7"/>
      <c r="L92" s="7"/>
      <c r="M92" s="7">
        <f>SUM(D92:L92)</f>
        <v>0</v>
      </c>
      <c r="N92" s="7"/>
      <c r="O92" s="7">
        <f t="shared" si="8"/>
        <v>0</v>
      </c>
      <c r="P92" s="45"/>
    </row>
    <row r="93" spans="2:16" ht="15.75" x14ac:dyDescent="0.25">
      <c r="B93" s="2">
        <f t="shared" si="7"/>
        <v>-49.999999999999986</v>
      </c>
      <c r="C93" s="5" t="s">
        <v>27</v>
      </c>
      <c r="D93" s="7"/>
      <c r="E93" s="7"/>
      <c r="F93" s="7"/>
      <c r="G93" s="7"/>
      <c r="H93" s="7"/>
      <c r="I93" s="7"/>
      <c r="J93" s="7"/>
      <c r="K93" s="7"/>
      <c r="L93" s="7">
        <v>57.6</v>
      </c>
      <c r="M93" s="7">
        <f>SUM(D93:L93)</f>
        <v>57.6</v>
      </c>
      <c r="N93" s="7">
        <v>50</v>
      </c>
      <c r="O93" s="7">
        <f t="shared" si="8"/>
        <v>-57.599999999999987</v>
      </c>
      <c r="P93" s="45">
        <v>43885</v>
      </c>
    </row>
    <row r="94" spans="2:16" ht="15.75" x14ac:dyDescent="0.25">
      <c r="B94" s="2">
        <f t="shared" si="7"/>
        <v>-74.5</v>
      </c>
      <c r="C94" s="5" t="s">
        <v>29</v>
      </c>
      <c r="D94" s="7"/>
      <c r="E94" s="7"/>
      <c r="F94" s="7"/>
      <c r="G94" s="7"/>
      <c r="H94" s="7"/>
      <c r="I94" s="7"/>
      <c r="J94" s="7"/>
      <c r="K94" s="7"/>
      <c r="L94" s="7"/>
      <c r="M94" s="7">
        <f t="shared" ref="M94:M95" si="10">SUM(D94:L94)</f>
        <v>0</v>
      </c>
      <c r="N94" s="7"/>
      <c r="O94" s="7">
        <f t="shared" si="8"/>
        <v>-74.5</v>
      </c>
      <c r="P94" s="45"/>
    </row>
    <row r="95" spans="2:16" ht="15.75" x14ac:dyDescent="0.25">
      <c r="B95" s="2">
        <f t="shared" si="7"/>
        <v>-64.200000000000045</v>
      </c>
      <c r="C95" s="5" t="s">
        <v>30</v>
      </c>
      <c r="D95" s="7"/>
      <c r="E95" s="7"/>
      <c r="F95" s="7"/>
      <c r="G95" s="7"/>
      <c r="H95" s="7"/>
      <c r="I95" s="7"/>
      <c r="J95" s="7"/>
      <c r="K95" s="7"/>
      <c r="L95" s="7"/>
      <c r="M95" s="7">
        <f t="shared" si="10"/>
        <v>0</v>
      </c>
      <c r="N95" s="7"/>
      <c r="O95" s="7">
        <f t="shared" si="8"/>
        <v>-64.200000000000045</v>
      </c>
      <c r="P95" s="45"/>
    </row>
    <row r="96" spans="2:16" ht="15.75" x14ac:dyDescent="0.25">
      <c r="B96" s="2">
        <f t="shared" si="7"/>
        <v>0</v>
      </c>
      <c r="C96" s="5" t="s">
        <v>356</v>
      </c>
      <c r="D96" s="7"/>
      <c r="E96" s="7"/>
      <c r="F96" s="7"/>
      <c r="G96" s="7"/>
      <c r="H96" s="7"/>
      <c r="I96" s="7"/>
      <c r="J96" s="7"/>
      <c r="K96" s="7"/>
      <c r="L96" s="7"/>
      <c r="M96" s="7">
        <f>SUM(D96:L96)</f>
        <v>0</v>
      </c>
      <c r="N96" s="7"/>
      <c r="O96" s="7">
        <f t="shared" si="8"/>
        <v>0</v>
      </c>
      <c r="P96" s="45"/>
    </row>
    <row r="97" spans="2:16" ht="15.75" x14ac:dyDescent="0.25">
      <c r="B97" s="2">
        <f t="shared" si="7"/>
        <v>-168</v>
      </c>
      <c r="C97" s="5" t="s">
        <v>101</v>
      </c>
      <c r="D97" s="7">
        <v>26</v>
      </c>
      <c r="E97" s="7">
        <v>26</v>
      </c>
      <c r="F97" s="7"/>
      <c r="G97" s="7"/>
      <c r="H97" s="7"/>
      <c r="I97" s="7"/>
      <c r="J97" s="7">
        <v>25</v>
      </c>
      <c r="K97" s="7"/>
      <c r="L97" s="7"/>
      <c r="M97" s="7">
        <f t="shared" ref="M97:M110" si="11">SUM(D97:L97)</f>
        <v>77</v>
      </c>
      <c r="N97" s="7">
        <f>43+50+43</f>
        <v>136</v>
      </c>
      <c r="O97" s="7">
        <f t="shared" si="8"/>
        <v>-109</v>
      </c>
      <c r="P97" s="45" t="s">
        <v>496</v>
      </c>
    </row>
    <row r="98" spans="2:16" ht="15.75" x14ac:dyDescent="0.25">
      <c r="B98" s="2">
        <f t="shared" si="7"/>
        <v>-52.8</v>
      </c>
      <c r="C98" s="5" t="s">
        <v>41</v>
      </c>
      <c r="D98" s="6"/>
      <c r="E98" s="7"/>
      <c r="F98" s="7"/>
      <c r="G98" s="7"/>
      <c r="H98" s="7"/>
      <c r="I98" s="7"/>
      <c r="J98" s="7"/>
      <c r="K98" s="7"/>
      <c r="L98" s="7"/>
      <c r="M98" s="7">
        <f t="shared" si="11"/>
        <v>0</v>
      </c>
      <c r="N98" s="7"/>
      <c r="O98" s="7">
        <f t="shared" si="8"/>
        <v>-52.8</v>
      </c>
      <c r="P98" s="45"/>
    </row>
    <row r="99" spans="2:16" ht="15.75" x14ac:dyDescent="0.25">
      <c r="B99" s="2">
        <f t="shared" si="7"/>
        <v>-20</v>
      </c>
      <c r="C99" s="5" t="s">
        <v>102</v>
      </c>
      <c r="D99" s="7"/>
      <c r="E99" s="7"/>
      <c r="F99" s="7"/>
      <c r="G99" s="7"/>
      <c r="H99" s="7"/>
      <c r="I99" s="7"/>
      <c r="J99" s="7">
        <v>25</v>
      </c>
      <c r="K99" s="7"/>
      <c r="L99" s="7"/>
      <c r="M99" s="7">
        <f t="shared" si="11"/>
        <v>25</v>
      </c>
      <c r="N99" s="7"/>
      <c r="O99" s="7">
        <f t="shared" si="8"/>
        <v>-45</v>
      </c>
      <c r="P99" s="45"/>
    </row>
    <row r="100" spans="2:16" ht="15.75" x14ac:dyDescent="0.25">
      <c r="B100" s="2">
        <f t="shared" si="7"/>
        <v>-25</v>
      </c>
      <c r="C100" s="5" t="s">
        <v>45</v>
      </c>
      <c r="D100" s="7"/>
      <c r="E100" s="7"/>
      <c r="F100" s="7"/>
      <c r="G100" s="7"/>
      <c r="H100" s="7">
        <v>56.7</v>
      </c>
      <c r="I100" s="7"/>
      <c r="J100" s="7"/>
      <c r="K100" s="7"/>
      <c r="L100" s="7"/>
      <c r="M100" s="7">
        <f t="shared" si="11"/>
        <v>56.7</v>
      </c>
      <c r="N100" s="7"/>
      <c r="O100" s="7">
        <f t="shared" si="8"/>
        <v>-81.7</v>
      </c>
      <c r="P100" s="45"/>
    </row>
    <row r="101" spans="2:16" ht="15.75" x14ac:dyDescent="0.25">
      <c r="B101" s="2">
        <f t="shared" si="7"/>
        <v>3.0999999999999979</v>
      </c>
      <c r="C101" s="5" t="s">
        <v>46</v>
      </c>
      <c r="D101" s="7"/>
      <c r="E101" s="7"/>
      <c r="F101" s="10"/>
      <c r="G101" s="7"/>
      <c r="H101" s="7"/>
      <c r="I101" s="7"/>
      <c r="J101" s="7">
        <v>25</v>
      </c>
      <c r="K101" s="7"/>
      <c r="L101" s="7"/>
      <c r="M101" s="7">
        <f t="shared" si="11"/>
        <v>25</v>
      </c>
      <c r="N101" s="7"/>
      <c r="O101" s="7">
        <f t="shared" si="8"/>
        <v>-21.900000000000002</v>
      </c>
      <c r="P101" s="45"/>
    </row>
    <row r="102" spans="2:16" ht="15.75" x14ac:dyDescent="0.25">
      <c r="B102" s="2">
        <f t="shared" si="7"/>
        <v>25</v>
      </c>
      <c r="C102" s="5" t="s">
        <v>79</v>
      </c>
      <c r="D102" s="7"/>
      <c r="E102" s="7"/>
      <c r="F102" s="10"/>
      <c r="G102" s="7"/>
      <c r="H102" s="7">
        <v>26.6</v>
      </c>
      <c r="I102" s="7"/>
      <c r="J102" s="7"/>
      <c r="K102" s="7"/>
      <c r="L102" s="7"/>
      <c r="M102" s="7">
        <f t="shared" si="11"/>
        <v>26.6</v>
      </c>
      <c r="N102" s="7"/>
      <c r="O102" s="7">
        <f t="shared" si="8"/>
        <v>-1.6000000000000014</v>
      </c>
      <c r="P102" s="45"/>
    </row>
    <row r="103" spans="2:16" ht="15.75" x14ac:dyDescent="0.25">
      <c r="B103" s="2">
        <f t="shared" si="7"/>
        <v>-25</v>
      </c>
      <c r="C103" s="5" t="s">
        <v>261</v>
      </c>
      <c r="D103" s="7"/>
      <c r="E103" s="6"/>
      <c r="F103" s="10"/>
      <c r="G103" s="7"/>
      <c r="H103" s="7"/>
      <c r="I103" s="7"/>
      <c r="J103" s="7"/>
      <c r="K103" s="7"/>
      <c r="L103" s="7"/>
      <c r="M103" s="7">
        <f t="shared" si="11"/>
        <v>0</v>
      </c>
      <c r="N103" s="7"/>
      <c r="O103" s="7">
        <f t="shared" si="8"/>
        <v>-25</v>
      </c>
      <c r="P103" s="45"/>
    </row>
    <row r="104" spans="2:16" ht="15.75" x14ac:dyDescent="0.25">
      <c r="B104" s="2">
        <f t="shared" si="7"/>
        <v>-245.89999999999958</v>
      </c>
      <c r="C104" s="5" t="s">
        <v>103</v>
      </c>
      <c r="D104" s="6">
        <v>24.3</v>
      </c>
      <c r="E104" s="7">
        <v>59</v>
      </c>
      <c r="F104" s="7"/>
      <c r="G104" s="7"/>
      <c r="H104" s="7"/>
      <c r="I104" s="7"/>
      <c r="J104" s="7">
        <v>79.2</v>
      </c>
      <c r="K104" s="7">
        <v>48.6</v>
      </c>
      <c r="L104" s="7"/>
      <c r="M104" s="7">
        <f t="shared" si="11"/>
        <v>211.1</v>
      </c>
      <c r="N104" s="7"/>
      <c r="O104" s="7">
        <f t="shared" si="8"/>
        <v>-456.99999999999955</v>
      </c>
      <c r="P104" s="45"/>
    </row>
    <row r="105" spans="2:16" ht="15.75" x14ac:dyDescent="0.25">
      <c r="B105" s="2">
        <f t="shared" si="7"/>
        <v>0</v>
      </c>
      <c r="C105" s="5" t="s">
        <v>211</v>
      </c>
      <c r="D105" s="6"/>
      <c r="E105" s="7"/>
      <c r="F105" s="6"/>
      <c r="G105" s="7"/>
      <c r="H105" s="7"/>
      <c r="I105" s="7"/>
      <c r="J105" s="7"/>
      <c r="K105" s="7"/>
      <c r="L105" s="7"/>
      <c r="M105" s="7">
        <f t="shared" si="11"/>
        <v>0</v>
      </c>
      <c r="N105" s="7"/>
      <c r="O105" s="7">
        <f t="shared" si="8"/>
        <v>0</v>
      </c>
      <c r="P105" s="45"/>
    </row>
    <row r="106" spans="2:16" ht="15.75" x14ac:dyDescent="0.25">
      <c r="B106" s="2">
        <f t="shared" si="7"/>
        <v>-25</v>
      </c>
      <c r="C106" s="5" t="s">
        <v>139</v>
      </c>
      <c r="D106" s="7"/>
      <c r="E106" s="7"/>
      <c r="F106" s="6"/>
      <c r="G106" s="7"/>
      <c r="H106" s="7"/>
      <c r="I106" s="7"/>
      <c r="J106" s="7">
        <v>25</v>
      </c>
      <c r="K106" s="7"/>
      <c r="L106" s="7"/>
      <c r="M106" s="7">
        <f t="shared" si="11"/>
        <v>25</v>
      </c>
      <c r="N106" s="7">
        <v>25</v>
      </c>
      <c r="O106" s="7">
        <f t="shared" si="8"/>
        <v>-25</v>
      </c>
      <c r="P106" s="45" t="s">
        <v>494</v>
      </c>
    </row>
    <row r="107" spans="2:16" ht="15.75" x14ac:dyDescent="0.25">
      <c r="B107" s="2">
        <f t="shared" si="7"/>
        <v>5</v>
      </c>
      <c r="C107" s="5" t="s">
        <v>31</v>
      </c>
      <c r="D107" s="7"/>
      <c r="E107" s="7"/>
      <c r="F107" s="7"/>
      <c r="G107" s="7"/>
      <c r="H107" s="7">
        <v>133</v>
      </c>
      <c r="I107" s="7"/>
      <c r="J107" s="7">
        <v>25</v>
      </c>
      <c r="K107" s="7">
        <f>20+25</f>
        <v>45</v>
      </c>
      <c r="L107" s="7"/>
      <c r="M107" s="7">
        <f t="shared" si="11"/>
        <v>203</v>
      </c>
      <c r="N107" s="7">
        <v>133</v>
      </c>
      <c r="O107" s="7">
        <f t="shared" si="8"/>
        <v>-65</v>
      </c>
      <c r="P107" s="45">
        <v>43882</v>
      </c>
    </row>
    <row r="108" spans="2:16" ht="15.75" x14ac:dyDescent="0.25">
      <c r="B108" s="2">
        <f t="shared" si="7"/>
        <v>0</v>
      </c>
      <c r="C108" s="5" t="s">
        <v>37</v>
      </c>
      <c r="D108" s="7"/>
      <c r="E108" s="7"/>
      <c r="F108" s="7"/>
      <c r="G108" s="7"/>
      <c r="H108" s="7"/>
      <c r="I108" s="7"/>
      <c r="J108" s="7"/>
      <c r="K108" s="7"/>
      <c r="L108" s="7"/>
      <c r="M108" s="7">
        <f t="shared" si="11"/>
        <v>0</v>
      </c>
      <c r="N108" s="7"/>
      <c r="O108" s="7">
        <f t="shared" si="8"/>
        <v>0</v>
      </c>
      <c r="P108" s="45"/>
    </row>
    <row r="109" spans="2:16" ht="15.75" x14ac:dyDescent="0.25">
      <c r="B109" s="2">
        <f t="shared" si="7"/>
        <v>0</v>
      </c>
      <c r="C109" s="5" t="s">
        <v>105</v>
      </c>
      <c r="D109" s="7"/>
      <c r="E109" s="7"/>
      <c r="F109" s="7"/>
      <c r="G109" s="7"/>
      <c r="H109" s="7"/>
      <c r="I109" s="7"/>
      <c r="J109" s="7">
        <v>25</v>
      </c>
      <c r="K109" s="7"/>
      <c r="L109" s="7"/>
      <c r="M109" s="7">
        <f t="shared" si="11"/>
        <v>25</v>
      </c>
      <c r="N109" s="7"/>
      <c r="O109" s="7">
        <f t="shared" si="8"/>
        <v>-25</v>
      </c>
      <c r="P109" s="45"/>
    </row>
    <row r="110" spans="2:16" ht="15.75" x14ac:dyDescent="0.25">
      <c r="B110" s="2">
        <f t="shared" si="7"/>
        <v>0</v>
      </c>
      <c r="C110" s="5" t="s">
        <v>19</v>
      </c>
      <c r="D110" s="7"/>
      <c r="E110" s="7"/>
      <c r="F110" s="7">
        <v>21.2</v>
      </c>
      <c r="G110" s="7"/>
      <c r="H110" s="7"/>
      <c r="I110" s="7"/>
      <c r="J110" s="7"/>
      <c r="K110" s="7"/>
      <c r="L110" s="7"/>
      <c r="M110" s="7">
        <f t="shared" si="11"/>
        <v>21.2</v>
      </c>
      <c r="N110" s="7"/>
      <c r="O110" s="7">
        <f t="shared" si="8"/>
        <v>-21.2</v>
      </c>
      <c r="P110" s="45"/>
    </row>
    <row r="111" spans="2:16" ht="15.75" x14ac:dyDescent="0.25">
      <c r="B111" s="2">
        <f t="shared" si="7"/>
        <v>7</v>
      </c>
      <c r="C111" s="5" t="s">
        <v>136</v>
      </c>
      <c r="D111" s="7"/>
      <c r="E111" s="7"/>
      <c r="F111" s="7"/>
      <c r="G111" s="7"/>
      <c r="H111" s="7"/>
      <c r="I111" s="7"/>
      <c r="J111" s="7"/>
      <c r="K111" s="7"/>
      <c r="L111" s="7"/>
      <c r="M111" s="7">
        <f>SUM(D111:L111)</f>
        <v>0</v>
      </c>
      <c r="N111" s="7"/>
      <c r="O111" s="8">
        <f t="shared" si="8"/>
        <v>7</v>
      </c>
      <c r="P111" s="45"/>
    </row>
    <row r="112" spans="2:16" ht="15.75" x14ac:dyDescent="0.25">
      <c r="B112" s="2">
        <f t="shared" si="7"/>
        <v>-50</v>
      </c>
      <c r="C112" s="5" t="s">
        <v>111</v>
      </c>
      <c r="D112" s="6"/>
      <c r="E112" s="7"/>
      <c r="F112" s="7"/>
      <c r="G112" s="7"/>
      <c r="H112" s="7"/>
      <c r="I112" s="7"/>
      <c r="J112" s="7"/>
      <c r="K112" s="7"/>
      <c r="L112" s="7"/>
      <c r="M112" s="7">
        <f t="shared" ref="M112:M115" si="12">SUM(D112:L112)</f>
        <v>0</v>
      </c>
      <c r="N112" s="7"/>
      <c r="O112" s="7">
        <f t="shared" si="8"/>
        <v>-50</v>
      </c>
      <c r="P112" s="45"/>
    </row>
    <row r="113" spans="2:16" ht="15.75" x14ac:dyDescent="0.25">
      <c r="B113" s="2">
        <f t="shared" si="7"/>
        <v>-37.6</v>
      </c>
      <c r="C113" s="5" t="s">
        <v>428</v>
      </c>
      <c r="D113" s="6"/>
      <c r="E113" s="7">
        <v>26</v>
      </c>
      <c r="F113" s="7"/>
      <c r="G113" s="7"/>
      <c r="H113" s="7"/>
      <c r="I113" s="7"/>
      <c r="J113" s="7"/>
      <c r="K113" s="7"/>
      <c r="L113" s="7"/>
      <c r="M113" s="7">
        <f t="shared" si="12"/>
        <v>26</v>
      </c>
      <c r="N113" s="7">
        <v>12.6</v>
      </c>
      <c r="O113" s="7">
        <f t="shared" si="8"/>
        <v>-51</v>
      </c>
      <c r="P113" s="45" t="s">
        <v>492</v>
      </c>
    </row>
    <row r="114" spans="2:16" ht="15.75" x14ac:dyDescent="0.25">
      <c r="B114" s="2">
        <f t="shared" si="7"/>
        <v>0</v>
      </c>
      <c r="C114" s="5" t="s">
        <v>115</v>
      </c>
      <c r="D114" s="6"/>
      <c r="E114" s="7"/>
      <c r="F114" s="7"/>
      <c r="G114" s="7"/>
      <c r="H114" s="7"/>
      <c r="I114" s="7"/>
      <c r="J114" s="7"/>
      <c r="K114" s="7"/>
      <c r="L114" s="7"/>
      <c r="M114" s="7">
        <f t="shared" si="12"/>
        <v>0</v>
      </c>
      <c r="N114" s="7"/>
      <c r="O114" s="7">
        <f t="shared" si="8"/>
        <v>0</v>
      </c>
      <c r="P114" s="45"/>
    </row>
    <row r="115" spans="2:16" ht="15.75" x14ac:dyDescent="0.25">
      <c r="B115" s="2">
        <f t="shared" si="7"/>
        <v>0</v>
      </c>
      <c r="C115" s="5" t="s">
        <v>252</v>
      </c>
      <c r="D115" s="7"/>
      <c r="E115" s="7"/>
      <c r="F115" s="7"/>
      <c r="G115" s="7"/>
      <c r="H115" s="7"/>
      <c r="I115" s="7"/>
      <c r="J115" s="7"/>
      <c r="K115" s="7"/>
      <c r="L115" s="7"/>
      <c r="M115" s="7">
        <f t="shared" si="12"/>
        <v>0</v>
      </c>
      <c r="N115" s="7"/>
      <c r="O115" s="7">
        <f t="shared" si="8"/>
        <v>0</v>
      </c>
      <c r="P115" s="45"/>
    </row>
    <row r="116" spans="2:16" ht="15.75" x14ac:dyDescent="0.25">
      <c r="B116" s="2">
        <f t="shared" si="7"/>
        <v>150</v>
      </c>
      <c r="C116" s="5" t="s">
        <v>117</v>
      </c>
      <c r="D116" s="7">
        <v>86</v>
      </c>
      <c r="E116" s="7"/>
      <c r="F116" s="7"/>
      <c r="G116" s="7"/>
      <c r="H116" s="7"/>
      <c r="I116" s="7"/>
      <c r="J116" s="7"/>
      <c r="K116" s="7"/>
      <c r="L116" s="7"/>
      <c r="M116" s="7">
        <f>SUM(D116:L116)</f>
        <v>86</v>
      </c>
      <c r="N116" s="7"/>
      <c r="O116" s="7">
        <f t="shared" si="8"/>
        <v>64</v>
      </c>
      <c r="P116" s="45"/>
    </row>
    <row r="117" spans="2:16" ht="15.75" x14ac:dyDescent="0.25">
      <c r="B117" s="2">
        <f t="shared" si="7"/>
        <v>0</v>
      </c>
      <c r="C117" s="5" t="s">
        <v>118</v>
      </c>
      <c r="D117" s="7"/>
      <c r="E117" s="7"/>
      <c r="F117" s="7"/>
      <c r="G117" s="7"/>
      <c r="H117" s="7"/>
      <c r="I117" s="7"/>
      <c r="J117" s="7"/>
      <c r="K117" s="7">
        <v>39.6</v>
      </c>
      <c r="L117" s="7"/>
      <c r="M117" s="7">
        <f t="shared" ref="M117:M120" si="13">SUM(D117:L117)</f>
        <v>39.6</v>
      </c>
      <c r="N117" s="7"/>
      <c r="O117" s="7">
        <f t="shared" si="8"/>
        <v>-39.6</v>
      </c>
      <c r="P117" s="45"/>
    </row>
    <row r="118" spans="2:16" ht="15.75" x14ac:dyDescent="0.25">
      <c r="B118" s="2">
        <f t="shared" si="7"/>
        <v>0</v>
      </c>
      <c r="C118" s="5" t="s">
        <v>233</v>
      </c>
      <c r="D118" s="7"/>
      <c r="E118" s="7"/>
      <c r="F118" s="7"/>
      <c r="G118" s="7"/>
      <c r="H118" s="7"/>
      <c r="I118" s="7"/>
      <c r="J118" s="7"/>
      <c r="K118" s="7"/>
      <c r="L118" s="7"/>
      <c r="M118" s="7">
        <f t="shared" si="13"/>
        <v>0</v>
      </c>
      <c r="N118" s="7"/>
      <c r="O118" s="7">
        <f t="shared" si="8"/>
        <v>0</v>
      </c>
      <c r="P118" s="45"/>
    </row>
    <row r="119" spans="2:16" ht="15.75" x14ac:dyDescent="0.25">
      <c r="B119" s="2">
        <f t="shared" si="7"/>
        <v>-25</v>
      </c>
      <c r="C119" s="5" t="s">
        <v>135</v>
      </c>
      <c r="D119" s="7"/>
      <c r="E119" s="7"/>
      <c r="F119" s="7"/>
      <c r="G119" s="7"/>
      <c r="H119" s="7"/>
      <c r="I119" s="7"/>
      <c r="J119" s="7"/>
      <c r="K119" s="7"/>
      <c r="L119" s="7"/>
      <c r="M119" s="7">
        <f t="shared" si="13"/>
        <v>0</v>
      </c>
      <c r="N119" s="7">
        <v>25</v>
      </c>
      <c r="O119" s="7">
        <f>N119+B119-M119</f>
        <v>0</v>
      </c>
      <c r="P119" s="45" t="s">
        <v>493</v>
      </c>
    </row>
    <row r="120" spans="2:16" ht="15.75" x14ac:dyDescent="0.25">
      <c r="B120" s="2">
        <v>0</v>
      </c>
      <c r="C120" s="5" t="s">
        <v>21</v>
      </c>
      <c r="D120" s="7"/>
      <c r="E120" s="7"/>
      <c r="F120" s="7"/>
      <c r="G120" s="7"/>
      <c r="H120" s="7"/>
      <c r="I120" s="7"/>
      <c r="J120" s="7">
        <v>20</v>
      </c>
      <c r="K120" s="7"/>
      <c r="L120" s="7"/>
      <c r="M120" s="7">
        <f t="shared" si="13"/>
        <v>20</v>
      </c>
      <c r="N120" s="7"/>
      <c r="O120" s="7">
        <f>N120+B120-M120</f>
        <v>-20</v>
      </c>
      <c r="P120" s="45"/>
    </row>
    <row r="121" spans="2:16" ht="15.75" x14ac:dyDescent="0.25">
      <c r="B121" s="2">
        <f>O56</f>
        <v>-2523.62</v>
      </c>
      <c r="C121" s="6" t="s">
        <v>104</v>
      </c>
      <c r="D121" s="7">
        <f t="shared" ref="D121:L121" si="14">SUM(D69:D119)</f>
        <v>187.3</v>
      </c>
      <c r="E121" s="7">
        <f t="shared" si="14"/>
        <v>183.1</v>
      </c>
      <c r="F121" s="7">
        <f t="shared" si="14"/>
        <v>21.2</v>
      </c>
      <c r="G121" s="7">
        <f t="shared" si="14"/>
        <v>72</v>
      </c>
      <c r="H121" s="7">
        <f t="shared" si="14"/>
        <v>246.9</v>
      </c>
      <c r="I121" s="7">
        <f t="shared" si="14"/>
        <v>38.5</v>
      </c>
      <c r="J121" s="7">
        <f>SUM(J69:J120)</f>
        <v>518.5</v>
      </c>
      <c r="K121" s="7">
        <f t="shared" si="14"/>
        <v>169.2</v>
      </c>
      <c r="L121" s="7">
        <f t="shared" si="14"/>
        <v>181.8</v>
      </c>
      <c r="M121" s="7">
        <f>SUM(M69:M120)</f>
        <v>1618.5</v>
      </c>
      <c r="N121" s="15">
        <f>SUM(N69:N120)</f>
        <v>437.20000000000005</v>
      </c>
      <c r="O121" s="7">
        <f>SUM(O69:O120)</f>
        <v>-3704.9199999999992</v>
      </c>
      <c r="P121" s="46"/>
    </row>
    <row r="122" spans="2:16" ht="15.75" x14ac:dyDescent="0.25">
      <c r="O122" s="44">
        <f>B121+N121-M121</f>
        <v>-3704.92</v>
      </c>
      <c r="P122" s="7"/>
    </row>
    <row r="123" spans="2:16" ht="15.75" x14ac:dyDescent="0.25">
      <c r="P123" s="7"/>
    </row>
    <row r="125" spans="2:16" ht="15.75" customHeight="1" x14ac:dyDescent="0.25"/>
    <row r="126" spans="2:16" ht="15.75" x14ac:dyDescent="0.25">
      <c r="B126" s="57" t="s">
        <v>495</v>
      </c>
      <c r="C126" s="65"/>
      <c r="D126" s="27">
        <v>17</v>
      </c>
      <c r="E126" s="27">
        <v>18</v>
      </c>
      <c r="F126" s="27">
        <v>19</v>
      </c>
      <c r="G126" s="27">
        <v>20</v>
      </c>
      <c r="H126" s="27">
        <v>21</v>
      </c>
      <c r="I126" s="27">
        <v>22</v>
      </c>
      <c r="J126" s="27">
        <v>23</v>
      </c>
      <c r="K126" s="27">
        <v>24</v>
      </c>
      <c r="L126" s="27"/>
      <c r="M126" s="57" t="s">
        <v>68</v>
      </c>
      <c r="N126" s="61" t="s">
        <v>137</v>
      </c>
      <c r="O126" s="57" t="s">
        <v>497</v>
      </c>
    </row>
    <row r="127" spans="2:16" ht="15.75" x14ac:dyDescent="0.25">
      <c r="B127" s="58"/>
      <c r="C127" s="64"/>
      <c r="D127" s="26">
        <v>4</v>
      </c>
      <c r="E127" s="26">
        <v>7</v>
      </c>
      <c r="F127" s="26">
        <v>11</v>
      </c>
      <c r="G127" s="26">
        <v>14</v>
      </c>
      <c r="H127" s="26">
        <v>18</v>
      </c>
      <c r="I127" s="26">
        <v>21</v>
      </c>
      <c r="J127" s="26">
        <v>25</v>
      </c>
      <c r="K127" s="26">
        <v>28</v>
      </c>
      <c r="L127" s="6"/>
      <c r="M127" s="58"/>
      <c r="N127" s="62"/>
      <c r="O127" s="58"/>
      <c r="P127" s="7"/>
    </row>
    <row r="128" spans="2:16" ht="15.75" x14ac:dyDescent="0.25">
      <c r="B128" s="2">
        <f>O69</f>
        <v>0</v>
      </c>
      <c r="C128" s="5" t="s">
        <v>123</v>
      </c>
      <c r="D128" s="6"/>
      <c r="E128" s="6"/>
      <c r="F128" s="6"/>
      <c r="G128" s="6"/>
      <c r="H128" s="6"/>
      <c r="I128" s="6"/>
      <c r="J128" s="6"/>
      <c r="K128" s="6"/>
      <c r="L128" s="6"/>
      <c r="M128" s="7">
        <f>SUM(D128:L128)</f>
        <v>0</v>
      </c>
      <c r="N128" s="7"/>
      <c r="O128" s="7">
        <f>N128+B128-M128</f>
        <v>0</v>
      </c>
      <c r="P128" s="46"/>
    </row>
    <row r="129" spans="2:16" ht="15.75" x14ac:dyDescent="0.25">
      <c r="B129" s="2">
        <f t="shared" ref="B129:B177" si="15">O70</f>
        <v>-20</v>
      </c>
      <c r="C129" s="5" t="s">
        <v>125</v>
      </c>
      <c r="D129" s="6"/>
      <c r="E129" s="7">
        <v>20</v>
      </c>
      <c r="F129" s="6"/>
      <c r="G129" s="7"/>
      <c r="H129" s="6"/>
      <c r="I129" s="6"/>
      <c r="J129" s="7"/>
      <c r="K129" s="7"/>
      <c r="L129" s="7"/>
      <c r="M129" s="7">
        <f>SUM(D129:L129)</f>
        <v>20</v>
      </c>
      <c r="N129" s="7">
        <v>40</v>
      </c>
      <c r="O129" s="7">
        <f t="shared" ref="O129:O179" si="16">N129+B129-M129</f>
        <v>0</v>
      </c>
      <c r="P129" s="45">
        <v>43907</v>
      </c>
    </row>
    <row r="130" spans="2:16" ht="15.75" x14ac:dyDescent="0.25">
      <c r="B130" s="2">
        <f t="shared" si="15"/>
        <v>-122.3</v>
      </c>
      <c r="C130" s="5" t="s">
        <v>194</v>
      </c>
      <c r="D130" s="7"/>
      <c r="E130" s="7">
        <v>25</v>
      </c>
      <c r="F130" s="7">
        <v>25</v>
      </c>
      <c r="G130" s="7">
        <v>25</v>
      </c>
      <c r="H130" s="7"/>
      <c r="I130" s="7"/>
      <c r="J130" s="7"/>
      <c r="K130" s="15"/>
      <c r="L130" s="7"/>
      <c r="M130" s="7">
        <f>SUM(D130:L130)</f>
        <v>75</v>
      </c>
      <c r="N130" s="7"/>
      <c r="O130" s="7">
        <f t="shared" si="16"/>
        <v>-197.3</v>
      </c>
      <c r="P130" s="46"/>
    </row>
    <row r="131" spans="2:16" ht="15.75" x14ac:dyDescent="0.25">
      <c r="B131" s="2">
        <f t="shared" si="15"/>
        <v>-57</v>
      </c>
      <c r="C131" s="5" t="s">
        <v>2</v>
      </c>
      <c r="D131" s="6"/>
      <c r="E131" s="7">
        <v>25</v>
      </c>
      <c r="F131" s="6"/>
      <c r="G131" s="7"/>
      <c r="H131" s="6"/>
      <c r="I131" s="7"/>
      <c r="J131" s="7"/>
      <c r="K131" s="7"/>
      <c r="L131" s="7"/>
      <c r="M131" s="7">
        <f>SUM(D131:L131)</f>
        <v>25</v>
      </c>
      <c r="N131" s="7"/>
      <c r="O131" s="7">
        <f t="shared" si="16"/>
        <v>-82</v>
      </c>
      <c r="P131" s="46"/>
    </row>
    <row r="132" spans="2:16" ht="15.75" x14ac:dyDescent="0.25">
      <c r="B132" s="2">
        <f t="shared" si="15"/>
        <v>-117.6</v>
      </c>
      <c r="C132" s="5" t="s">
        <v>129</v>
      </c>
      <c r="D132" s="6"/>
      <c r="E132" s="7"/>
      <c r="F132" s="6"/>
      <c r="G132" s="6"/>
      <c r="H132" s="6"/>
      <c r="I132" s="7"/>
      <c r="J132" s="6"/>
      <c r="K132" s="7"/>
      <c r="L132" s="7"/>
      <c r="M132" s="7">
        <f t="shared" ref="M132:M149" si="17">SUM(D132:L132)</f>
        <v>0</v>
      </c>
      <c r="N132" s="7">
        <v>117.6</v>
      </c>
      <c r="O132" s="7">
        <f t="shared" si="16"/>
        <v>0</v>
      </c>
      <c r="P132" s="45">
        <v>43901</v>
      </c>
    </row>
    <row r="133" spans="2:16" ht="15.75" x14ac:dyDescent="0.25">
      <c r="B133" s="2">
        <f t="shared" si="15"/>
        <v>-20</v>
      </c>
      <c r="C133" s="5" t="s">
        <v>195</v>
      </c>
      <c r="D133" s="6"/>
      <c r="E133" s="7">
        <v>25</v>
      </c>
      <c r="F133" s="6"/>
      <c r="G133" s="6"/>
      <c r="H133" s="6"/>
      <c r="I133" s="7"/>
      <c r="J133" s="7"/>
      <c r="K133" s="7"/>
      <c r="L133" s="7"/>
      <c r="M133" s="7">
        <f t="shared" si="17"/>
        <v>25</v>
      </c>
      <c r="N133" s="7">
        <v>20</v>
      </c>
      <c r="O133" s="7">
        <f t="shared" si="16"/>
        <v>-25</v>
      </c>
      <c r="P133" s="45">
        <v>43901</v>
      </c>
    </row>
    <row r="134" spans="2:16" ht="15.75" x14ac:dyDescent="0.25">
      <c r="B134" s="2">
        <f t="shared" si="15"/>
        <v>-111.19999999999999</v>
      </c>
      <c r="C134" s="5" t="s">
        <v>128</v>
      </c>
      <c r="D134" s="7"/>
      <c r="E134" s="7">
        <v>25</v>
      </c>
      <c r="F134" s="7"/>
      <c r="G134" s="7"/>
      <c r="H134" s="7"/>
      <c r="I134" s="7"/>
      <c r="J134" s="7"/>
      <c r="K134" s="7"/>
      <c r="L134" s="7"/>
      <c r="M134" s="7">
        <f t="shared" si="17"/>
        <v>25</v>
      </c>
      <c r="N134" s="7">
        <f>25+131.2</f>
        <v>156.19999999999999</v>
      </c>
      <c r="O134" s="7">
        <f t="shared" si="16"/>
        <v>20</v>
      </c>
      <c r="P134" s="45" t="s">
        <v>498</v>
      </c>
    </row>
    <row r="135" spans="2:16" ht="15.75" x14ac:dyDescent="0.25">
      <c r="B135" s="2">
        <f t="shared" si="15"/>
        <v>-285.2</v>
      </c>
      <c r="C135" s="5" t="s">
        <v>127</v>
      </c>
      <c r="D135" s="6"/>
      <c r="E135" s="7"/>
      <c r="F135" s="7"/>
      <c r="G135" s="7"/>
      <c r="H135" s="6"/>
      <c r="I135" s="7"/>
      <c r="J135" s="6"/>
      <c r="K135" s="7"/>
      <c r="L135" s="7"/>
      <c r="M135" s="7">
        <f t="shared" si="17"/>
        <v>0</v>
      </c>
      <c r="N135" s="7"/>
      <c r="O135" s="7">
        <f t="shared" si="16"/>
        <v>-285.2</v>
      </c>
      <c r="P135" s="45"/>
    </row>
    <row r="136" spans="2:16" ht="15.75" x14ac:dyDescent="0.25">
      <c r="B136" s="2">
        <f t="shared" si="15"/>
        <v>0</v>
      </c>
      <c r="C136" s="5" t="s">
        <v>126</v>
      </c>
      <c r="D136" s="6"/>
      <c r="E136" s="7"/>
      <c r="F136" s="6"/>
      <c r="G136" s="6"/>
      <c r="H136" s="6"/>
      <c r="I136" s="7"/>
      <c r="J136" s="6"/>
      <c r="K136" s="7"/>
      <c r="L136" s="7"/>
      <c r="M136" s="7">
        <f t="shared" si="17"/>
        <v>0</v>
      </c>
      <c r="N136" s="7"/>
      <c r="O136" s="7">
        <f t="shared" si="16"/>
        <v>0</v>
      </c>
      <c r="P136" s="45"/>
    </row>
    <row r="137" spans="2:16" ht="15.75" x14ac:dyDescent="0.25">
      <c r="B137" s="2">
        <f t="shared" si="15"/>
        <v>-528.20000000000005</v>
      </c>
      <c r="C137" s="5" t="s">
        <v>130</v>
      </c>
      <c r="D137" s="7"/>
      <c r="E137" s="7"/>
      <c r="F137" s="7"/>
      <c r="G137" s="7"/>
      <c r="H137" s="7"/>
      <c r="I137" s="7"/>
      <c r="J137" s="6"/>
      <c r="K137" s="7"/>
      <c r="L137" s="7"/>
      <c r="M137" s="7">
        <f t="shared" si="17"/>
        <v>0</v>
      </c>
      <c r="N137" s="7"/>
      <c r="O137" s="7">
        <f t="shared" si="16"/>
        <v>-528.20000000000005</v>
      </c>
      <c r="P137" s="45"/>
    </row>
    <row r="138" spans="2:16" ht="15.75" x14ac:dyDescent="0.25">
      <c r="B138" s="2">
        <f t="shared" si="15"/>
        <v>-58.629999999999995</v>
      </c>
      <c r="C138" s="5" t="s">
        <v>131</v>
      </c>
      <c r="D138" s="7"/>
      <c r="E138" s="7"/>
      <c r="F138" s="7"/>
      <c r="G138" s="7">
        <v>40.5</v>
      </c>
      <c r="H138" s="7"/>
      <c r="I138" s="7"/>
      <c r="J138" s="7"/>
      <c r="K138" s="7">
        <v>57.6</v>
      </c>
      <c r="L138" s="7"/>
      <c r="M138" s="7">
        <f t="shared" si="17"/>
        <v>98.1</v>
      </c>
      <c r="N138" s="7"/>
      <c r="O138" s="7">
        <f t="shared" si="16"/>
        <v>-156.72999999999999</v>
      </c>
      <c r="P138" s="45"/>
    </row>
    <row r="139" spans="2:16" ht="15.75" x14ac:dyDescent="0.25">
      <c r="B139" s="2">
        <f t="shared" si="15"/>
        <v>-70</v>
      </c>
      <c r="C139" s="5" t="s">
        <v>132</v>
      </c>
      <c r="D139" s="7"/>
      <c r="E139" s="7">
        <v>25</v>
      </c>
      <c r="F139" s="7"/>
      <c r="G139" s="7"/>
      <c r="H139" s="7"/>
      <c r="I139" s="7"/>
      <c r="J139" s="7"/>
      <c r="K139" s="7"/>
      <c r="L139" s="7"/>
      <c r="M139" s="7">
        <f t="shared" si="17"/>
        <v>25</v>
      </c>
      <c r="N139" s="7">
        <v>95</v>
      </c>
      <c r="O139" s="7">
        <f t="shared" si="16"/>
        <v>0</v>
      </c>
      <c r="P139" s="45">
        <v>43916</v>
      </c>
    </row>
    <row r="140" spans="2:16" ht="15.75" x14ac:dyDescent="0.25">
      <c r="B140" s="2">
        <f t="shared" si="15"/>
        <v>-151.69999999999999</v>
      </c>
      <c r="C140" s="5" t="s">
        <v>9</v>
      </c>
      <c r="D140" s="6"/>
      <c r="E140" s="7">
        <v>25</v>
      </c>
      <c r="F140" s="7"/>
      <c r="G140" s="7"/>
      <c r="H140" s="7">
        <v>89.6</v>
      </c>
      <c r="I140" s="6"/>
      <c r="J140" s="7"/>
      <c r="K140" s="7"/>
      <c r="L140" s="7"/>
      <c r="M140" s="7">
        <f t="shared" si="17"/>
        <v>114.6</v>
      </c>
      <c r="N140" s="7"/>
      <c r="O140" s="7">
        <f t="shared" si="16"/>
        <v>-266.29999999999995</v>
      </c>
      <c r="P140" s="45"/>
    </row>
    <row r="141" spans="2:16" ht="15.75" x14ac:dyDescent="0.25">
      <c r="B141" s="2">
        <f t="shared" si="15"/>
        <v>-165</v>
      </c>
      <c r="C141" s="5" t="s">
        <v>133</v>
      </c>
      <c r="D141" s="7"/>
      <c r="E141" s="7">
        <v>20</v>
      </c>
      <c r="F141" s="7"/>
      <c r="G141" s="7"/>
      <c r="H141" s="7"/>
      <c r="I141" s="7"/>
      <c r="J141" s="7"/>
      <c r="K141" s="7"/>
      <c r="L141" s="7"/>
      <c r="M141" s="7">
        <f t="shared" si="17"/>
        <v>20</v>
      </c>
      <c r="N141" s="8">
        <v>100</v>
      </c>
      <c r="O141" s="7">
        <f t="shared" si="16"/>
        <v>-85</v>
      </c>
      <c r="P141" s="45">
        <v>43894</v>
      </c>
    </row>
    <row r="142" spans="2:16" ht="15.75" x14ac:dyDescent="0.25">
      <c r="B142" s="2">
        <f t="shared" si="15"/>
        <v>-220.6</v>
      </c>
      <c r="C142" s="5" t="s">
        <v>96</v>
      </c>
      <c r="D142" s="7"/>
      <c r="E142" s="7">
        <v>20</v>
      </c>
      <c r="F142" s="7">
        <v>20</v>
      </c>
      <c r="G142" s="7"/>
      <c r="H142" s="7"/>
      <c r="I142" s="7"/>
      <c r="J142" s="7"/>
      <c r="K142" s="7"/>
      <c r="L142" s="7"/>
      <c r="M142" s="7">
        <f t="shared" si="17"/>
        <v>40</v>
      </c>
      <c r="N142" s="7"/>
      <c r="O142" s="7">
        <f t="shared" si="16"/>
        <v>-260.60000000000002</v>
      </c>
      <c r="P142" s="45"/>
    </row>
    <row r="143" spans="2:16" ht="15.75" x14ac:dyDescent="0.25">
      <c r="B143" s="2">
        <f t="shared" si="15"/>
        <v>-51</v>
      </c>
      <c r="C143" s="5" t="s">
        <v>134</v>
      </c>
      <c r="D143" s="7"/>
      <c r="E143" s="7">
        <v>25</v>
      </c>
      <c r="F143" s="6"/>
      <c r="G143" s="7"/>
      <c r="H143" s="6"/>
      <c r="I143" s="7"/>
      <c r="J143" s="7"/>
      <c r="K143" s="7"/>
      <c r="L143" s="7"/>
      <c r="M143" s="7">
        <f t="shared" si="17"/>
        <v>25</v>
      </c>
      <c r="N143" s="7">
        <v>76</v>
      </c>
      <c r="O143" s="7">
        <f t="shared" si="16"/>
        <v>0</v>
      </c>
      <c r="P143" s="45">
        <v>43908</v>
      </c>
    </row>
    <row r="144" spans="2:16" ht="15.75" x14ac:dyDescent="0.25">
      <c r="B144" s="2">
        <f t="shared" si="15"/>
        <v>26.100000000000009</v>
      </c>
      <c r="C144" s="5" t="s">
        <v>99</v>
      </c>
      <c r="D144" s="7"/>
      <c r="E144" s="7"/>
      <c r="F144" s="6"/>
      <c r="G144" s="7"/>
      <c r="H144" s="6"/>
      <c r="I144" s="7"/>
      <c r="J144" s="6"/>
      <c r="K144" s="6"/>
      <c r="L144" s="7"/>
      <c r="M144" s="7">
        <f t="shared" si="17"/>
        <v>0</v>
      </c>
      <c r="N144" s="7"/>
      <c r="O144" s="7">
        <f t="shared" si="16"/>
        <v>26.100000000000009</v>
      </c>
      <c r="P144" s="45"/>
    </row>
    <row r="145" spans="2:16" ht="15.75" x14ac:dyDescent="0.25">
      <c r="B145" s="2">
        <f t="shared" si="15"/>
        <v>-384.59</v>
      </c>
      <c r="C145" s="5" t="s">
        <v>53</v>
      </c>
      <c r="D145" s="7"/>
      <c r="E145" s="7"/>
      <c r="F145" s="7"/>
      <c r="G145" s="7"/>
      <c r="H145" s="7">
        <v>11.7</v>
      </c>
      <c r="I145" s="7"/>
      <c r="J145" s="7"/>
      <c r="K145" s="7"/>
      <c r="L145" s="7"/>
      <c r="M145" s="7">
        <f t="shared" si="17"/>
        <v>11.7</v>
      </c>
      <c r="N145" s="7"/>
      <c r="O145" s="7">
        <f t="shared" si="16"/>
        <v>-396.28999999999996</v>
      </c>
      <c r="P145" s="45"/>
    </row>
    <row r="146" spans="2:16" ht="15.75" x14ac:dyDescent="0.25">
      <c r="B146" s="2">
        <f t="shared" si="15"/>
        <v>-90.9</v>
      </c>
      <c r="C146" s="5" t="s">
        <v>33</v>
      </c>
      <c r="D146" s="7"/>
      <c r="E146" s="7">
        <f>25+17.1+33.3</f>
        <v>75.400000000000006</v>
      </c>
      <c r="F146" s="7">
        <f>33.3+19.8</f>
        <v>53.099999999999994</v>
      </c>
      <c r="G146" s="7"/>
      <c r="H146" s="7">
        <v>52</v>
      </c>
      <c r="I146" s="7">
        <v>810.8</v>
      </c>
      <c r="J146" s="7">
        <v>100</v>
      </c>
      <c r="K146" s="7"/>
      <c r="L146" s="7"/>
      <c r="M146" s="7">
        <f t="shared" si="17"/>
        <v>1091.3</v>
      </c>
      <c r="N146" s="7">
        <f>128.5+800+52+110.8</f>
        <v>1091.3</v>
      </c>
      <c r="O146" s="7">
        <f t="shared" si="16"/>
        <v>-90.899999999999977</v>
      </c>
      <c r="P146" s="45" t="s">
        <v>499</v>
      </c>
    </row>
    <row r="147" spans="2:16" ht="15.75" x14ac:dyDescent="0.25">
      <c r="B147" s="2">
        <f t="shared" si="15"/>
        <v>-36</v>
      </c>
      <c r="C147" s="5" t="s">
        <v>480</v>
      </c>
      <c r="D147" s="7"/>
      <c r="E147" s="7"/>
      <c r="F147" s="7"/>
      <c r="G147" s="7"/>
      <c r="H147" s="7"/>
      <c r="I147" s="7"/>
      <c r="J147" s="7"/>
      <c r="K147" s="7"/>
      <c r="L147" s="7"/>
      <c r="M147" s="7">
        <f t="shared" si="17"/>
        <v>0</v>
      </c>
      <c r="N147" s="7"/>
      <c r="O147" s="7">
        <f t="shared" si="16"/>
        <v>-36</v>
      </c>
      <c r="P147" s="45"/>
    </row>
    <row r="148" spans="2:16" ht="15.75" x14ac:dyDescent="0.25">
      <c r="B148" s="2">
        <f t="shared" si="15"/>
        <v>0.20000000000000284</v>
      </c>
      <c r="C148" s="5" t="s">
        <v>23</v>
      </c>
      <c r="D148" s="7"/>
      <c r="E148" s="7"/>
      <c r="F148" s="7"/>
      <c r="G148" s="7">
        <v>72.900000000000006</v>
      </c>
      <c r="H148" s="7"/>
      <c r="I148" s="7">
        <v>26</v>
      </c>
      <c r="J148" s="7"/>
      <c r="K148" s="7"/>
      <c r="L148" s="7"/>
      <c r="M148" s="7">
        <f t="shared" si="17"/>
        <v>98.9</v>
      </c>
      <c r="N148" s="7">
        <v>98.9</v>
      </c>
      <c r="O148" s="7">
        <f t="shared" si="16"/>
        <v>0.20000000000000284</v>
      </c>
      <c r="P148" s="45">
        <v>43917</v>
      </c>
    </row>
    <row r="149" spans="2:16" ht="15.75" x14ac:dyDescent="0.25">
      <c r="B149" s="2">
        <f t="shared" si="15"/>
        <v>-25.2</v>
      </c>
      <c r="C149" s="5" t="s">
        <v>24</v>
      </c>
      <c r="D149" s="7"/>
      <c r="E149" s="7"/>
      <c r="F149" s="7"/>
      <c r="G149" s="7"/>
      <c r="H149" s="7"/>
      <c r="I149" s="7"/>
      <c r="J149" s="7"/>
      <c r="K149" s="7">
        <v>26</v>
      </c>
      <c r="L149" s="7"/>
      <c r="M149" s="7">
        <f t="shared" si="17"/>
        <v>26</v>
      </c>
      <c r="N149" s="7"/>
      <c r="O149" s="7">
        <f t="shared" si="16"/>
        <v>-51.2</v>
      </c>
      <c r="P149" s="45"/>
    </row>
    <row r="150" spans="2:16" ht="15.75" x14ac:dyDescent="0.25">
      <c r="B150" s="2">
        <f t="shared" si="15"/>
        <v>0</v>
      </c>
      <c r="C150" s="5"/>
      <c r="D150" s="7"/>
      <c r="E150" s="7"/>
      <c r="F150" s="7"/>
      <c r="G150" s="7"/>
      <c r="H150" s="7"/>
      <c r="I150" s="7"/>
      <c r="J150" s="7"/>
      <c r="K150" s="7"/>
      <c r="L150" s="7"/>
      <c r="M150" s="7">
        <f>SUM(D150:L150)</f>
        <v>0</v>
      </c>
      <c r="N150" s="7"/>
      <c r="O150" s="7">
        <f t="shared" si="16"/>
        <v>0</v>
      </c>
      <c r="P150" s="45"/>
    </row>
    <row r="151" spans="2:16" ht="15.75" x14ac:dyDescent="0.25">
      <c r="B151" s="2">
        <f t="shared" si="15"/>
        <v>0</v>
      </c>
      <c r="C151" s="5" t="s">
        <v>25</v>
      </c>
      <c r="D151" s="7"/>
      <c r="E151" s="7"/>
      <c r="F151" s="7"/>
      <c r="G151" s="7"/>
      <c r="H151" s="7"/>
      <c r="I151" s="7"/>
      <c r="J151" s="7"/>
      <c r="K151" s="7"/>
      <c r="L151" s="7"/>
      <c r="M151" s="7">
        <f>SUM(D151:L151)</f>
        <v>0</v>
      </c>
      <c r="N151" s="7"/>
      <c r="O151" s="7">
        <f t="shared" si="16"/>
        <v>0</v>
      </c>
      <c r="P151" s="45"/>
    </row>
    <row r="152" spans="2:16" ht="15.75" x14ac:dyDescent="0.25">
      <c r="B152" s="2">
        <f t="shared" si="15"/>
        <v>-57.599999999999987</v>
      </c>
      <c r="C152" s="5" t="s">
        <v>27</v>
      </c>
      <c r="D152" s="7"/>
      <c r="E152" s="7"/>
      <c r="F152" s="7"/>
      <c r="G152" s="7"/>
      <c r="H152" s="7"/>
      <c r="I152" s="7"/>
      <c r="J152" s="7"/>
      <c r="K152" s="7">
        <v>28.8</v>
      </c>
      <c r="L152" s="7"/>
      <c r="M152" s="7">
        <f>SUM(D152:L152)</f>
        <v>28.8</v>
      </c>
      <c r="N152" s="7">
        <v>57.6</v>
      </c>
      <c r="O152" s="7">
        <f t="shared" si="16"/>
        <v>-28.799999999999986</v>
      </c>
      <c r="P152" s="45">
        <v>43915</v>
      </c>
    </row>
    <row r="153" spans="2:16" ht="15.75" x14ac:dyDescent="0.25">
      <c r="B153" s="2">
        <f t="shared" si="15"/>
        <v>-74.5</v>
      </c>
      <c r="C153" s="5" t="s">
        <v>29</v>
      </c>
      <c r="D153" s="7"/>
      <c r="E153" s="7"/>
      <c r="F153" s="7"/>
      <c r="G153" s="7"/>
      <c r="H153" s="7"/>
      <c r="I153" s="7"/>
      <c r="J153" s="7"/>
      <c r="K153" s="7"/>
      <c r="L153" s="7"/>
      <c r="M153" s="7">
        <f t="shared" ref="M153:M154" si="18">SUM(D153:L153)</f>
        <v>0</v>
      </c>
      <c r="N153" s="7">
        <v>74.56</v>
      </c>
      <c r="O153" s="7">
        <f t="shared" si="16"/>
        <v>6.0000000000002274E-2</v>
      </c>
      <c r="P153" s="45">
        <v>43916</v>
      </c>
    </row>
    <row r="154" spans="2:16" ht="15.75" x14ac:dyDescent="0.25">
      <c r="B154" s="2">
        <f t="shared" si="15"/>
        <v>-64.200000000000045</v>
      </c>
      <c r="C154" s="5" t="s">
        <v>30</v>
      </c>
      <c r="D154" s="7"/>
      <c r="E154" s="7"/>
      <c r="F154" s="7"/>
      <c r="G154" s="7"/>
      <c r="H154" s="7"/>
      <c r="I154" s="7"/>
      <c r="J154" s="7"/>
      <c r="K154" s="7"/>
      <c r="L154" s="7"/>
      <c r="M154" s="7">
        <f t="shared" si="18"/>
        <v>0</v>
      </c>
      <c r="N154" s="7"/>
      <c r="O154" s="7">
        <f t="shared" si="16"/>
        <v>-64.200000000000045</v>
      </c>
      <c r="P154" s="45"/>
    </row>
    <row r="155" spans="2:16" ht="15.75" x14ac:dyDescent="0.25">
      <c r="B155" s="2">
        <f t="shared" si="15"/>
        <v>0</v>
      </c>
      <c r="C155" s="5" t="s">
        <v>356</v>
      </c>
      <c r="D155" s="7"/>
      <c r="E155" s="7"/>
      <c r="F155" s="7"/>
      <c r="G155" s="7"/>
      <c r="H155" s="7"/>
      <c r="I155" s="7"/>
      <c r="J155" s="7"/>
      <c r="K155" s="7"/>
      <c r="L155" s="7"/>
      <c r="M155" s="7">
        <f>SUM(D155:L155)</f>
        <v>0</v>
      </c>
      <c r="N155" s="7"/>
      <c r="O155" s="7">
        <f t="shared" si="16"/>
        <v>0</v>
      </c>
      <c r="P155" s="45"/>
    </row>
    <row r="156" spans="2:16" ht="15.75" x14ac:dyDescent="0.25">
      <c r="B156" s="2">
        <f t="shared" si="15"/>
        <v>-109</v>
      </c>
      <c r="C156" s="5" t="s">
        <v>101</v>
      </c>
      <c r="D156" s="7"/>
      <c r="E156" s="7">
        <f>25+163.8</f>
        <v>188.8</v>
      </c>
      <c r="F156" s="7"/>
      <c r="G156" s="7"/>
      <c r="H156" s="7"/>
      <c r="I156" s="7">
        <v>33.299999999999997</v>
      </c>
      <c r="J156" s="7"/>
      <c r="K156" s="7"/>
      <c r="L156" s="7"/>
      <c r="M156" s="7">
        <f t="shared" ref="M156:M169" si="19">SUM(D156:L156)</f>
        <v>222.10000000000002</v>
      </c>
      <c r="N156" s="7">
        <f>50+50+52+25+163.8</f>
        <v>340.8</v>
      </c>
      <c r="O156" s="7">
        <f t="shared" si="16"/>
        <v>9.6999999999999886</v>
      </c>
      <c r="P156" s="45" t="s">
        <v>505</v>
      </c>
    </row>
    <row r="157" spans="2:16" ht="15.75" x14ac:dyDescent="0.25">
      <c r="B157" s="2">
        <f t="shared" si="15"/>
        <v>-52.8</v>
      </c>
      <c r="C157" s="5" t="s">
        <v>41</v>
      </c>
      <c r="D157" s="6"/>
      <c r="E157" s="7"/>
      <c r="F157" s="7"/>
      <c r="G157" s="7"/>
      <c r="H157" s="7"/>
      <c r="I157" s="7"/>
      <c r="J157" s="7"/>
      <c r="K157" s="7"/>
      <c r="L157" s="7"/>
      <c r="M157" s="7">
        <f t="shared" si="19"/>
        <v>0</v>
      </c>
      <c r="N157" s="7"/>
      <c r="O157" s="7">
        <f t="shared" si="16"/>
        <v>-52.8</v>
      </c>
      <c r="P157" s="45"/>
    </row>
    <row r="158" spans="2:16" ht="15.75" x14ac:dyDescent="0.25">
      <c r="B158" s="2">
        <f t="shared" si="15"/>
        <v>-45</v>
      </c>
      <c r="C158" s="5" t="s">
        <v>102</v>
      </c>
      <c r="D158" s="7"/>
      <c r="E158" s="7">
        <v>30</v>
      </c>
      <c r="F158" s="7"/>
      <c r="G158" s="7"/>
      <c r="H158" s="7"/>
      <c r="I158" s="7"/>
      <c r="J158" s="7"/>
      <c r="K158" s="7"/>
      <c r="L158" s="7"/>
      <c r="M158" s="7">
        <f t="shared" si="19"/>
        <v>30</v>
      </c>
      <c r="N158" s="7">
        <v>55</v>
      </c>
      <c r="O158" s="7">
        <f t="shared" si="16"/>
        <v>-20</v>
      </c>
      <c r="P158" s="45">
        <v>43909</v>
      </c>
    </row>
    <row r="159" spans="2:16" ht="15.75" x14ac:dyDescent="0.25">
      <c r="B159" s="2">
        <f t="shared" si="15"/>
        <v>-81.7</v>
      </c>
      <c r="C159" s="5" t="s">
        <v>45</v>
      </c>
      <c r="D159" s="7"/>
      <c r="E159" s="7">
        <v>25</v>
      </c>
      <c r="F159" s="7"/>
      <c r="G159" s="7"/>
      <c r="H159" s="7"/>
      <c r="I159" s="7">
        <v>10.8</v>
      </c>
      <c r="J159" s="7"/>
      <c r="K159" s="7"/>
      <c r="L159" s="7"/>
      <c r="M159" s="7">
        <f t="shared" si="19"/>
        <v>35.799999999999997</v>
      </c>
      <c r="N159" s="7">
        <v>25</v>
      </c>
      <c r="O159" s="7">
        <f t="shared" si="16"/>
        <v>-92.5</v>
      </c>
      <c r="P159" s="45">
        <v>43902</v>
      </c>
    </row>
    <row r="160" spans="2:16" ht="15.75" x14ac:dyDescent="0.25">
      <c r="B160" s="2">
        <f t="shared" si="15"/>
        <v>-21.900000000000002</v>
      </c>
      <c r="C160" s="5" t="s">
        <v>46</v>
      </c>
      <c r="D160" s="7"/>
      <c r="E160" s="7">
        <v>30</v>
      </c>
      <c r="F160" s="10"/>
      <c r="G160" s="7"/>
      <c r="H160" s="7"/>
      <c r="I160" s="7"/>
      <c r="J160" s="7"/>
      <c r="K160" s="7"/>
      <c r="L160" s="7"/>
      <c r="M160" s="7">
        <f t="shared" si="19"/>
        <v>30</v>
      </c>
      <c r="N160" s="7"/>
      <c r="O160" s="7">
        <f t="shared" si="16"/>
        <v>-51.900000000000006</v>
      </c>
      <c r="P160" s="45"/>
    </row>
    <row r="161" spans="2:16" ht="15.75" x14ac:dyDescent="0.25">
      <c r="B161" s="2">
        <f t="shared" si="15"/>
        <v>-1.6000000000000014</v>
      </c>
      <c r="C161" s="5" t="s">
        <v>79</v>
      </c>
      <c r="D161" s="7"/>
      <c r="E161" s="7"/>
      <c r="F161" s="10"/>
      <c r="G161" s="7"/>
      <c r="H161" s="7"/>
      <c r="I161" s="7"/>
      <c r="J161" s="7"/>
      <c r="K161" s="7"/>
      <c r="L161" s="7"/>
      <c r="M161" s="7">
        <f t="shared" si="19"/>
        <v>0</v>
      </c>
      <c r="N161" s="7">
        <v>26.6</v>
      </c>
      <c r="O161" s="7">
        <f t="shared" si="16"/>
        <v>25</v>
      </c>
      <c r="P161" s="45">
        <v>43906</v>
      </c>
    </row>
    <row r="162" spans="2:16" ht="15.75" x14ac:dyDescent="0.25">
      <c r="B162" s="2">
        <f t="shared" si="15"/>
        <v>-25</v>
      </c>
      <c r="C162" s="5" t="s">
        <v>261</v>
      </c>
      <c r="D162" s="7"/>
      <c r="E162" s="6"/>
      <c r="F162" s="10"/>
      <c r="G162" s="7"/>
      <c r="H162" s="7"/>
      <c r="I162" s="7"/>
      <c r="J162" s="7"/>
      <c r="K162" s="7"/>
      <c r="L162" s="7"/>
      <c r="M162" s="7">
        <f t="shared" si="19"/>
        <v>0</v>
      </c>
      <c r="N162" s="7">
        <v>26</v>
      </c>
      <c r="O162" s="7">
        <f t="shared" si="16"/>
        <v>1</v>
      </c>
      <c r="P162" s="45">
        <v>43906</v>
      </c>
    </row>
    <row r="163" spans="2:16" ht="15.75" x14ac:dyDescent="0.25">
      <c r="B163" s="2">
        <f t="shared" si="15"/>
        <v>-456.99999999999955</v>
      </c>
      <c r="C163" s="5" t="s">
        <v>103</v>
      </c>
      <c r="D163" s="6">
        <v>86.4</v>
      </c>
      <c r="E163" s="7">
        <v>25</v>
      </c>
      <c r="F163" s="7"/>
      <c r="G163" s="7"/>
      <c r="H163" s="7"/>
      <c r="I163" s="7"/>
      <c r="J163" s="7">
        <v>97.2</v>
      </c>
      <c r="K163" s="7"/>
      <c r="L163" s="7"/>
      <c r="M163" s="7">
        <f t="shared" si="19"/>
        <v>208.60000000000002</v>
      </c>
      <c r="N163" s="7">
        <v>50</v>
      </c>
      <c r="O163" s="7">
        <f t="shared" si="16"/>
        <v>-615.59999999999957</v>
      </c>
      <c r="P163" s="45">
        <v>43895</v>
      </c>
    </row>
    <row r="164" spans="2:16" ht="15.75" x14ac:dyDescent="0.25">
      <c r="B164" s="2">
        <f t="shared" si="15"/>
        <v>0</v>
      </c>
      <c r="C164" s="5" t="s">
        <v>211</v>
      </c>
      <c r="D164" s="6"/>
      <c r="E164" s="18"/>
      <c r="F164" s="6"/>
      <c r="G164" s="7"/>
      <c r="H164" s="7"/>
      <c r="I164" s="7"/>
      <c r="J164" s="7"/>
      <c r="K164" s="7"/>
      <c r="L164" s="7"/>
      <c r="M164" s="7">
        <f t="shared" si="19"/>
        <v>0</v>
      </c>
      <c r="N164" s="7"/>
      <c r="O164" s="7">
        <f t="shared" si="16"/>
        <v>0</v>
      </c>
      <c r="P164" s="45"/>
    </row>
    <row r="165" spans="2:16" ht="15.75" x14ac:dyDescent="0.25">
      <c r="B165" s="2">
        <f t="shared" si="15"/>
        <v>-25</v>
      </c>
      <c r="C165" s="5" t="s">
        <v>139</v>
      </c>
      <c r="D165" s="7">
        <v>25</v>
      </c>
      <c r="E165" s="7">
        <f>25+20</f>
        <v>45</v>
      </c>
      <c r="F165" s="6"/>
      <c r="G165" s="7"/>
      <c r="H165" s="7"/>
      <c r="I165" s="7">
        <v>26</v>
      </c>
      <c r="J165" s="7"/>
      <c r="K165" s="7"/>
      <c r="L165" s="7"/>
      <c r="M165" s="7">
        <f t="shared" si="19"/>
        <v>96</v>
      </c>
      <c r="N165" s="7">
        <v>95</v>
      </c>
      <c r="O165" s="7">
        <f t="shared" si="16"/>
        <v>-26</v>
      </c>
      <c r="P165" s="45">
        <v>43903</v>
      </c>
    </row>
    <row r="166" spans="2:16" ht="15.75" x14ac:dyDescent="0.25">
      <c r="B166" s="2">
        <f t="shared" si="15"/>
        <v>-65</v>
      </c>
      <c r="C166" s="5" t="s">
        <v>31</v>
      </c>
      <c r="D166" s="7"/>
      <c r="E166" s="7">
        <v>45</v>
      </c>
      <c r="F166" s="7"/>
      <c r="G166" s="7"/>
      <c r="H166" s="7"/>
      <c r="I166" s="7"/>
      <c r="J166" s="15">
        <f>25+435.6</f>
        <v>460.6</v>
      </c>
      <c r="K166" s="7">
        <v>26</v>
      </c>
      <c r="L166" s="7"/>
      <c r="M166" s="7">
        <f t="shared" si="19"/>
        <v>531.6</v>
      </c>
      <c r="N166" s="7">
        <f>70+45+460.6</f>
        <v>575.6</v>
      </c>
      <c r="O166" s="7">
        <f t="shared" si="16"/>
        <v>-21</v>
      </c>
      <c r="P166" s="45" t="s">
        <v>504</v>
      </c>
    </row>
    <row r="167" spans="2:16" ht="15.75" x14ac:dyDescent="0.25">
      <c r="B167" s="2">
        <f t="shared" si="15"/>
        <v>0</v>
      </c>
      <c r="C167" s="5" t="s">
        <v>37</v>
      </c>
      <c r="D167" s="7"/>
      <c r="E167" s="7"/>
      <c r="F167" s="7"/>
      <c r="G167" s="7"/>
      <c r="H167" s="7"/>
      <c r="I167" s="7"/>
      <c r="J167" s="7"/>
      <c r="K167" s="7"/>
      <c r="L167" s="7"/>
      <c r="M167" s="7">
        <f t="shared" si="19"/>
        <v>0</v>
      </c>
      <c r="N167" s="7"/>
      <c r="O167" s="7">
        <f t="shared" si="16"/>
        <v>0</v>
      </c>
      <c r="P167" s="45"/>
    </row>
    <row r="168" spans="2:16" ht="15.75" x14ac:dyDescent="0.25">
      <c r="B168" s="2">
        <f t="shared" si="15"/>
        <v>-25</v>
      </c>
      <c r="C168" s="5" t="s">
        <v>105</v>
      </c>
      <c r="D168" s="7"/>
      <c r="E168" s="7">
        <v>25</v>
      </c>
      <c r="F168" s="7"/>
      <c r="G168" s="7"/>
      <c r="H168" s="7"/>
      <c r="I168" s="7"/>
      <c r="J168" s="7"/>
      <c r="K168" s="7"/>
      <c r="L168" s="7"/>
      <c r="M168" s="7">
        <f t="shared" si="19"/>
        <v>25</v>
      </c>
      <c r="N168" s="7">
        <v>50</v>
      </c>
      <c r="O168" s="7">
        <f t="shared" si="16"/>
        <v>0</v>
      </c>
      <c r="P168" s="45">
        <v>43915</v>
      </c>
    </row>
    <row r="169" spans="2:16" ht="15.75" x14ac:dyDescent="0.25">
      <c r="B169" s="2">
        <f t="shared" si="15"/>
        <v>-21.2</v>
      </c>
      <c r="C169" s="5" t="s">
        <v>19</v>
      </c>
      <c r="D169" s="7"/>
      <c r="E169" s="7"/>
      <c r="F169" s="7">
        <v>21.6</v>
      </c>
      <c r="G169" s="7">
        <v>72</v>
      </c>
      <c r="H169" s="7"/>
      <c r="I169" s="7"/>
      <c r="J169" s="7"/>
      <c r="K169" s="7"/>
      <c r="L169" s="7"/>
      <c r="M169" s="7">
        <f t="shared" si="19"/>
        <v>93.6</v>
      </c>
      <c r="N169" s="7">
        <f>21.2+21.6+72</f>
        <v>114.8</v>
      </c>
      <c r="O169" s="7">
        <f t="shared" si="16"/>
        <v>0</v>
      </c>
      <c r="P169" s="45" t="s">
        <v>500</v>
      </c>
    </row>
    <row r="170" spans="2:16" ht="15.75" x14ac:dyDescent="0.25">
      <c r="B170" s="2">
        <f t="shared" si="15"/>
        <v>7</v>
      </c>
      <c r="C170" s="5" t="s">
        <v>136</v>
      </c>
      <c r="D170" s="7"/>
      <c r="E170" s="7"/>
      <c r="F170" s="7"/>
      <c r="G170" s="7"/>
      <c r="H170" s="7"/>
      <c r="I170" s="7"/>
      <c r="J170" s="7"/>
      <c r="K170" s="7"/>
      <c r="L170" s="7"/>
      <c r="M170" s="7">
        <f>SUM(D170:L170)</f>
        <v>0</v>
      </c>
      <c r="N170" s="7"/>
      <c r="O170" s="8">
        <f t="shared" si="16"/>
        <v>7</v>
      </c>
      <c r="P170" s="45"/>
    </row>
    <row r="171" spans="2:16" ht="15.75" x14ac:dyDescent="0.25">
      <c r="B171" s="2">
        <f t="shared" si="15"/>
        <v>-50</v>
      </c>
      <c r="C171" s="5" t="s">
        <v>111</v>
      </c>
      <c r="D171" s="6"/>
      <c r="E171" s="7"/>
      <c r="F171" s="7"/>
      <c r="G171" s="7"/>
      <c r="H171" s="7"/>
      <c r="I171" s="7"/>
      <c r="J171" s="7"/>
      <c r="K171" s="7"/>
      <c r="L171" s="7"/>
      <c r="M171" s="7">
        <f t="shared" ref="M171:M174" si="20">SUM(D171:L171)</f>
        <v>0</v>
      </c>
      <c r="N171" s="7"/>
      <c r="O171" s="7">
        <f t="shared" si="16"/>
        <v>-50</v>
      </c>
      <c r="P171" s="45"/>
    </row>
    <row r="172" spans="2:16" ht="15.75" x14ac:dyDescent="0.25">
      <c r="B172" s="2">
        <f t="shared" si="15"/>
        <v>-51</v>
      </c>
      <c r="C172" s="5" t="s">
        <v>428</v>
      </c>
      <c r="D172" s="6"/>
      <c r="E172" s="7"/>
      <c r="F172" s="7"/>
      <c r="G172" s="7"/>
      <c r="H172" s="7"/>
      <c r="I172" s="7"/>
      <c r="J172" s="7">
        <v>26</v>
      </c>
      <c r="K172" s="7"/>
      <c r="L172" s="7"/>
      <c r="M172" s="7">
        <f t="shared" si="20"/>
        <v>26</v>
      </c>
      <c r="N172" s="7"/>
      <c r="O172" s="7">
        <f t="shared" si="16"/>
        <v>-77</v>
      </c>
      <c r="P172" s="45"/>
    </row>
    <row r="173" spans="2:16" ht="15.75" x14ac:dyDescent="0.25">
      <c r="B173" s="2">
        <f t="shared" si="15"/>
        <v>0</v>
      </c>
      <c r="C173" s="5" t="s">
        <v>115</v>
      </c>
      <c r="D173" s="6"/>
      <c r="E173" s="7"/>
      <c r="F173" s="7"/>
      <c r="G173" s="7"/>
      <c r="H173" s="7"/>
      <c r="I173" s="7"/>
      <c r="J173" s="7"/>
      <c r="K173" s="7"/>
      <c r="L173" s="7"/>
      <c r="M173" s="7">
        <f t="shared" si="20"/>
        <v>0</v>
      </c>
      <c r="N173" s="7"/>
      <c r="O173" s="7">
        <f t="shared" si="16"/>
        <v>0</v>
      </c>
      <c r="P173" s="45"/>
    </row>
    <row r="174" spans="2:16" ht="15.75" x14ac:dyDescent="0.25">
      <c r="B174" s="2">
        <f t="shared" si="15"/>
        <v>0</v>
      </c>
      <c r="C174" s="5" t="s">
        <v>252</v>
      </c>
      <c r="D174" s="7"/>
      <c r="E174" s="7">
        <v>13.5</v>
      </c>
      <c r="F174" s="7"/>
      <c r="G174" s="7"/>
      <c r="H174" s="7"/>
      <c r="I174" s="7">
        <v>26</v>
      </c>
      <c r="J174" s="7"/>
      <c r="K174" s="7"/>
      <c r="L174" s="7"/>
      <c r="M174" s="7">
        <f t="shared" si="20"/>
        <v>39.5</v>
      </c>
      <c r="N174" s="7">
        <f>13.5+26</f>
        <v>39.5</v>
      </c>
      <c r="O174" s="7">
        <f t="shared" si="16"/>
        <v>0</v>
      </c>
      <c r="P174" s="45" t="s">
        <v>501</v>
      </c>
    </row>
    <row r="175" spans="2:16" ht="15.75" x14ac:dyDescent="0.25">
      <c r="B175" s="2">
        <f t="shared" si="15"/>
        <v>64</v>
      </c>
      <c r="C175" s="5" t="s">
        <v>117</v>
      </c>
      <c r="D175" s="7"/>
      <c r="E175" s="7"/>
      <c r="F175" s="7"/>
      <c r="G175" s="7"/>
      <c r="H175" s="7"/>
      <c r="I175" s="7"/>
      <c r="J175" s="7"/>
      <c r="K175" s="7"/>
      <c r="L175" s="7"/>
      <c r="M175" s="7">
        <f>SUM(D175:L175)</f>
        <v>0</v>
      </c>
      <c r="N175" s="7"/>
      <c r="O175" s="7">
        <f t="shared" si="16"/>
        <v>64</v>
      </c>
      <c r="P175" s="45"/>
    </row>
    <row r="176" spans="2:16" ht="15.75" x14ac:dyDescent="0.25">
      <c r="B176" s="2">
        <f t="shared" si="15"/>
        <v>-39.6</v>
      </c>
      <c r="C176" s="5" t="s">
        <v>118</v>
      </c>
      <c r="D176" s="7"/>
      <c r="E176" s="7"/>
      <c r="F176" s="7"/>
      <c r="G176" s="7">
        <v>46.8</v>
      </c>
      <c r="H176" s="7"/>
      <c r="I176" s="7">
        <v>91.8</v>
      </c>
      <c r="J176" s="7"/>
      <c r="K176" s="7"/>
      <c r="L176" s="7"/>
      <c r="M176" s="7">
        <f t="shared" ref="M176:M181" si="21">SUM(D176:L176)</f>
        <v>138.6</v>
      </c>
      <c r="N176" s="7">
        <f>39.6+138.6</f>
        <v>178.2</v>
      </c>
      <c r="O176" s="7">
        <f t="shared" si="16"/>
        <v>0</v>
      </c>
      <c r="P176" s="45" t="s">
        <v>502</v>
      </c>
    </row>
    <row r="177" spans="2:16" ht="15.75" x14ac:dyDescent="0.25">
      <c r="B177" s="2">
        <f t="shared" si="15"/>
        <v>0</v>
      </c>
      <c r="C177" s="5" t="s">
        <v>233</v>
      </c>
      <c r="D177" s="7"/>
      <c r="E177" s="7"/>
      <c r="F177" s="7"/>
      <c r="G177" s="7"/>
      <c r="H177" s="7"/>
      <c r="I177" s="7"/>
      <c r="J177" s="7"/>
      <c r="K177" s="7"/>
      <c r="L177" s="7"/>
      <c r="M177" s="7">
        <f t="shared" si="21"/>
        <v>0</v>
      </c>
      <c r="N177" s="7"/>
      <c r="O177" s="7">
        <f t="shared" si="16"/>
        <v>0</v>
      </c>
      <c r="P177" s="45"/>
    </row>
    <row r="178" spans="2:16" ht="15.75" x14ac:dyDescent="0.25">
      <c r="B178" s="2">
        <v>0</v>
      </c>
      <c r="C178" s="5" t="s">
        <v>13</v>
      </c>
      <c r="D178" s="7"/>
      <c r="E178" s="7"/>
      <c r="F178" s="7"/>
      <c r="G178" s="7"/>
      <c r="H178" s="7"/>
      <c r="I178" s="7"/>
      <c r="J178" s="7"/>
      <c r="K178" s="7">
        <v>64.8</v>
      </c>
      <c r="L178" s="7"/>
      <c r="M178" s="7">
        <f t="shared" si="21"/>
        <v>64.8</v>
      </c>
      <c r="N178" s="7"/>
      <c r="O178" s="7">
        <f t="shared" si="16"/>
        <v>-64.8</v>
      </c>
      <c r="P178" s="45"/>
    </row>
    <row r="179" spans="2:16" ht="15.75" x14ac:dyDescent="0.25">
      <c r="B179" s="2">
        <v>0</v>
      </c>
      <c r="C179" s="5" t="s">
        <v>22</v>
      </c>
      <c r="D179" s="7">
        <v>170.1</v>
      </c>
      <c r="E179" s="7"/>
      <c r="F179" s="7"/>
      <c r="G179" s="7"/>
      <c r="H179" s="7"/>
      <c r="I179" s="7"/>
      <c r="J179" s="7"/>
      <c r="K179" s="7"/>
      <c r="L179" s="7"/>
      <c r="M179" s="7">
        <f t="shared" si="21"/>
        <v>170.1</v>
      </c>
      <c r="N179" s="7">
        <v>170.1</v>
      </c>
      <c r="O179" s="7">
        <f t="shared" si="16"/>
        <v>0</v>
      </c>
      <c r="P179" s="45">
        <v>43902</v>
      </c>
    </row>
    <row r="180" spans="2:16" ht="15.75" x14ac:dyDescent="0.25">
      <c r="B180" s="2">
        <f>O119</f>
        <v>0</v>
      </c>
      <c r="C180" s="5" t="s">
        <v>135</v>
      </c>
      <c r="D180" s="7"/>
      <c r="E180" s="7"/>
      <c r="F180" s="7"/>
      <c r="G180" s="7"/>
      <c r="H180" s="7"/>
      <c r="I180" s="7"/>
      <c r="J180" s="7"/>
      <c r="K180" s="7"/>
      <c r="L180" s="7"/>
      <c r="M180" s="7">
        <f t="shared" si="21"/>
        <v>0</v>
      </c>
      <c r="N180" s="7"/>
      <c r="O180" s="7">
        <f>N180+B180-M180</f>
        <v>0</v>
      </c>
      <c r="P180" s="45"/>
    </row>
    <row r="181" spans="2:16" ht="15.75" x14ac:dyDescent="0.25">
      <c r="B181" s="2">
        <f>O120</f>
        <v>-20</v>
      </c>
      <c r="C181" s="5" t="s">
        <v>21</v>
      </c>
      <c r="D181" s="7"/>
      <c r="E181" s="7"/>
      <c r="F181" s="7"/>
      <c r="G181" s="7"/>
      <c r="H181" s="7"/>
      <c r="I181" s="7"/>
      <c r="J181" s="7"/>
      <c r="K181" s="7"/>
      <c r="L181" s="7"/>
      <c r="M181" s="7">
        <f t="shared" si="21"/>
        <v>0</v>
      </c>
      <c r="N181" s="7">
        <v>20</v>
      </c>
      <c r="O181" s="7">
        <f>N181+B181-M181</f>
        <v>0</v>
      </c>
      <c r="P181" s="45">
        <v>43892</v>
      </c>
    </row>
    <row r="182" spans="2:16" ht="15.75" x14ac:dyDescent="0.25">
      <c r="B182" s="2">
        <f>O121</f>
        <v>-3704.9199999999992</v>
      </c>
      <c r="C182" s="6" t="s">
        <v>104</v>
      </c>
      <c r="D182" s="7">
        <f t="shared" ref="D182:I182" si="22">SUM(D128:D180)</f>
        <v>281.5</v>
      </c>
      <c r="E182" s="7">
        <f t="shared" si="22"/>
        <v>737.7</v>
      </c>
      <c r="F182" s="7">
        <f t="shared" si="22"/>
        <v>119.69999999999999</v>
      </c>
      <c r="G182" s="7">
        <f t="shared" si="22"/>
        <v>257.2</v>
      </c>
      <c r="H182" s="7">
        <f t="shared" si="22"/>
        <v>153.30000000000001</v>
      </c>
      <c r="I182" s="7">
        <f t="shared" si="22"/>
        <v>1024.6999999999998</v>
      </c>
      <c r="J182" s="7">
        <f>SUM(J128:J181)</f>
        <v>683.8</v>
      </c>
      <c r="K182" s="7">
        <f t="shared" ref="K182:L182" si="23">SUM(K128:K180)</f>
        <v>203.2</v>
      </c>
      <c r="L182" s="7">
        <f t="shared" si="23"/>
        <v>0</v>
      </c>
      <c r="M182" s="7">
        <f>SUM(M128:M181)</f>
        <v>3461.1</v>
      </c>
      <c r="N182" s="15">
        <f>SUM(N128:N181)</f>
        <v>3693.7599999999998</v>
      </c>
      <c r="O182" s="7">
        <f>SUM(O128:O181)</f>
        <v>-3472.2600000000007</v>
      </c>
      <c r="P182" s="43"/>
    </row>
    <row r="186" spans="2:16" ht="15.75" x14ac:dyDescent="0.25">
      <c r="B186" s="57" t="s">
        <v>497</v>
      </c>
      <c r="C186" s="65"/>
      <c r="D186" s="27">
        <v>25</v>
      </c>
      <c r="E186" s="27">
        <v>26</v>
      </c>
      <c r="F186" s="27">
        <v>27</v>
      </c>
      <c r="G186" s="27">
        <v>28</v>
      </c>
      <c r="H186" s="27">
        <v>29</v>
      </c>
      <c r="I186" s="27">
        <v>30</v>
      </c>
      <c r="J186" s="27">
        <v>31</v>
      </c>
      <c r="K186" s="27">
        <v>32</v>
      </c>
      <c r="L186" s="27">
        <v>33</v>
      </c>
      <c r="M186" s="57" t="s">
        <v>68</v>
      </c>
      <c r="N186" s="61" t="s">
        <v>137</v>
      </c>
      <c r="O186" s="57" t="s">
        <v>503</v>
      </c>
    </row>
    <row r="187" spans="2:16" ht="15.75" x14ac:dyDescent="0.25">
      <c r="B187" s="58"/>
      <c r="C187" s="64"/>
      <c r="D187" s="26">
        <v>1</v>
      </c>
      <c r="E187" s="26">
        <v>4</v>
      </c>
      <c r="F187" s="26">
        <v>8</v>
      </c>
      <c r="G187" s="26">
        <v>11</v>
      </c>
      <c r="H187" s="26">
        <v>15</v>
      </c>
      <c r="I187" s="26">
        <v>18</v>
      </c>
      <c r="J187" s="26">
        <v>22</v>
      </c>
      <c r="K187" s="26">
        <v>25</v>
      </c>
      <c r="L187" s="26">
        <v>30</v>
      </c>
      <c r="M187" s="58"/>
      <c r="N187" s="62"/>
      <c r="O187" s="58"/>
      <c r="P187" s="7"/>
    </row>
    <row r="188" spans="2:16" ht="15.75" x14ac:dyDescent="0.25">
      <c r="B188" s="2">
        <f>O128</f>
        <v>0</v>
      </c>
      <c r="C188" s="5" t="s">
        <v>123</v>
      </c>
      <c r="D188" s="6"/>
      <c r="E188" s="6"/>
      <c r="F188" s="6"/>
      <c r="G188" s="6"/>
      <c r="H188" s="6"/>
      <c r="I188" s="6"/>
      <c r="J188" s="6"/>
      <c r="K188" s="6"/>
      <c r="L188" s="6"/>
      <c r="M188" s="7">
        <f>SUM(D188:L188)</f>
        <v>0</v>
      </c>
      <c r="N188" s="7"/>
      <c r="O188" s="7">
        <f>N188+B188-M188</f>
        <v>0</v>
      </c>
      <c r="P188" s="46"/>
    </row>
    <row r="189" spans="2:16" ht="15.75" x14ac:dyDescent="0.25">
      <c r="B189" s="2">
        <f t="shared" ref="B189:B239" si="24">O129</f>
        <v>0</v>
      </c>
      <c r="C189" s="5" t="s">
        <v>125</v>
      </c>
      <c r="D189" s="6"/>
      <c r="E189" s="7"/>
      <c r="F189" s="6"/>
      <c r="G189" s="7"/>
      <c r="H189" s="6"/>
      <c r="I189" s="6"/>
      <c r="J189" s="7"/>
      <c r="K189" s="7"/>
      <c r="L189" s="7"/>
      <c r="M189" s="7">
        <f>SUM(D189:L189)</f>
        <v>0</v>
      </c>
      <c r="N189" s="7"/>
      <c r="O189" s="7">
        <f t="shared" ref="O189:O240" si="25">N189+B189-M189</f>
        <v>0</v>
      </c>
      <c r="P189" s="45"/>
    </row>
    <row r="190" spans="2:16" ht="15.75" x14ac:dyDescent="0.25">
      <c r="B190" s="2">
        <f t="shared" si="24"/>
        <v>-197.3</v>
      </c>
      <c r="C190" s="5" t="s">
        <v>194</v>
      </c>
      <c r="D190" s="7"/>
      <c r="E190" s="7"/>
      <c r="F190" s="7"/>
      <c r="G190" s="7"/>
      <c r="H190" s="7"/>
      <c r="I190" s="7"/>
      <c r="J190" s="7"/>
      <c r="K190" s="15"/>
      <c r="L190" s="7"/>
      <c r="M190" s="7">
        <f>SUM(D190:L190)</f>
        <v>0</v>
      </c>
      <c r="N190" s="7"/>
      <c r="O190" s="7">
        <f t="shared" si="25"/>
        <v>-197.3</v>
      </c>
      <c r="P190" s="46"/>
    </row>
    <row r="191" spans="2:16" ht="15.75" x14ac:dyDescent="0.25">
      <c r="B191" s="2">
        <f t="shared" si="24"/>
        <v>-82</v>
      </c>
      <c r="C191" s="5" t="s">
        <v>2</v>
      </c>
      <c r="D191" s="6"/>
      <c r="E191" s="7"/>
      <c r="F191" s="6"/>
      <c r="G191" s="7"/>
      <c r="H191" s="6"/>
      <c r="I191" s="7"/>
      <c r="J191" s="7"/>
      <c r="K191" s="7">
        <v>26</v>
      </c>
      <c r="L191" s="7"/>
      <c r="M191" s="7">
        <f>SUM(D191:L191)</f>
        <v>26</v>
      </c>
      <c r="N191" s="7"/>
      <c r="O191" s="7">
        <f t="shared" si="25"/>
        <v>-108</v>
      </c>
      <c r="P191" s="46"/>
    </row>
    <row r="192" spans="2:16" ht="15.75" x14ac:dyDescent="0.25">
      <c r="B192" s="2">
        <f t="shared" si="24"/>
        <v>0</v>
      </c>
      <c r="C192" s="5" t="s">
        <v>129</v>
      </c>
      <c r="D192" s="6"/>
      <c r="E192" s="7"/>
      <c r="F192" s="6"/>
      <c r="G192" s="6"/>
      <c r="H192" s="6"/>
      <c r="I192" s="7"/>
      <c r="J192" s="6"/>
      <c r="K192" s="7"/>
      <c r="L192" s="7"/>
      <c r="M192" s="7">
        <f t="shared" ref="M192:M209" si="26">SUM(D192:L192)</f>
        <v>0</v>
      </c>
      <c r="N192" s="7"/>
      <c r="O192" s="7">
        <f t="shared" si="25"/>
        <v>0</v>
      </c>
      <c r="P192" s="45"/>
    </row>
    <row r="193" spans="2:16" ht="15.75" x14ac:dyDescent="0.25">
      <c r="B193" s="2">
        <f t="shared" si="24"/>
        <v>-25</v>
      </c>
      <c r="C193" s="5" t="s">
        <v>195</v>
      </c>
      <c r="D193" s="6"/>
      <c r="E193" s="7"/>
      <c r="F193" s="6"/>
      <c r="G193" s="6"/>
      <c r="H193" s="6"/>
      <c r="I193" s="7"/>
      <c r="J193" s="7"/>
      <c r="K193" s="7"/>
      <c r="L193" s="7"/>
      <c r="M193" s="7">
        <f t="shared" si="26"/>
        <v>0</v>
      </c>
      <c r="N193" s="7"/>
      <c r="O193" s="7">
        <f t="shared" si="25"/>
        <v>-25</v>
      </c>
      <c r="P193" s="45"/>
    </row>
    <row r="194" spans="2:16" ht="15.75" x14ac:dyDescent="0.25">
      <c r="B194" s="2">
        <f t="shared" si="24"/>
        <v>20</v>
      </c>
      <c r="C194" s="5" t="s">
        <v>128</v>
      </c>
      <c r="D194" s="7"/>
      <c r="E194" s="7"/>
      <c r="F194" s="7"/>
      <c r="G194" s="7"/>
      <c r="H194" s="7"/>
      <c r="I194" s="7">
        <v>20</v>
      </c>
      <c r="J194" s="7"/>
      <c r="K194" s="7"/>
      <c r="L194" s="7"/>
      <c r="M194" s="7">
        <f t="shared" si="26"/>
        <v>20</v>
      </c>
      <c r="N194" s="7">
        <v>20</v>
      </c>
      <c r="O194" s="7">
        <f t="shared" si="25"/>
        <v>20</v>
      </c>
      <c r="P194" s="45">
        <v>43950</v>
      </c>
    </row>
    <row r="195" spans="2:16" ht="15.75" x14ac:dyDescent="0.25">
      <c r="B195" s="2">
        <f t="shared" si="24"/>
        <v>-285.2</v>
      </c>
      <c r="C195" s="5" t="s">
        <v>127</v>
      </c>
      <c r="D195" s="6"/>
      <c r="E195" s="7"/>
      <c r="F195" s="7"/>
      <c r="G195" s="7"/>
      <c r="H195" s="6"/>
      <c r="I195" s="7"/>
      <c r="J195" s="6"/>
      <c r="K195" s="7"/>
      <c r="L195" s="7"/>
      <c r="M195" s="7">
        <f t="shared" si="26"/>
        <v>0</v>
      </c>
      <c r="N195" s="7"/>
      <c r="O195" s="7">
        <f t="shared" si="25"/>
        <v>-285.2</v>
      </c>
      <c r="P195" s="45"/>
    </row>
    <row r="196" spans="2:16" ht="15.75" x14ac:dyDescent="0.25">
      <c r="B196" s="2">
        <f t="shared" si="24"/>
        <v>0</v>
      </c>
      <c r="C196" s="5" t="s">
        <v>126</v>
      </c>
      <c r="D196" s="6"/>
      <c r="E196" s="7"/>
      <c r="F196" s="6"/>
      <c r="G196" s="6"/>
      <c r="H196" s="6"/>
      <c r="I196" s="7"/>
      <c r="J196" s="6"/>
      <c r="K196" s="7"/>
      <c r="L196" s="7"/>
      <c r="M196" s="7">
        <f t="shared" si="26"/>
        <v>0</v>
      </c>
      <c r="N196" s="7"/>
      <c r="O196" s="7">
        <f t="shared" si="25"/>
        <v>0</v>
      </c>
      <c r="P196" s="45"/>
    </row>
    <row r="197" spans="2:16" ht="15.75" x14ac:dyDescent="0.25">
      <c r="B197" s="2">
        <f t="shared" si="24"/>
        <v>-528.20000000000005</v>
      </c>
      <c r="C197" s="5" t="s">
        <v>130</v>
      </c>
      <c r="D197" s="7"/>
      <c r="E197" s="7"/>
      <c r="F197" s="7"/>
      <c r="G197" s="7"/>
      <c r="H197" s="7"/>
      <c r="I197" s="7"/>
      <c r="J197" s="6"/>
      <c r="K197" s="7"/>
      <c r="L197" s="7"/>
      <c r="M197" s="7">
        <f t="shared" si="26"/>
        <v>0</v>
      </c>
      <c r="N197" s="7"/>
      <c r="O197" s="7">
        <f t="shared" si="25"/>
        <v>-528.20000000000005</v>
      </c>
      <c r="P197" s="45"/>
    </row>
    <row r="198" spans="2:16" ht="15.75" x14ac:dyDescent="0.25">
      <c r="B198" s="2">
        <f t="shared" si="24"/>
        <v>-156.72999999999999</v>
      </c>
      <c r="C198" s="5" t="s">
        <v>131</v>
      </c>
      <c r="D198" s="7"/>
      <c r="E198" s="7"/>
      <c r="F198" s="7"/>
      <c r="G198" s="7"/>
      <c r="H198" s="7"/>
      <c r="I198" s="7"/>
      <c r="J198" s="7"/>
      <c r="K198" s="7"/>
      <c r="L198" s="7"/>
      <c r="M198" s="7">
        <f t="shared" si="26"/>
        <v>0</v>
      </c>
      <c r="N198" s="7"/>
      <c r="O198" s="7">
        <f t="shared" si="25"/>
        <v>-156.72999999999999</v>
      </c>
      <c r="P198" s="45"/>
    </row>
    <row r="199" spans="2:16" ht="15.75" x14ac:dyDescent="0.25">
      <c r="B199" s="2">
        <f t="shared" si="24"/>
        <v>0</v>
      </c>
      <c r="C199" s="5" t="s">
        <v>132</v>
      </c>
      <c r="D199" s="7"/>
      <c r="E199" s="7"/>
      <c r="F199" s="7"/>
      <c r="G199" s="7"/>
      <c r="H199" s="7"/>
      <c r="I199" s="7">
        <v>45</v>
      </c>
      <c r="J199" s="7"/>
      <c r="K199" s="7"/>
      <c r="L199" s="7"/>
      <c r="M199" s="7">
        <f t="shared" si="26"/>
        <v>45</v>
      </c>
      <c r="N199" s="7"/>
      <c r="O199" s="7">
        <f t="shared" si="25"/>
        <v>-45</v>
      </c>
      <c r="P199" s="45"/>
    </row>
    <row r="200" spans="2:16" ht="15.75" x14ac:dyDescent="0.25">
      <c r="B200" s="2">
        <f t="shared" si="24"/>
        <v>-266.29999999999995</v>
      </c>
      <c r="C200" s="5" t="s">
        <v>9</v>
      </c>
      <c r="D200" s="6"/>
      <c r="E200" s="7"/>
      <c r="F200" s="7"/>
      <c r="G200" s="7"/>
      <c r="H200" s="7"/>
      <c r="I200" s="6"/>
      <c r="J200" s="7"/>
      <c r="K200" s="7"/>
      <c r="L200" s="7"/>
      <c r="M200" s="7">
        <f t="shared" si="26"/>
        <v>0</v>
      </c>
      <c r="N200" s="7"/>
      <c r="O200" s="7">
        <f t="shared" si="25"/>
        <v>-266.29999999999995</v>
      </c>
      <c r="P200" s="45"/>
    </row>
    <row r="201" spans="2:16" ht="15.75" x14ac:dyDescent="0.25">
      <c r="B201" s="2">
        <f t="shared" si="24"/>
        <v>-85</v>
      </c>
      <c r="C201" s="5" t="s">
        <v>133</v>
      </c>
      <c r="D201" s="7"/>
      <c r="E201" s="7"/>
      <c r="F201" s="7"/>
      <c r="G201" s="7"/>
      <c r="H201" s="7"/>
      <c r="I201" s="7"/>
      <c r="J201" s="7"/>
      <c r="K201" s="7"/>
      <c r="L201" s="7"/>
      <c r="M201" s="7">
        <f t="shared" si="26"/>
        <v>0</v>
      </c>
      <c r="N201" s="8"/>
      <c r="O201" s="7">
        <f t="shared" si="25"/>
        <v>-85</v>
      </c>
      <c r="P201" s="45"/>
    </row>
    <row r="202" spans="2:16" ht="15.75" x14ac:dyDescent="0.25">
      <c r="B202" s="2">
        <f t="shared" si="24"/>
        <v>-260.60000000000002</v>
      </c>
      <c r="C202" s="5" t="s">
        <v>96</v>
      </c>
      <c r="D202" s="7"/>
      <c r="E202" s="7">
        <v>26</v>
      </c>
      <c r="F202" s="7"/>
      <c r="G202" s="7"/>
      <c r="H202" s="7"/>
      <c r="I202" s="7"/>
      <c r="J202" s="7"/>
      <c r="K202" s="7"/>
      <c r="L202" s="7"/>
      <c r="M202" s="7">
        <f t="shared" si="26"/>
        <v>26</v>
      </c>
      <c r="N202" s="7">
        <v>102.1</v>
      </c>
      <c r="O202" s="7">
        <f t="shared" si="25"/>
        <v>-184.50000000000003</v>
      </c>
      <c r="P202" s="45">
        <v>43934</v>
      </c>
    </row>
    <row r="203" spans="2:16" ht="15.75" x14ac:dyDescent="0.25">
      <c r="B203" s="2">
        <f t="shared" si="24"/>
        <v>0</v>
      </c>
      <c r="C203" s="5" t="s">
        <v>134</v>
      </c>
      <c r="D203" s="7"/>
      <c r="E203" s="7"/>
      <c r="F203" s="6"/>
      <c r="G203" s="7"/>
      <c r="H203" s="6"/>
      <c r="I203" s="7">
        <v>25</v>
      </c>
      <c r="J203" s="7"/>
      <c r="K203" s="7"/>
      <c r="L203" s="7"/>
      <c r="M203" s="7">
        <f t="shared" si="26"/>
        <v>25</v>
      </c>
      <c r="N203" s="7"/>
      <c r="O203" s="7">
        <f t="shared" si="25"/>
        <v>-25</v>
      </c>
      <c r="P203" s="45"/>
    </row>
    <row r="204" spans="2:16" ht="15.75" x14ac:dyDescent="0.25">
      <c r="B204" s="2">
        <f t="shared" si="24"/>
        <v>26.100000000000009</v>
      </c>
      <c r="C204" s="5" t="s">
        <v>99</v>
      </c>
      <c r="D204" s="7"/>
      <c r="E204" s="7"/>
      <c r="F204" s="6"/>
      <c r="G204" s="7"/>
      <c r="H204" s="6"/>
      <c r="I204" s="7"/>
      <c r="J204" s="6"/>
      <c r="K204" s="6"/>
      <c r="L204" s="7"/>
      <c r="M204" s="7">
        <f t="shared" si="26"/>
        <v>0</v>
      </c>
      <c r="N204" s="7"/>
      <c r="O204" s="7">
        <f t="shared" si="25"/>
        <v>26.100000000000009</v>
      </c>
      <c r="P204" s="45"/>
    </row>
    <row r="205" spans="2:16" ht="15.75" x14ac:dyDescent="0.25">
      <c r="B205" s="2">
        <f t="shared" si="24"/>
        <v>-396.28999999999996</v>
      </c>
      <c r="C205" s="5" t="s">
        <v>53</v>
      </c>
      <c r="D205" s="7"/>
      <c r="E205" s="7"/>
      <c r="F205" s="7"/>
      <c r="G205" s="7"/>
      <c r="H205" s="7"/>
      <c r="I205" s="7"/>
      <c r="J205" s="7"/>
      <c r="K205" s="7"/>
      <c r="L205" s="7"/>
      <c r="M205" s="7">
        <f t="shared" si="26"/>
        <v>0</v>
      </c>
      <c r="N205" s="7"/>
      <c r="O205" s="7">
        <f t="shared" si="25"/>
        <v>-396.28999999999996</v>
      </c>
      <c r="P205" s="45"/>
    </row>
    <row r="206" spans="2:16" ht="15.75" x14ac:dyDescent="0.25">
      <c r="B206" s="2">
        <f t="shared" si="24"/>
        <v>-90.899999999999977</v>
      </c>
      <c r="C206" s="5" t="s">
        <v>33</v>
      </c>
      <c r="D206" s="7">
        <v>17.100000000000001</v>
      </c>
      <c r="E206" s="7">
        <v>14.4</v>
      </c>
      <c r="F206" s="7"/>
      <c r="G206" s="7"/>
      <c r="H206" s="7"/>
      <c r="I206" s="7">
        <v>20</v>
      </c>
      <c r="J206" s="7"/>
      <c r="K206" s="7"/>
      <c r="L206" s="7"/>
      <c r="M206" s="7">
        <f t="shared" si="26"/>
        <v>51.5</v>
      </c>
      <c r="N206" s="7">
        <f>31.5+20</f>
        <v>51.5</v>
      </c>
      <c r="O206" s="7">
        <f t="shared" si="25"/>
        <v>-90.899999999999977</v>
      </c>
      <c r="P206" s="45" t="s">
        <v>509</v>
      </c>
    </row>
    <row r="207" spans="2:16" ht="15.75" x14ac:dyDescent="0.25">
      <c r="B207" s="2">
        <f t="shared" si="24"/>
        <v>-36</v>
      </c>
      <c r="C207" s="5" t="s">
        <v>480</v>
      </c>
      <c r="D207" s="7"/>
      <c r="E207" s="7"/>
      <c r="F207" s="7"/>
      <c r="G207" s="7"/>
      <c r="H207" s="7"/>
      <c r="I207" s="7"/>
      <c r="J207" s="7"/>
      <c r="K207" s="7"/>
      <c r="L207" s="7"/>
      <c r="M207" s="7">
        <f t="shared" si="26"/>
        <v>0</v>
      </c>
      <c r="N207" s="7"/>
      <c r="O207" s="7">
        <f t="shared" si="25"/>
        <v>-36</v>
      </c>
      <c r="P207" s="45"/>
    </row>
    <row r="208" spans="2:16" ht="15.75" x14ac:dyDescent="0.25">
      <c r="B208" s="2">
        <f t="shared" si="24"/>
        <v>0.20000000000000284</v>
      </c>
      <c r="C208" s="5" t="s">
        <v>23</v>
      </c>
      <c r="D208" s="7"/>
      <c r="E208" s="7"/>
      <c r="F208" s="10"/>
      <c r="G208" s="10"/>
      <c r="H208" s="10"/>
      <c r="I208" s="10"/>
      <c r="J208" s="7"/>
      <c r="K208" s="7"/>
      <c r="L208" s="7"/>
      <c r="M208" s="7">
        <f t="shared" si="26"/>
        <v>0</v>
      </c>
      <c r="N208" s="7"/>
      <c r="O208" s="7">
        <f t="shared" si="25"/>
        <v>0.20000000000000284</v>
      </c>
      <c r="P208" s="45"/>
    </row>
    <row r="209" spans="2:16" ht="15.75" x14ac:dyDescent="0.25">
      <c r="B209" s="2">
        <f t="shared" si="24"/>
        <v>-51.2</v>
      </c>
      <c r="C209" s="5" t="s">
        <v>24</v>
      </c>
      <c r="D209" s="7"/>
      <c r="E209" s="7"/>
      <c r="F209" s="10"/>
      <c r="G209" s="10"/>
      <c r="H209" s="10"/>
      <c r="I209" s="10"/>
      <c r="J209" s="7"/>
      <c r="K209" s="7"/>
      <c r="L209" s="7"/>
      <c r="M209" s="7">
        <f t="shared" si="26"/>
        <v>0</v>
      </c>
      <c r="N209" s="7">
        <v>26</v>
      </c>
      <c r="O209" s="7">
        <f t="shared" si="25"/>
        <v>-25.200000000000003</v>
      </c>
      <c r="P209" s="45">
        <v>43930</v>
      </c>
    </row>
    <row r="210" spans="2:16" ht="15.75" x14ac:dyDescent="0.25">
      <c r="B210" s="2">
        <f t="shared" si="24"/>
        <v>0</v>
      </c>
      <c r="C210" s="5"/>
      <c r="D210" s="7"/>
      <c r="E210" s="7"/>
      <c r="F210" s="10"/>
      <c r="G210" s="10"/>
      <c r="H210" s="10"/>
      <c r="I210" s="10"/>
      <c r="J210" s="7"/>
      <c r="K210" s="7"/>
      <c r="L210" s="7"/>
      <c r="M210" s="7">
        <f>SUM(D210:L210)</f>
        <v>0</v>
      </c>
      <c r="N210" s="7"/>
      <c r="O210" s="7">
        <f t="shared" si="25"/>
        <v>0</v>
      </c>
      <c r="P210" s="45"/>
    </row>
    <row r="211" spans="2:16" ht="15.75" x14ac:dyDescent="0.25">
      <c r="B211" s="2">
        <f t="shared" si="24"/>
        <v>0</v>
      </c>
      <c r="C211" s="5" t="s">
        <v>25</v>
      </c>
      <c r="D211" s="7"/>
      <c r="E211" s="7"/>
      <c r="F211" s="10"/>
      <c r="G211" s="10"/>
      <c r="H211" s="10"/>
      <c r="I211" s="10"/>
      <c r="J211" s="7"/>
      <c r="K211" s="7"/>
      <c r="L211" s="7"/>
      <c r="M211" s="7">
        <f>SUM(D211:L211)</f>
        <v>0</v>
      </c>
      <c r="N211" s="7"/>
      <c r="O211" s="7">
        <f t="shared" si="25"/>
        <v>0</v>
      </c>
      <c r="P211" s="45"/>
    </row>
    <row r="212" spans="2:16" ht="15.75" x14ac:dyDescent="0.25">
      <c r="B212" s="2">
        <f t="shared" si="24"/>
        <v>-28.799999999999986</v>
      </c>
      <c r="C212" s="5" t="s">
        <v>27</v>
      </c>
      <c r="D212" s="7"/>
      <c r="E212" s="7"/>
      <c r="F212" s="10"/>
      <c r="G212" s="10"/>
      <c r="H212" s="10"/>
      <c r="I212" s="10"/>
      <c r="J212" s="7"/>
      <c r="K212" s="7">
        <v>28.8</v>
      </c>
      <c r="L212" s="7"/>
      <c r="M212" s="7">
        <f>SUM(D212:L212)</f>
        <v>28.8</v>
      </c>
      <c r="N212" s="7"/>
      <c r="O212" s="7">
        <f t="shared" si="25"/>
        <v>-57.599999999999987</v>
      </c>
      <c r="P212" s="45"/>
    </row>
    <row r="213" spans="2:16" ht="15.75" x14ac:dyDescent="0.25">
      <c r="B213" s="2">
        <f t="shared" si="24"/>
        <v>6.0000000000002274E-2</v>
      </c>
      <c r="C213" s="5" t="s">
        <v>29</v>
      </c>
      <c r="D213" s="7"/>
      <c r="E213" s="7"/>
      <c r="F213" s="10"/>
      <c r="G213" s="10"/>
      <c r="H213" s="10"/>
      <c r="I213" s="10"/>
      <c r="J213" s="7"/>
      <c r="K213" s="7">
        <v>90</v>
      </c>
      <c r="L213" s="7"/>
      <c r="M213" s="7">
        <f t="shared" ref="M213:M214" si="27">SUM(D213:L213)</f>
        <v>90</v>
      </c>
      <c r="N213" s="7">
        <v>114</v>
      </c>
      <c r="O213" s="7">
        <f t="shared" si="25"/>
        <v>24.060000000000002</v>
      </c>
      <c r="P213" s="45">
        <v>43930</v>
      </c>
    </row>
    <row r="214" spans="2:16" ht="15.75" x14ac:dyDescent="0.25">
      <c r="B214" s="2">
        <f t="shared" si="24"/>
        <v>-64.200000000000045</v>
      </c>
      <c r="C214" s="5" t="s">
        <v>30</v>
      </c>
      <c r="D214" s="7"/>
      <c r="E214" s="7"/>
      <c r="F214" s="10"/>
      <c r="G214" s="10"/>
      <c r="H214" s="10"/>
      <c r="I214" s="10"/>
      <c r="J214" s="7"/>
      <c r="K214" s="7">
        <v>19.8</v>
      </c>
      <c r="L214" s="7"/>
      <c r="M214" s="7">
        <f t="shared" si="27"/>
        <v>19.8</v>
      </c>
      <c r="N214" s="7"/>
      <c r="O214" s="7">
        <f t="shared" si="25"/>
        <v>-84.000000000000043</v>
      </c>
      <c r="P214" s="45"/>
    </row>
    <row r="215" spans="2:16" ht="15.75" x14ac:dyDescent="0.25">
      <c r="B215" s="2">
        <f t="shared" si="24"/>
        <v>0</v>
      </c>
      <c r="C215" s="5" t="s">
        <v>356</v>
      </c>
      <c r="D215" s="7"/>
      <c r="E215" s="7"/>
      <c r="F215" s="10"/>
      <c r="G215" s="10"/>
      <c r="H215" s="10"/>
      <c r="I215" s="10"/>
      <c r="J215" s="7"/>
      <c r="K215" s="7"/>
      <c r="L215" s="7"/>
      <c r="M215" s="7">
        <f>SUM(D215:L215)</f>
        <v>0</v>
      </c>
      <c r="N215" s="7"/>
      <c r="O215" s="7">
        <f t="shared" si="25"/>
        <v>0</v>
      </c>
      <c r="P215" s="45"/>
    </row>
    <row r="216" spans="2:16" ht="15.75" x14ac:dyDescent="0.25">
      <c r="B216" s="2">
        <f t="shared" si="24"/>
        <v>9.6999999999999886</v>
      </c>
      <c r="C216" s="5" t="s">
        <v>101</v>
      </c>
      <c r="D216" s="7">
        <f>86.4+26</f>
        <v>112.4</v>
      </c>
      <c r="E216" s="7">
        <v>26</v>
      </c>
      <c r="F216" s="10"/>
      <c r="G216" s="10"/>
      <c r="H216" s="10"/>
      <c r="I216" s="10"/>
      <c r="J216" s="7"/>
      <c r="K216" s="7"/>
      <c r="L216" s="7">
        <v>153</v>
      </c>
      <c r="M216" s="7">
        <f t="shared" ref="M216:M229" si="28">SUM(D216:L216)</f>
        <v>291.39999999999998</v>
      </c>
      <c r="N216" s="7">
        <v>33.299999999999997</v>
      </c>
      <c r="O216" s="7">
        <f t="shared" si="25"/>
        <v>-248.39999999999998</v>
      </c>
      <c r="P216" s="45">
        <v>43922</v>
      </c>
    </row>
    <row r="217" spans="2:16" ht="15.75" x14ac:dyDescent="0.25">
      <c r="B217" s="2">
        <f t="shared" si="24"/>
        <v>-52.8</v>
      </c>
      <c r="C217" s="5" t="s">
        <v>41</v>
      </c>
      <c r="D217" s="6"/>
      <c r="E217" s="7"/>
      <c r="F217" s="10"/>
      <c r="G217" s="10"/>
      <c r="H217" s="10"/>
      <c r="I217" s="10"/>
      <c r="J217" s="7"/>
      <c r="K217" s="7"/>
      <c r="L217" s="7"/>
      <c r="M217" s="7">
        <f t="shared" si="28"/>
        <v>0</v>
      </c>
      <c r="N217" s="7"/>
      <c r="O217" s="7">
        <f t="shared" si="25"/>
        <v>-52.8</v>
      </c>
      <c r="P217" s="45"/>
    </row>
    <row r="218" spans="2:16" ht="15.75" x14ac:dyDescent="0.25">
      <c r="B218" s="2">
        <f t="shared" si="24"/>
        <v>-20</v>
      </c>
      <c r="C218" s="5" t="s">
        <v>102</v>
      </c>
      <c r="D218" s="7"/>
      <c r="E218" s="7"/>
      <c r="F218" s="10"/>
      <c r="G218" s="10"/>
      <c r="H218" s="10"/>
      <c r="I218" s="10"/>
      <c r="J218" s="7"/>
      <c r="K218" s="7">
        <v>30</v>
      </c>
      <c r="L218" s="7"/>
      <c r="M218" s="7">
        <f t="shared" si="28"/>
        <v>30</v>
      </c>
      <c r="N218" s="7"/>
      <c r="O218" s="7">
        <f t="shared" si="25"/>
        <v>-50</v>
      </c>
      <c r="P218" s="45"/>
    </row>
    <row r="219" spans="2:16" ht="15.75" x14ac:dyDescent="0.25">
      <c r="B219" s="2">
        <f t="shared" si="24"/>
        <v>-92.5</v>
      </c>
      <c r="C219" s="5" t="s">
        <v>45</v>
      </c>
      <c r="D219" s="7"/>
      <c r="E219" s="7"/>
      <c r="F219" s="10"/>
      <c r="G219" s="10"/>
      <c r="H219" s="10"/>
      <c r="I219" s="10"/>
      <c r="J219" s="7"/>
      <c r="K219" s="7"/>
      <c r="L219" s="7"/>
      <c r="M219" s="7">
        <f t="shared" si="28"/>
        <v>0</v>
      </c>
      <c r="N219" s="7"/>
      <c r="O219" s="7">
        <f t="shared" si="25"/>
        <v>-92.5</v>
      </c>
      <c r="P219" s="45"/>
    </row>
    <row r="220" spans="2:16" ht="15.75" x14ac:dyDescent="0.25">
      <c r="B220" s="2">
        <f t="shared" si="24"/>
        <v>-51.900000000000006</v>
      </c>
      <c r="C220" s="5" t="s">
        <v>46</v>
      </c>
      <c r="D220" s="7"/>
      <c r="E220" s="7"/>
      <c r="F220" s="10"/>
      <c r="G220" s="10"/>
      <c r="H220" s="10"/>
      <c r="I220" s="10"/>
      <c r="J220" s="7"/>
      <c r="K220" s="7"/>
      <c r="L220" s="7"/>
      <c r="M220" s="7">
        <f t="shared" si="28"/>
        <v>0</v>
      </c>
      <c r="N220" s="7"/>
      <c r="O220" s="7">
        <f t="shared" si="25"/>
        <v>-51.900000000000006</v>
      </c>
      <c r="P220" s="45"/>
    </row>
    <row r="221" spans="2:16" ht="15.75" x14ac:dyDescent="0.25">
      <c r="B221" s="2">
        <f t="shared" si="24"/>
        <v>25</v>
      </c>
      <c r="C221" s="5" t="s">
        <v>79</v>
      </c>
      <c r="D221" s="7"/>
      <c r="E221" s="7"/>
      <c r="F221" s="10"/>
      <c r="G221" s="10"/>
      <c r="H221" s="10"/>
      <c r="I221" s="10"/>
      <c r="J221" s="7"/>
      <c r="K221" s="7"/>
      <c r="L221" s="7"/>
      <c r="M221" s="7">
        <f t="shared" si="28"/>
        <v>0</v>
      </c>
      <c r="N221" s="7"/>
      <c r="O221" s="7">
        <f t="shared" si="25"/>
        <v>25</v>
      </c>
      <c r="P221" s="45"/>
    </row>
    <row r="222" spans="2:16" ht="15.75" x14ac:dyDescent="0.25">
      <c r="B222" s="2">
        <f t="shared" si="24"/>
        <v>1</v>
      </c>
      <c r="C222" s="5" t="s">
        <v>261</v>
      </c>
      <c r="D222" s="7"/>
      <c r="E222" s="6"/>
      <c r="F222" s="10"/>
      <c r="G222" s="10"/>
      <c r="H222" s="10"/>
      <c r="I222" s="10"/>
      <c r="J222" s="7"/>
      <c r="K222" s="7"/>
      <c r="L222" s="7"/>
      <c r="M222" s="7">
        <f t="shared" si="28"/>
        <v>0</v>
      </c>
      <c r="N222" s="7"/>
      <c r="O222" s="7">
        <f t="shared" si="25"/>
        <v>1</v>
      </c>
      <c r="P222" s="45"/>
    </row>
    <row r="223" spans="2:16" ht="15.75" x14ac:dyDescent="0.25">
      <c r="B223" s="2">
        <f t="shared" si="24"/>
        <v>-615.59999999999957</v>
      </c>
      <c r="C223" s="5" t="s">
        <v>103</v>
      </c>
      <c r="D223" s="6"/>
      <c r="E223" s="7">
        <v>108</v>
      </c>
      <c r="F223" s="10"/>
      <c r="G223" s="10">
        <f>127.8+14.4</f>
        <v>142.19999999999999</v>
      </c>
      <c r="H223" s="10">
        <v>43.2</v>
      </c>
      <c r="I223" s="10">
        <v>104.4</v>
      </c>
      <c r="J223" s="7"/>
      <c r="K223" s="7"/>
      <c r="L223" s="7"/>
      <c r="M223" s="7">
        <f t="shared" si="28"/>
        <v>397.79999999999995</v>
      </c>
      <c r="N223" s="7">
        <v>36.299999999999997</v>
      </c>
      <c r="O223" s="7">
        <f t="shared" si="25"/>
        <v>-977.09999999999957</v>
      </c>
      <c r="P223" s="45">
        <v>43924</v>
      </c>
    </row>
    <row r="224" spans="2:16" ht="15.75" x14ac:dyDescent="0.25">
      <c r="B224" s="2">
        <f t="shared" si="24"/>
        <v>0</v>
      </c>
      <c r="C224" s="5" t="s">
        <v>211</v>
      </c>
      <c r="D224" s="6"/>
      <c r="E224" s="7"/>
      <c r="F224" s="47"/>
      <c r="G224" s="10"/>
      <c r="H224" s="10"/>
      <c r="I224" s="10"/>
      <c r="J224" s="7"/>
      <c r="K224" s="7"/>
      <c r="L224" s="7"/>
      <c r="M224" s="7">
        <f t="shared" si="28"/>
        <v>0</v>
      </c>
      <c r="N224" s="7"/>
      <c r="O224" s="7">
        <f t="shared" si="25"/>
        <v>0</v>
      </c>
      <c r="P224" s="45"/>
    </row>
    <row r="225" spans="2:16" ht="15.75" x14ac:dyDescent="0.25">
      <c r="B225" s="2">
        <f t="shared" si="24"/>
        <v>-26</v>
      </c>
      <c r="C225" s="5" t="s">
        <v>139</v>
      </c>
      <c r="D225" s="7"/>
      <c r="E225" s="7"/>
      <c r="F225" s="47"/>
      <c r="G225" s="10"/>
      <c r="H225" s="10"/>
      <c r="I225" s="10"/>
      <c r="J225" s="7"/>
      <c r="K225" s="7"/>
      <c r="L225" s="7"/>
      <c r="M225" s="7">
        <f t="shared" si="28"/>
        <v>0</v>
      </c>
      <c r="N225" s="7">
        <v>26</v>
      </c>
      <c r="O225" s="7">
        <f t="shared" si="25"/>
        <v>0</v>
      </c>
      <c r="P225" s="45">
        <v>43936</v>
      </c>
    </row>
    <row r="226" spans="2:16" ht="15.75" x14ac:dyDescent="0.25">
      <c r="B226" s="2">
        <f t="shared" si="24"/>
        <v>-21</v>
      </c>
      <c r="C226" s="5" t="s">
        <v>31</v>
      </c>
      <c r="D226" s="7"/>
      <c r="E226" s="7">
        <v>25</v>
      </c>
      <c r="F226" s="10"/>
      <c r="G226" s="10"/>
      <c r="H226" s="10">
        <v>25</v>
      </c>
      <c r="I226" s="10"/>
      <c r="J226" s="15"/>
      <c r="K226" s="7"/>
      <c r="L226" s="7"/>
      <c r="M226" s="7">
        <f t="shared" si="28"/>
        <v>50</v>
      </c>
      <c r="N226" s="7">
        <f>26+25+25</f>
        <v>76</v>
      </c>
      <c r="O226" s="7">
        <f t="shared" si="25"/>
        <v>5</v>
      </c>
      <c r="P226" s="45" t="s">
        <v>508</v>
      </c>
    </row>
    <row r="227" spans="2:16" ht="15.75" x14ac:dyDescent="0.25">
      <c r="B227" s="2">
        <f t="shared" si="24"/>
        <v>0</v>
      </c>
      <c r="C227" s="5" t="s">
        <v>37</v>
      </c>
      <c r="D227" s="7"/>
      <c r="E227" s="7"/>
      <c r="F227" s="10"/>
      <c r="G227" s="10"/>
      <c r="H227" s="10"/>
      <c r="I227" s="10"/>
      <c r="J227" s="7"/>
      <c r="K227" s="7"/>
      <c r="L227" s="7">
        <v>26</v>
      </c>
      <c r="M227" s="7">
        <f t="shared" si="28"/>
        <v>26</v>
      </c>
      <c r="N227" s="7"/>
      <c r="O227" s="7">
        <f t="shared" si="25"/>
        <v>-26</v>
      </c>
      <c r="P227" s="45"/>
    </row>
    <row r="228" spans="2:16" ht="15.75" x14ac:dyDescent="0.25">
      <c r="B228" s="2">
        <f t="shared" si="24"/>
        <v>0</v>
      </c>
      <c r="C228" s="5" t="s">
        <v>105</v>
      </c>
      <c r="D228" s="7"/>
      <c r="E228" s="7"/>
      <c r="F228" s="10"/>
      <c r="G228" s="10"/>
      <c r="H228" s="10"/>
      <c r="I228" s="10">
        <v>20</v>
      </c>
      <c r="J228" s="7"/>
      <c r="K228" s="7"/>
      <c r="L228" s="7"/>
      <c r="M228" s="7">
        <f t="shared" si="28"/>
        <v>20</v>
      </c>
      <c r="N228" s="7"/>
      <c r="O228" s="7">
        <f t="shared" si="25"/>
        <v>-20</v>
      </c>
      <c r="P228" s="45"/>
    </row>
    <row r="229" spans="2:16" ht="15.75" x14ac:dyDescent="0.25">
      <c r="B229" s="2">
        <f t="shared" si="24"/>
        <v>0</v>
      </c>
      <c r="C229" s="5" t="s">
        <v>19</v>
      </c>
      <c r="D229" s="7">
        <f>23.4+15.3</f>
        <v>38.700000000000003</v>
      </c>
      <c r="E229" s="7"/>
      <c r="F229" s="10"/>
      <c r="G229" s="10">
        <v>23.4</v>
      </c>
      <c r="H229" s="10"/>
      <c r="I229" s="10"/>
      <c r="J229" s="7"/>
      <c r="K229" s="7">
        <f>82.8+18</f>
        <v>100.8</v>
      </c>
      <c r="L229" s="7"/>
      <c r="M229" s="7">
        <f t="shared" si="28"/>
        <v>162.9</v>
      </c>
      <c r="N229" s="7">
        <f>38.7+23.4</f>
        <v>62.1</v>
      </c>
      <c r="O229" s="7">
        <f t="shared" si="25"/>
        <v>-100.80000000000001</v>
      </c>
      <c r="P229" s="45" t="s">
        <v>506</v>
      </c>
    </row>
    <row r="230" spans="2:16" ht="15.75" x14ac:dyDescent="0.25">
      <c r="B230" s="2">
        <f t="shared" si="24"/>
        <v>7</v>
      </c>
      <c r="C230" s="5" t="s">
        <v>136</v>
      </c>
      <c r="D230" s="7"/>
      <c r="E230" s="7"/>
      <c r="F230" s="10"/>
      <c r="G230" s="10"/>
      <c r="H230" s="10"/>
      <c r="I230" s="10"/>
      <c r="J230" s="7"/>
      <c r="K230" s="7"/>
      <c r="L230" s="7"/>
      <c r="M230" s="7">
        <f>SUM(D230:L230)</f>
        <v>0</v>
      </c>
      <c r="N230" s="7"/>
      <c r="O230" s="8">
        <f t="shared" si="25"/>
        <v>7</v>
      </c>
      <c r="P230" s="45"/>
    </row>
    <row r="231" spans="2:16" ht="15.75" x14ac:dyDescent="0.25">
      <c r="B231" s="2">
        <f t="shared" si="24"/>
        <v>-50</v>
      </c>
      <c r="C231" s="5" t="s">
        <v>111</v>
      </c>
      <c r="D231" s="6"/>
      <c r="E231" s="7"/>
      <c r="F231" s="10"/>
      <c r="G231" s="10"/>
      <c r="H231" s="10"/>
      <c r="I231" s="10"/>
      <c r="J231" s="7"/>
      <c r="K231" s="7"/>
      <c r="L231" s="7"/>
      <c r="M231" s="7">
        <f t="shared" ref="M231:M234" si="29">SUM(D231:L231)</f>
        <v>0</v>
      </c>
      <c r="N231" s="7"/>
      <c r="O231" s="7">
        <f t="shared" si="25"/>
        <v>-50</v>
      </c>
      <c r="P231" s="45"/>
    </row>
    <row r="232" spans="2:16" ht="15.75" x14ac:dyDescent="0.25">
      <c r="B232" s="2">
        <f t="shared" si="24"/>
        <v>-77</v>
      </c>
      <c r="C232" s="5" t="s">
        <v>428</v>
      </c>
      <c r="D232" s="6"/>
      <c r="E232" s="7"/>
      <c r="F232" s="10"/>
      <c r="G232" s="10"/>
      <c r="H232" s="10"/>
      <c r="I232" s="10">
        <v>13.5</v>
      </c>
      <c r="J232" s="7"/>
      <c r="K232" s="7"/>
      <c r="L232" s="7"/>
      <c r="M232" s="7">
        <f t="shared" si="29"/>
        <v>13.5</v>
      </c>
      <c r="N232" s="7">
        <v>26</v>
      </c>
      <c r="O232" s="7">
        <f t="shared" si="25"/>
        <v>-64.5</v>
      </c>
      <c r="P232" s="45">
        <v>43928</v>
      </c>
    </row>
    <row r="233" spans="2:16" ht="15.75" x14ac:dyDescent="0.25">
      <c r="B233" s="2">
        <f t="shared" si="24"/>
        <v>0</v>
      </c>
      <c r="C233" s="5" t="s">
        <v>115</v>
      </c>
      <c r="D233" s="6"/>
      <c r="E233" s="7"/>
      <c r="F233" s="10"/>
      <c r="G233" s="10"/>
      <c r="H233" s="10"/>
      <c r="I233" s="10"/>
      <c r="J233" s="7"/>
      <c r="K233" s="7"/>
      <c r="L233" s="7"/>
      <c r="M233" s="7">
        <f t="shared" si="29"/>
        <v>0</v>
      </c>
      <c r="N233" s="7"/>
      <c r="O233" s="7">
        <f t="shared" si="25"/>
        <v>0</v>
      </c>
      <c r="P233" s="45"/>
    </row>
    <row r="234" spans="2:16" ht="15.75" x14ac:dyDescent="0.25">
      <c r="B234" s="2">
        <f t="shared" si="24"/>
        <v>0</v>
      </c>
      <c r="C234" s="5" t="s">
        <v>252</v>
      </c>
      <c r="D234" s="7"/>
      <c r="E234" s="7"/>
      <c r="F234" s="10"/>
      <c r="G234" s="10"/>
      <c r="H234" s="10"/>
      <c r="I234" s="10"/>
      <c r="J234" s="7"/>
      <c r="K234" s="7"/>
      <c r="L234" s="7"/>
      <c r="M234" s="7">
        <f t="shared" si="29"/>
        <v>0</v>
      </c>
      <c r="N234" s="7"/>
      <c r="O234" s="7">
        <f t="shared" si="25"/>
        <v>0</v>
      </c>
      <c r="P234" s="45"/>
    </row>
    <row r="235" spans="2:16" ht="15.75" x14ac:dyDescent="0.25">
      <c r="B235" s="2">
        <f t="shared" si="24"/>
        <v>64</v>
      </c>
      <c r="C235" s="5" t="s">
        <v>117</v>
      </c>
      <c r="D235" s="7"/>
      <c r="E235" s="7"/>
      <c r="F235" s="10"/>
      <c r="G235" s="10"/>
      <c r="H235" s="10"/>
      <c r="I235" s="10"/>
      <c r="J235" s="7"/>
      <c r="K235" s="7"/>
      <c r="L235" s="7"/>
      <c r="M235" s="7">
        <f>SUM(D235:L235)</f>
        <v>0</v>
      </c>
      <c r="N235" s="7"/>
      <c r="O235" s="7">
        <f t="shared" si="25"/>
        <v>64</v>
      </c>
      <c r="P235" s="45"/>
    </row>
    <row r="236" spans="2:16" ht="15.75" x14ac:dyDescent="0.25">
      <c r="B236" s="2">
        <f t="shared" si="24"/>
        <v>0</v>
      </c>
      <c r="C236" s="5" t="s">
        <v>118</v>
      </c>
      <c r="D236" s="7"/>
      <c r="E236" s="7"/>
      <c r="F236" s="10"/>
      <c r="G236" s="10"/>
      <c r="H236" s="10"/>
      <c r="I236" s="10"/>
      <c r="J236" s="7"/>
      <c r="K236" s="7">
        <v>91.8</v>
      </c>
      <c r="L236" s="7"/>
      <c r="M236" s="7">
        <f t="shared" ref="M236:M242" si="30">SUM(D236:L236)</f>
        <v>91.8</v>
      </c>
      <c r="N236" s="7"/>
      <c r="O236" s="7">
        <f t="shared" si="25"/>
        <v>-91.8</v>
      </c>
      <c r="P236" s="45"/>
    </row>
    <row r="237" spans="2:16" ht="15.75" x14ac:dyDescent="0.25">
      <c r="B237" s="2">
        <f t="shared" si="24"/>
        <v>0</v>
      </c>
      <c r="C237" s="5" t="s">
        <v>233</v>
      </c>
      <c r="D237" s="7"/>
      <c r="E237" s="7"/>
      <c r="F237" s="10"/>
      <c r="G237" s="10"/>
      <c r="H237" s="10"/>
      <c r="I237" s="10"/>
      <c r="J237" s="7"/>
      <c r="K237" s="7"/>
      <c r="L237" s="7"/>
      <c r="M237" s="7">
        <f t="shared" si="30"/>
        <v>0</v>
      </c>
      <c r="N237" s="7"/>
      <c r="O237" s="7">
        <f t="shared" si="25"/>
        <v>0</v>
      </c>
      <c r="P237" s="45"/>
    </row>
    <row r="238" spans="2:16" ht="15.75" x14ac:dyDescent="0.25">
      <c r="B238" s="2">
        <f t="shared" si="24"/>
        <v>-64.8</v>
      </c>
      <c r="C238" s="5" t="s">
        <v>13</v>
      </c>
      <c r="D238" s="7"/>
      <c r="E238" s="7"/>
      <c r="F238" s="10"/>
      <c r="G238" s="10"/>
      <c r="H238" s="10"/>
      <c r="I238" s="10"/>
      <c r="J238" s="7"/>
      <c r="K238" s="7">
        <v>43.2</v>
      </c>
      <c r="L238" s="7"/>
      <c r="M238" s="7">
        <f t="shared" si="30"/>
        <v>43.2</v>
      </c>
      <c r="N238" s="7">
        <v>64.8</v>
      </c>
      <c r="O238" s="7">
        <f t="shared" si="25"/>
        <v>-43.2</v>
      </c>
      <c r="P238" s="45">
        <v>43927</v>
      </c>
    </row>
    <row r="239" spans="2:16" ht="15.75" x14ac:dyDescent="0.25">
      <c r="B239" s="2">
        <f t="shared" si="24"/>
        <v>0</v>
      </c>
      <c r="C239" s="5" t="s">
        <v>22</v>
      </c>
      <c r="D239" s="7"/>
      <c r="E239" s="7"/>
      <c r="F239" s="10"/>
      <c r="G239" s="10"/>
      <c r="H239" s="10"/>
      <c r="I239" s="10">
        <v>155.69999999999999</v>
      </c>
      <c r="J239" s="7"/>
      <c r="K239" s="7"/>
      <c r="L239" s="7"/>
      <c r="M239" s="7">
        <f t="shared" si="30"/>
        <v>155.69999999999999</v>
      </c>
      <c r="N239" s="7"/>
      <c r="O239" s="7">
        <f t="shared" si="25"/>
        <v>-155.69999999999999</v>
      </c>
      <c r="P239" s="45"/>
    </row>
    <row r="240" spans="2:16" ht="15.75" x14ac:dyDescent="0.25">
      <c r="B240" s="2">
        <v>0</v>
      </c>
      <c r="C240" s="5" t="s">
        <v>507</v>
      </c>
      <c r="D240" s="7"/>
      <c r="E240" s="7"/>
      <c r="F240" s="10"/>
      <c r="G240" s="10"/>
      <c r="H240" s="10"/>
      <c r="I240" s="10">
        <v>347.4</v>
      </c>
      <c r="J240" s="7"/>
      <c r="K240" s="7"/>
      <c r="L240" s="7"/>
      <c r="M240" s="7">
        <f t="shared" si="30"/>
        <v>347.4</v>
      </c>
      <c r="N240" s="7"/>
      <c r="O240" s="7">
        <f t="shared" si="25"/>
        <v>-347.4</v>
      </c>
      <c r="P240" s="45"/>
    </row>
    <row r="241" spans="2:16" ht="15.75" x14ac:dyDescent="0.25">
      <c r="B241" s="2">
        <f>O180</f>
        <v>0</v>
      </c>
      <c r="C241" s="5" t="s">
        <v>135</v>
      </c>
      <c r="D241" s="7"/>
      <c r="E241" s="7"/>
      <c r="F241" s="10"/>
      <c r="G241" s="10"/>
      <c r="H241" s="10"/>
      <c r="I241" s="10"/>
      <c r="J241" s="7"/>
      <c r="K241" s="7"/>
      <c r="L241" s="7"/>
      <c r="M241" s="7">
        <f t="shared" si="30"/>
        <v>0</v>
      </c>
      <c r="N241" s="7"/>
      <c r="O241" s="7">
        <f>N241+B241-M241</f>
        <v>0</v>
      </c>
      <c r="P241" s="45"/>
    </row>
    <row r="242" spans="2:16" ht="15.75" x14ac:dyDescent="0.25">
      <c r="B242" s="2">
        <f>O181</f>
        <v>0</v>
      </c>
      <c r="C242" s="5" t="s">
        <v>21</v>
      </c>
      <c r="D242" s="7"/>
      <c r="E242" s="7"/>
      <c r="F242" s="10"/>
      <c r="G242" s="10"/>
      <c r="H242" s="10"/>
      <c r="I242" s="10"/>
      <c r="J242" s="7"/>
      <c r="K242" s="7"/>
      <c r="L242" s="7"/>
      <c r="M242" s="7">
        <f t="shared" si="30"/>
        <v>0</v>
      </c>
      <c r="N242" s="7"/>
      <c r="O242" s="7">
        <f>N242+B242-M242</f>
        <v>0</v>
      </c>
      <c r="P242" s="45"/>
    </row>
    <row r="243" spans="2:16" ht="15.75" x14ac:dyDescent="0.25">
      <c r="B243" s="2">
        <f>O182</f>
        <v>-3472.2600000000007</v>
      </c>
      <c r="C243" s="6" t="s">
        <v>104</v>
      </c>
      <c r="D243" s="7">
        <f t="shared" ref="D243:I243" si="31">SUM(D188:D241)</f>
        <v>168.2</v>
      </c>
      <c r="E243" s="7">
        <f t="shared" si="31"/>
        <v>199.4</v>
      </c>
      <c r="F243" s="7">
        <f t="shared" si="31"/>
        <v>0</v>
      </c>
      <c r="G243" s="7">
        <f t="shared" si="31"/>
        <v>165.6</v>
      </c>
      <c r="H243" s="7">
        <f t="shared" si="31"/>
        <v>68.2</v>
      </c>
      <c r="I243" s="7">
        <f t="shared" si="31"/>
        <v>751</v>
      </c>
      <c r="J243" s="7">
        <f>SUM(J188:J242)</f>
        <v>0</v>
      </c>
      <c r="K243" s="7">
        <f t="shared" ref="K243:L243" si="32">SUM(K188:K241)</f>
        <v>430.40000000000003</v>
      </c>
      <c r="L243" s="7">
        <f t="shared" si="32"/>
        <v>179</v>
      </c>
      <c r="M243" s="7">
        <f>SUM(M188:M242)</f>
        <v>1961.8000000000002</v>
      </c>
      <c r="N243" s="15">
        <f>SUM(N188:N242)</f>
        <v>638.1</v>
      </c>
      <c r="O243" s="7">
        <f>SUM(O188:O242)</f>
        <v>-4795.9599999999991</v>
      </c>
      <c r="P243" s="43"/>
    </row>
    <row r="246" spans="2:16" ht="15.75" x14ac:dyDescent="0.25">
      <c r="B246" s="57" t="s">
        <v>503</v>
      </c>
      <c r="C246" s="63"/>
      <c r="D246" s="27">
        <v>34</v>
      </c>
      <c r="E246" s="27">
        <v>35</v>
      </c>
      <c r="F246" s="27">
        <v>36</v>
      </c>
      <c r="G246" s="27">
        <v>37</v>
      </c>
      <c r="H246" s="27">
        <v>38</v>
      </c>
      <c r="I246" s="27">
        <v>39</v>
      </c>
      <c r="J246" s="27">
        <v>40</v>
      </c>
      <c r="K246" s="27">
        <v>41</v>
      </c>
      <c r="L246" s="27"/>
      <c r="M246" s="57" t="s">
        <v>68</v>
      </c>
      <c r="N246" s="61" t="s">
        <v>137</v>
      </c>
      <c r="O246" s="57" t="s">
        <v>510</v>
      </c>
    </row>
    <row r="247" spans="2:16" ht="15.75" x14ac:dyDescent="0.25">
      <c r="B247" s="58"/>
      <c r="C247" s="64"/>
      <c r="D247" s="26">
        <v>6</v>
      </c>
      <c r="E247" s="26">
        <v>8</v>
      </c>
      <c r="F247" s="26">
        <v>13</v>
      </c>
      <c r="G247" s="26">
        <v>16</v>
      </c>
      <c r="H247" s="26">
        <v>20</v>
      </c>
      <c r="I247" s="26">
        <v>23</v>
      </c>
      <c r="J247" s="26">
        <v>27</v>
      </c>
      <c r="K247" s="26">
        <v>30</v>
      </c>
      <c r="L247" s="26"/>
      <c r="M247" s="58"/>
      <c r="N247" s="62"/>
      <c r="O247" s="58"/>
      <c r="P247" s="7"/>
    </row>
    <row r="248" spans="2:16" ht="15.75" x14ac:dyDescent="0.25">
      <c r="B248" s="2">
        <f>O188</f>
        <v>0</v>
      </c>
      <c r="C248" s="5" t="s">
        <v>123</v>
      </c>
      <c r="D248" s="6"/>
      <c r="E248" s="6"/>
      <c r="F248" s="6"/>
      <c r="G248" s="6"/>
      <c r="H248" s="6"/>
      <c r="I248" s="6"/>
      <c r="J248" s="6"/>
      <c r="K248" s="6"/>
      <c r="L248" s="6"/>
      <c r="M248" s="7">
        <f>SUM(D248:L248)</f>
        <v>0</v>
      </c>
      <c r="N248" s="7"/>
      <c r="O248" s="7">
        <f>N248+B248-M248</f>
        <v>0</v>
      </c>
      <c r="P248" s="46"/>
    </row>
    <row r="249" spans="2:16" ht="15.75" x14ac:dyDescent="0.25">
      <c r="B249" s="2">
        <f t="shared" ref="B249:B303" si="33">O189</f>
        <v>0</v>
      </c>
      <c r="C249" s="5" t="s">
        <v>125</v>
      </c>
      <c r="D249" s="6"/>
      <c r="E249" s="7">
        <v>25</v>
      </c>
      <c r="F249" s="6"/>
      <c r="G249" s="7"/>
      <c r="H249" s="6"/>
      <c r="I249" s="6"/>
      <c r="J249" s="7"/>
      <c r="K249" s="7"/>
      <c r="L249" s="7"/>
      <c r="M249" s="7">
        <f>SUM(D249:L249)</f>
        <v>25</v>
      </c>
      <c r="N249" s="7">
        <v>25</v>
      </c>
      <c r="O249" s="7">
        <f t="shared" ref="O249:O300" si="34">N249+B249-M249</f>
        <v>0</v>
      </c>
      <c r="P249" s="45">
        <v>43966</v>
      </c>
    </row>
    <row r="250" spans="2:16" ht="15.75" x14ac:dyDescent="0.25">
      <c r="B250" s="2">
        <f t="shared" si="33"/>
        <v>-197.3</v>
      </c>
      <c r="C250" s="5" t="s">
        <v>194</v>
      </c>
      <c r="D250" s="7">
        <v>46</v>
      </c>
      <c r="E250" s="7"/>
      <c r="F250" s="7"/>
      <c r="G250" s="7"/>
      <c r="H250" s="7"/>
      <c r="I250" s="7">
        <v>23.4</v>
      </c>
      <c r="J250" s="7"/>
      <c r="K250" s="15"/>
      <c r="L250" s="7"/>
      <c r="M250" s="7">
        <f>SUM(D250:L250)</f>
        <v>69.400000000000006</v>
      </c>
      <c r="N250" s="7"/>
      <c r="O250" s="7">
        <f t="shared" si="34"/>
        <v>-266.70000000000005</v>
      </c>
      <c r="P250" s="46"/>
    </row>
    <row r="251" spans="2:16" ht="15.75" x14ac:dyDescent="0.25">
      <c r="B251" s="2">
        <f t="shared" si="33"/>
        <v>-108</v>
      </c>
      <c r="C251" s="5" t="s">
        <v>2</v>
      </c>
      <c r="D251" s="6"/>
      <c r="E251" s="7"/>
      <c r="F251" s="6"/>
      <c r="G251" s="7"/>
      <c r="H251" s="6"/>
      <c r="I251" s="7"/>
      <c r="J251" s="7"/>
      <c r="K251" s="7"/>
      <c r="L251" s="7"/>
      <c r="M251" s="7">
        <f>SUM(D251:L251)</f>
        <v>0</v>
      </c>
      <c r="N251" s="7"/>
      <c r="O251" s="7">
        <f t="shared" si="34"/>
        <v>-108</v>
      </c>
      <c r="P251" s="51"/>
    </row>
    <row r="252" spans="2:16" ht="15.75" x14ac:dyDescent="0.25">
      <c r="B252" s="2">
        <f t="shared" si="33"/>
        <v>0</v>
      </c>
      <c r="C252" s="5" t="s">
        <v>129</v>
      </c>
      <c r="D252" s="6"/>
      <c r="E252" s="7"/>
      <c r="F252" s="6"/>
      <c r="G252" s="6"/>
      <c r="H252" s="6"/>
      <c r="I252" s="7"/>
      <c r="J252" s="6"/>
      <c r="K252" s="7"/>
      <c r="L252" s="7"/>
      <c r="M252" s="7">
        <f t="shared" ref="M252:M269" si="35">SUM(D252:L252)</f>
        <v>0</v>
      </c>
      <c r="N252" s="7"/>
      <c r="O252" s="7">
        <f t="shared" si="34"/>
        <v>0</v>
      </c>
      <c r="P252" s="45"/>
    </row>
    <row r="253" spans="2:16" ht="15.75" x14ac:dyDescent="0.25">
      <c r="B253" s="2">
        <f t="shared" si="33"/>
        <v>-25</v>
      </c>
      <c r="C253" s="5" t="s">
        <v>195</v>
      </c>
      <c r="D253" s="6"/>
      <c r="E253" s="7"/>
      <c r="F253" s="6"/>
      <c r="G253" s="6"/>
      <c r="H253" s="6"/>
      <c r="I253" s="7"/>
      <c r="J253" s="7"/>
      <c r="K253" s="7"/>
      <c r="L253" s="7"/>
      <c r="M253" s="7">
        <f t="shared" si="35"/>
        <v>0</v>
      </c>
      <c r="N253" s="7"/>
      <c r="O253" s="7">
        <f t="shared" si="34"/>
        <v>-25</v>
      </c>
      <c r="P253" s="45"/>
    </row>
    <row r="254" spans="2:16" ht="15.75" x14ac:dyDescent="0.25">
      <c r="B254" s="2">
        <f t="shared" si="33"/>
        <v>20</v>
      </c>
      <c r="C254" s="5" t="s">
        <v>128</v>
      </c>
      <c r="D254" s="7"/>
      <c r="E254" s="7">
        <v>25</v>
      </c>
      <c r="F254" s="7"/>
      <c r="G254" s="7"/>
      <c r="H254" s="7">
        <v>105.3</v>
      </c>
      <c r="I254" s="7"/>
      <c r="J254" s="7"/>
      <c r="K254" s="7"/>
      <c r="L254" s="7"/>
      <c r="M254" s="7">
        <f t="shared" si="35"/>
        <v>130.30000000000001</v>
      </c>
      <c r="N254" s="7">
        <f>25+105.3</f>
        <v>130.30000000000001</v>
      </c>
      <c r="O254" s="7">
        <f t="shared" si="34"/>
        <v>20</v>
      </c>
      <c r="P254" s="45" t="s">
        <v>514</v>
      </c>
    </row>
    <row r="255" spans="2:16" ht="15.75" x14ac:dyDescent="0.25">
      <c r="B255" s="2">
        <f t="shared" si="33"/>
        <v>-285.2</v>
      </c>
      <c r="C255" s="5" t="s">
        <v>127</v>
      </c>
      <c r="D255" s="6"/>
      <c r="E255" s="7"/>
      <c r="F255" s="7"/>
      <c r="G255" s="7"/>
      <c r="H255" s="6"/>
      <c r="I255" s="7"/>
      <c r="J255" s="6"/>
      <c r="K255" s="7"/>
      <c r="L255" s="7"/>
      <c r="M255" s="7">
        <f t="shared" si="35"/>
        <v>0</v>
      </c>
      <c r="N255" s="7"/>
      <c r="O255" s="7">
        <f t="shared" si="34"/>
        <v>-285.2</v>
      </c>
      <c r="P255" s="45"/>
    </row>
    <row r="256" spans="2:16" ht="15.75" x14ac:dyDescent="0.25">
      <c r="B256" s="2">
        <f t="shared" si="33"/>
        <v>0</v>
      </c>
      <c r="C256" s="5" t="s">
        <v>126</v>
      </c>
      <c r="D256" s="6"/>
      <c r="E256" s="7"/>
      <c r="F256" s="6"/>
      <c r="G256" s="6"/>
      <c r="H256" s="6"/>
      <c r="I256" s="7"/>
      <c r="J256" s="6"/>
      <c r="K256" s="7">
        <v>26</v>
      </c>
      <c r="L256" s="7"/>
      <c r="M256" s="7">
        <f t="shared" si="35"/>
        <v>26</v>
      </c>
      <c r="N256" s="7"/>
      <c r="O256" s="7">
        <f t="shared" si="34"/>
        <v>-26</v>
      </c>
      <c r="P256" s="45"/>
    </row>
    <row r="257" spans="2:16" ht="15.75" x14ac:dyDescent="0.25">
      <c r="B257" s="2">
        <f t="shared" si="33"/>
        <v>-528.20000000000005</v>
      </c>
      <c r="C257" s="5" t="s">
        <v>130</v>
      </c>
      <c r="D257" s="7"/>
      <c r="E257" s="7"/>
      <c r="F257" s="7"/>
      <c r="G257" s="7"/>
      <c r="H257" s="7"/>
      <c r="I257" s="7"/>
      <c r="J257" s="6"/>
      <c r="K257" s="7"/>
      <c r="L257" s="7"/>
      <c r="M257" s="7">
        <f t="shared" si="35"/>
        <v>0</v>
      </c>
      <c r="N257" s="7"/>
      <c r="O257" s="7">
        <f t="shared" si="34"/>
        <v>-528.20000000000005</v>
      </c>
      <c r="P257" s="45"/>
    </row>
    <row r="258" spans="2:16" ht="15.75" x14ac:dyDescent="0.25">
      <c r="B258" s="2">
        <f t="shared" si="33"/>
        <v>-156.72999999999999</v>
      </c>
      <c r="C258" s="5" t="s">
        <v>131</v>
      </c>
      <c r="D258" s="7"/>
      <c r="E258" s="7"/>
      <c r="F258" s="7">
        <f>26+64.8</f>
        <v>90.8</v>
      </c>
      <c r="G258" s="7"/>
      <c r="H258" s="7"/>
      <c r="I258" s="7">
        <v>57.6</v>
      </c>
      <c r="J258" s="7"/>
      <c r="K258" s="7"/>
      <c r="L258" s="7"/>
      <c r="M258" s="7">
        <f t="shared" si="35"/>
        <v>148.4</v>
      </c>
      <c r="N258" s="7"/>
      <c r="O258" s="7">
        <f t="shared" si="34"/>
        <v>-305.13</v>
      </c>
      <c r="P258" s="45"/>
    </row>
    <row r="259" spans="2:16" ht="15.75" x14ac:dyDescent="0.25">
      <c r="B259" s="2">
        <f t="shared" si="33"/>
        <v>-45</v>
      </c>
      <c r="C259" s="5" t="s">
        <v>132</v>
      </c>
      <c r="D259" s="7"/>
      <c r="E259" s="7"/>
      <c r="F259" s="7"/>
      <c r="G259" s="7"/>
      <c r="H259" s="7"/>
      <c r="I259" s="7"/>
      <c r="J259" s="7"/>
      <c r="K259" s="7"/>
      <c r="L259" s="7"/>
      <c r="M259" s="7">
        <f t="shared" si="35"/>
        <v>0</v>
      </c>
      <c r="N259" s="7"/>
      <c r="O259" s="7">
        <f t="shared" si="34"/>
        <v>-45</v>
      </c>
      <c r="P259" s="45"/>
    </row>
    <row r="260" spans="2:16" ht="15.75" x14ac:dyDescent="0.25">
      <c r="B260" s="2">
        <f t="shared" si="33"/>
        <v>-266.29999999999995</v>
      </c>
      <c r="C260" s="5" t="s">
        <v>9</v>
      </c>
      <c r="D260" s="6"/>
      <c r="E260" s="7"/>
      <c r="F260" s="7"/>
      <c r="G260" s="7"/>
      <c r="H260" s="7"/>
      <c r="I260" s="6"/>
      <c r="J260" s="7"/>
      <c r="K260" s="7"/>
      <c r="L260" s="7"/>
      <c r="M260" s="7">
        <f t="shared" si="35"/>
        <v>0</v>
      </c>
      <c r="N260" s="7"/>
      <c r="O260" s="7">
        <f t="shared" si="34"/>
        <v>-266.29999999999995</v>
      </c>
      <c r="P260" s="45"/>
    </row>
    <row r="261" spans="2:16" ht="15.75" x14ac:dyDescent="0.25">
      <c r="B261" s="2">
        <f t="shared" si="33"/>
        <v>-85</v>
      </c>
      <c r="C261" s="5" t="s">
        <v>133</v>
      </c>
      <c r="D261" s="7"/>
      <c r="E261" s="7"/>
      <c r="F261" s="7"/>
      <c r="G261" s="7"/>
      <c r="H261" s="7"/>
      <c r="I261" s="7"/>
      <c r="J261" s="7"/>
      <c r="K261" s="7"/>
      <c r="L261" s="7"/>
      <c r="M261" s="7">
        <f t="shared" si="35"/>
        <v>0</v>
      </c>
      <c r="N261" s="8"/>
      <c r="O261" s="7">
        <f t="shared" si="34"/>
        <v>-85</v>
      </c>
      <c r="P261" s="45"/>
    </row>
    <row r="262" spans="2:16" ht="15.75" x14ac:dyDescent="0.25">
      <c r="B262" s="2">
        <f t="shared" si="33"/>
        <v>-184.50000000000003</v>
      </c>
      <c r="C262" s="5" t="s">
        <v>96</v>
      </c>
      <c r="D262" s="7">
        <v>26</v>
      </c>
      <c r="E262" s="7">
        <v>15.3</v>
      </c>
      <c r="F262" s="7"/>
      <c r="G262" s="7"/>
      <c r="H262" s="7"/>
      <c r="I262" s="7"/>
      <c r="J262" s="7"/>
      <c r="K262" s="7"/>
      <c r="L262" s="7"/>
      <c r="M262" s="7">
        <f t="shared" si="35"/>
        <v>41.3</v>
      </c>
      <c r="N262" s="7"/>
      <c r="O262" s="7">
        <f t="shared" si="34"/>
        <v>-225.8</v>
      </c>
      <c r="P262" s="50"/>
    </row>
    <row r="263" spans="2:16" ht="15.75" x14ac:dyDescent="0.25">
      <c r="B263" s="2">
        <f t="shared" si="33"/>
        <v>-25</v>
      </c>
      <c r="C263" s="5" t="s">
        <v>134</v>
      </c>
      <c r="D263" s="7"/>
      <c r="E263" s="7"/>
      <c r="F263" s="6"/>
      <c r="G263" s="7"/>
      <c r="H263" s="6"/>
      <c r="I263" s="7"/>
      <c r="J263" s="7"/>
      <c r="K263" s="7"/>
      <c r="L263" s="7"/>
      <c r="M263" s="7">
        <f t="shared" si="35"/>
        <v>0</v>
      </c>
      <c r="N263" s="7">
        <v>25</v>
      </c>
      <c r="O263" s="7">
        <f t="shared" si="34"/>
        <v>0</v>
      </c>
      <c r="P263" s="45">
        <v>43957</v>
      </c>
    </row>
    <row r="264" spans="2:16" ht="15.75" x14ac:dyDescent="0.25">
      <c r="B264" s="2">
        <f t="shared" si="33"/>
        <v>26.100000000000009</v>
      </c>
      <c r="C264" s="5" t="s">
        <v>99</v>
      </c>
      <c r="D264" s="7">
        <v>14.4</v>
      </c>
      <c r="E264" s="7"/>
      <c r="F264" s="6"/>
      <c r="G264" s="7"/>
      <c r="H264" s="6"/>
      <c r="I264" s="7"/>
      <c r="J264" s="6"/>
      <c r="K264" s="6"/>
      <c r="L264" s="7"/>
      <c r="M264" s="7">
        <f t="shared" si="35"/>
        <v>14.4</v>
      </c>
      <c r="N264" s="7">
        <v>14.4</v>
      </c>
      <c r="O264" s="7">
        <f t="shared" si="34"/>
        <v>26.100000000000009</v>
      </c>
      <c r="P264" s="45">
        <v>43959</v>
      </c>
    </row>
    <row r="265" spans="2:16" ht="15.75" x14ac:dyDescent="0.25">
      <c r="B265" s="2">
        <f t="shared" si="33"/>
        <v>-396.28999999999996</v>
      </c>
      <c r="C265" s="5" t="s">
        <v>53</v>
      </c>
      <c r="D265" s="7"/>
      <c r="E265" s="7"/>
      <c r="F265" s="7"/>
      <c r="G265" s="7"/>
      <c r="H265" s="7"/>
      <c r="I265" s="7"/>
      <c r="J265" s="7"/>
      <c r="K265" s="7"/>
      <c r="L265" s="7"/>
      <c r="M265" s="7">
        <f t="shared" si="35"/>
        <v>0</v>
      </c>
      <c r="N265" s="7"/>
      <c r="O265" s="7">
        <f t="shared" si="34"/>
        <v>-396.28999999999996</v>
      </c>
      <c r="P265" s="45"/>
    </row>
    <row r="266" spans="2:16" ht="15.75" x14ac:dyDescent="0.25">
      <c r="B266" s="2">
        <f t="shared" si="33"/>
        <v>-90.899999999999977</v>
      </c>
      <c r="C266" s="5" t="s">
        <v>33</v>
      </c>
      <c r="D266" s="7">
        <f>52+17.1</f>
        <v>69.099999999999994</v>
      </c>
      <c r="E266" s="7"/>
      <c r="F266" s="7"/>
      <c r="G266" s="7">
        <v>13.5</v>
      </c>
      <c r="H266" s="7"/>
      <c r="I266" s="7"/>
      <c r="J266" s="7"/>
      <c r="K266" s="7"/>
      <c r="L266" s="7"/>
      <c r="M266" s="7">
        <f t="shared" si="35"/>
        <v>82.6</v>
      </c>
      <c r="N266" s="7">
        <v>69.099999999999994</v>
      </c>
      <c r="O266" s="7">
        <f t="shared" si="34"/>
        <v>-104.39999999999998</v>
      </c>
      <c r="P266" s="45">
        <v>43962</v>
      </c>
    </row>
    <row r="267" spans="2:16" ht="15.75" x14ac:dyDescent="0.25">
      <c r="B267" s="2">
        <f t="shared" si="33"/>
        <v>-36</v>
      </c>
      <c r="C267" s="5" t="s">
        <v>480</v>
      </c>
      <c r="D267" s="7"/>
      <c r="E267" s="7"/>
      <c r="F267" s="7"/>
      <c r="G267" s="7"/>
      <c r="H267" s="7"/>
      <c r="I267" s="7"/>
      <c r="J267" s="7"/>
      <c r="K267" s="7"/>
      <c r="L267" s="7"/>
      <c r="M267" s="7">
        <f t="shared" si="35"/>
        <v>0</v>
      </c>
      <c r="N267" s="7"/>
      <c r="O267" s="7">
        <f t="shared" si="34"/>
        <v>-36</v>
      </c>
      <c r="P267" s="45"/>
    </row>
    <row r="268" spans="2:16" ht="15.75" x14ac:dyDescent="0.25">
      <c r="B268" s="2">
        <f t="shared" si="33"/>
        <v>0.20000000000000284</v>
      </c>
      <c r="C268" s="5" t="s">
        <v>23</v>
      </c>
      <c r="D268" s="7"/>
      <c r="E268" s="7"/>
      <c r="F268" s="10"/>
      <c r="G268" s="10"/>
      <c r="H268" s="10">
        <v>25.2</v>
      </c>
      <c r="I268" s="10"/>
      <c r="J268" s="7"/>
      <c r="K268" s="7"/>
      <c r="L268" s="7"/>
      <c r="M268" s="7">
        <f t="shared" si="35"/>
        <v>25.2</v>
      </c>
      <c r="N268" s="7">
        <v>25.2</v>
      </c>
      <c r="O268" s="7">
        <f t="shared" si="34"/>
        <v>0.20000000000000284</v>
      </c>
      <c r="P268" s="45">
        <v>43978</v>
      </c>
    </row>
    <row r="269" spans="2:16" ht="15.75" x14ac:dyDescent="0.25">
      <c r="B269" s="2">
        <f t="shared" si="33"/>
        <v>-25.200000000000003</v>
      </c>
      <c r="C269" s="5" t="s">
        <v>24</v>
      </c>
      <c r="D269" s="7"/>
      <c r="E269" s="7"/>
      <c r="F269" s="10"/>
      <c r="G269" s="10"/>
      <c r="H269" s="10"/>
      <c r="I269" s="10"/>
      <c r="J269" s="7"/>
      <c r="K269" s="7"/>
      <c r="L269" s="7"/>
      <c r="M269" s="7">
        <f t="shared" si="35"/>
        <v>0</v>
      </c>
      <c r="N269" s="7"/>
      <c r="O269" s="7">
        <f t="shared" si="34"/>
        <v>-25.200000000000003</v>
      </c>
      <c r="P269" s="45"/>
    </row>
    <row r="270" spans="2:16" ht="15.75" x14ac:dyDescent="0.25">
      <c r="B270" s="2">
        <f t="shared" si="33"/>
        <v>0</v>
      </c>
      <c r="C270" s="5" t="s">
        <v>513</v>
      </c>
      <c r="D270" s="7"/>
      <c r="E270" s="7"/>
      <c r="F270" s="10"/>
      <c r="G270" s="10"/>
      <c r="H270" s="10"/>
      <c r="I270" s="10"/>
      <c r="J270" s="7"/>
      <c r="K270" s="7">
        <f>21.6+25.2</f>
        <v>46.8</v>
      </c>
      <c r="L270" s="7"/>
      <c r="M270" s="7">
        <f>SUM(D270:L270)</f>
        <v>46.8</v>
      </c>
      <c r="N270" s="7">
        <v>46.8</v>
      </c>
      <c r="O270" s="7">
        <f t="shared" si="34"/>
        <v>0</v>
      </c>
      <c r="P270" s="45">
        <v>43976</v>
      </c>
    </row>
    <row r="271" spans="2:16" ht="15.75" x14ac:dyDescent="0.25">
      <c r="B271" s="2">
        <f t="shared" si="33"/>
        <v>0</v>
      </c>
      <c r="C271" s="5" t="s">
        <v>25</v>
      </c>
      <c r="D271" s="7"/>
      <c r="E271" s="7"/>
      <c r="F271" s="10"/>
      <c r="G271" s="10"/>
      <c r="H271" s="10"/>
      <c r="I271" s="10"/>
      <c r="J271" s="7"/>
      <c r="K271" s="7"/>
      <c r="L271" s="7"/>
      <c r="M271" s="7">
        <f>SUM(D271:L271)</f>
        <v>0</v>
      </c>
      <c r="N271" s="7"/>
      <c r="O271" s="7">
        <f t="shared" si="34"/>
        <v>0</v>
      </c>
      <c r="P271" s="45"/>
    </row>
    <row r="272" spans="2:16" ht="15.75" x14ac:dyDescent="0.25">
      <c r="B272" s="2">
        <f t="shared" si="33"/>
        <v>-57.599999999999987</v>
      </c>
      <c r="C272" s="5" t="s">
        <v>27</v>
      </c>
      <c r="D272" s="7"/>
      <c r="E272" s="7"/>
      <c r="F272" s="10"/>
      <c r="G272" s="10"/>
      <c r="H272" s="10"/>
      <c r="I272" s="10"/>
      <c r="J272" s="7"/>
      <c r="K272" s="7">
        <v>41.4</v>
      </c>
      <c r="L272" s="7"/>
      <c r="M272" s="7">
        <f>SUM(D272:L272)</f>
        <v>41.4</v>
      </c>
      <c r="N272" s="7">
        <f>28.8+28.8</f>
        <v>57.6</v>
      </c>
      <c r="O272" s="7">
        <f t="shared" si="34"/>
        <v>-41.399999999999984</v>
      </c>
      <c r="P272" s="45" t="s">
        <v>512</v>
      </c>
    </row>
    <row r="273" spans="2:16" ht="15.75" x14ac:dyDescent="0.25">
      <c r="B273" s="2">
        <f t="shared" si="33"/>
        <v>24.060000000000002</v>
      </c>
      <c r="C273" s="5" t="s">
        <v>29</v>
      </c>
      <c r="D273" s="7"/>
      <c r="E273" s="7"/>
      <c r="F273" s="10"/>
      <c r="G273" s="10"/>
      <c r="H273" s="10"/>
      <c r="I273" s="10"/>
      <c r="J273" s="7"/>
      <c r="K273" s="7">
        <v>72</v>
      </c>
      <c r="L273" s="7"/>
      <c r="M273" s="7">
        <f t="shared" ref="M273:M274" si="36">SUM(D273:L273)</f>
        <v>72</v>
      </c>
      <c r="N273" s="7">
        <v>100</v>
      </c>
      <c r="O273" s="7">
        <f t="shared" si="34"/>
        <v>52.06</v>
      </c>
      <c r="P273" s="45">
        <v>43958</v>
      </c>
    </row>
    <row r="274" spans="2:16" ht="15.75" x14ac:dyDescent="0.25">
      <c r="B274" s="2">
        <f t="shared" si="33"/>
        <v>-84.000000000000043</v>
      </c>
      <c r="C274" s="5" t="s">
        <v>30</v>
      </c>
      <c r="D274" s="7"/>
      <c r="E274" s="7"/>
      <c r="F274" s="10"/>
      <c r="G274" s="10"/>
      <c r="H274" s="10"/>
      <c r="I274" s="10"/>
      <c r="J274" s="7"/>
      <c r="K274" s="7"/>
      <c r="L274" s="7"/>
      <c r="M274" s="7">
        <f t="shared" si="36"/>
        <v>0</v>
      </c>
      <c r="N274" s="7">
        <v>19.8</v>
      </c>
      <c r="O274" s="7">
        <f t="shared" si="34"/>
        <v>-64.200000000000045</v>
      </c>
      <c r="P274" s="45">
        <v>43958</v>
      </c>
    </row>
    <row r="275" spans="2:16" ht="15.75" x14ac:dyDescent="0.25">
      <c r="B275" s="2">
        <f t="shared" si="33"/>
        <v>0</v>
      </c>
      <c r="C275" s="5" t="s">
        <v>356</v>
      </c>
      <c r="D275" s="7"/>
      <c r="E275" s="7"/>
      <c r="F275" s="10"/>
      <c r="G275" s="10"/>
      <c r="H275" s="10"/>
      <c r="I275" s="10"/>
      <c r="J275" s="7"/>
      <c r="K275" s="7"/>
      <c r="L275" s="7"/>
      <c r="M275" s="7">
        <f>SUM(D275:L275)</f>
        <v>0</v>
      </c>
      <c r="N275" s="7"/>
      <c r="O275" s="7">
        <f t="shared" si="34"/>
        <v>0</v>
      </c>
      <c r="P275" s="45"/>
    </row>
    <row r="276" spans="2:16" ht="15.75" x14ac:dyDescent="0.25">
      <c r="B276" s="2">
        <f t="shared" si="33"/>
        <v>-248.39999999999998</v>
      </c>
      <c r="C276" s="5" t="s">
        <v>101</v>
      </c>
      <c r="D276" s="7"/>
      <c r="E276" s="7"/>
      <c r="F276" s="10"/>
      <c r="G276" s="10"/>
      <c r="H276" s="10"/>
      <c r="I276" s="10"/>
      <c r="J276" s="7"/>
      <c r="K276" s="7"/>
      <c r="L276" s="7"/>
      <c r="M276" s="7">
        <f t="shared" ref="M276:M289" si="37">SUM(D276:L276)</f>
        <v>0</v>
      </c>
      <c r="N276" s="7">
        <f>153+138.4</f>
        <v>291.39999999999998</v>
      </c>
      <c r="O276" s="7">
        <f t="shared" si="34"/>
        <v>43</v>
      </c>
      <c r="P276" s="45" t="s">
        <v>517</v>
      </c>
    </row>
    <row r="277" spans="2:16" ht="15.75" x14ac:dyDescent="0.25">
      <c r="B277" s="2">
        <f t="shared" si="33"/>
        <v>-52.8</v>
      </c>
      <c r="C277" s="5" t="s">
        <v>41</v>
      </c>
      <c r="D277" s="6"/>
      <c r="E277" s="7"/>
      <c r="F277" s="10"/>
      <c r="G277" s="10"/>
      <c r="H277" s="10"/>
      <c r="I277" s="10"/>
      <c r="J277" s="7"/>
      <c r="K277" s="7"/>
      <c r="L277" s="7"/>
      <c r="M277" s="7">
        <f t="shared" si="37"/>
        <v>0</v>
      </c>
      <c r="N277" s="7"/>
      <c r="O277" s="7">
        <f t="shared" si="34"/>
        <v>-52.8</v>
      </c>
      <c r="P277" s="45"/>
    </row>
    <row r="278" spans="2:16" ht="15.75" x14ac:dyDescent="0.25">
      <c r="B278" s="2">
        <f t="shared" si="33"/>
        <v>-50</v>
      </c>
      <c r="C278" s="5" t="s">
        <v>102</v>
      </c>
      <c r="D278" s="7"/>
      <c r="E278" s="7"/>
      <c r="F278" s="10"/>
      <c r="G278" s="10"/>
      <c r="H278" s="10"/>
      <c r="I278" s="10"/>
      <c r="J278" s="7"/>
      <c r="K278" s="7"/>
      <c r="L278" s="7"/>
      <c r="M278" s="7">
        <f t="shared" si="37"/>
        <v>0</v>
      </c>
      <c r="N278" s="7">
        <v>30</v>
      </c>
      <c r="O278" s="7">
        <f t="shared" si="34"/>
        <v>-20</v>
      </c>
      <c r="P278" s="45">
        <v>43959</v>
      </c>
    </row>
    <row r="279" spans="2:16" ht="15.75" x14ac:dyDescent="0.25">
      <c r="B279" s="2">
        <f t="shared" si="33"/>
        <v>-92.5</v>
      </c>
      <c r="C279" s="5" t="s">
        <v>45</v>
      </c>
      <c r="D279" s="7"/>
      <c r="E279" s="7"/>
      <c r="F279" s="10"/>
      <c r="G279" s="10"/>
      <c r="H279" s="10"/>
      <c r="I279" s="10"/>
      <c r="J279" s="7"/>
      <c r="K279" s="7"/>
      <c r="L279" s="7"/>
      <c r="M279" s="7">
        <f t="shared" si="37"/>
        <v>0</v>
      </c>
      <c r="N279" s="7"/>
      <c r="O279" s="7">
        <f t="shared" si="34"/>
        <v>-92.5</v>
      </c>
      <c r="P279" s="45"/>
    </row>
    <row r="280" spans="2:16" ht="15.75" x14ac:dyDescent="0.25">
      <c r="B280" s="2">
        <f t="shared" si="33"/>
        <v>-51.900000000000006</v>
      </c>
      <c r="C280" s="5" t="s">
        <v>46</v>
      </c>
      <c r="D280" s="7"/>
      <c r="E280" s="7"/>
      <c r="F280" s="10"/>
      <c r="G280" s="10"/>
      <c r="H280" s="10"/>
      <c r="I280" s="10"/>
      <c r="J280" s="7"/>
      <c r="K280" s="7"/>
      <c r="L280" s="7"/>
      <c r="M280" s="7">
        <f t="shared" si="37"/>
        <v>0</v>
      </c>
      <c r="N280" s="7"/>
      <c r="O280" s="7">
        <f t="shared" si="34"/>
        <v>-51.900000000000006</v>
      </c>
      <c r="P280" s="45"/>
    </row>
    <row r="281" spans="2:16" ht="15.75" x14ac:dyDescent="0.25">
      <c r="B281" s="2">
        <f t="shared" si="33"/>
        <v>25</v>
      </c>
      <c r="C281" s="5" t="s">
        <v>79</v>
      </c>
      <c r="D281" s="7"/>
      <c r="E281" s="7"/>
      <c r="F281" s="10"/>
      <c r="G281" s="10"/>
      <c r="H281" s="10"/>
      <c r="I281" s="10"/>
      <c r="J281" s="7"/>
      <c r="K281" s="7">
        <v>10.8</v>
      </c>
      <c r="L281" s="7"/>
      <c r="M281" s="7">
        <f t="shared" si="37"/>
        <v>10.8</v>
      </c>
      <c r="N281" s="7"/>
      <c r="O281" s="7">
        <f t="shared" si="34"/>
        <v>14.2</v>
      </c>
      <c r="P281" s="45"/>
    </row>
    <row r="282" spans="2:16" ht="15.75" x14ac:dyDescent="0.25">
      <c r="B282" s="2">
        <f t="shared" si="33"/>
        <v>1</v>
      </c>
      <c r="C282" s="5" t="s">
        <v>261</v>
      </c>
      <c r="D282" s="7"/>
      <c r="E282" s="6"/>
      <c r="F282" s="10"/>
      <c r="G282" s="10"/>
      <c r="H282" s="10"/>
      <c r="I282" s="10"/>
      <c r="J282" s="7"/>
      <c r="K282" s="7"/>
      <c r="L282" s="7"/>
      <c r="M282" s="7">
        <f t="shared" si="37"/>
        <v>0</v>
      </c>
      <c r="N282" s="7"/>
      <c r="O282" s="7">
        <f t="shared" si="34"/>
        <v>1</v>
      </c>
      <c r="P282" s="45"/>
    </row>
    <row r="283" spans="2:16" ht="15.75" x14ac:dyDescent="0.25">
      <c r="B283" s="2">
        <f t="shared" si="33"/>
        <v>-977.09999999999957</v>
      </c>
      <c r="C283" s="5" t="s">
        <v>103</v>
      </c>
      <c r="D283" s="6">
        <v>8</v>
      </c>
      <c r="E283" s="7"/>
      <c r="F283" s="10"/>
      <c r="G283" s="10">
        <v>51.3</v>
      </c>
      <c r="H283" s="10"/>
      <c r="I283" s="10"/>
      <c r="J283" s="7">
        <v>89.1</v>
      </c>
      <c r="K283" s="7"/>
      <c r="L283" s="7"/>
      <c r="M283" s="7">
        <f t="shared" si="37"/>
        <v>148.39999999999998</v>
      </c>
      <c r="N283" s="7"/>
      <c r="O283" s="7">
        <f t="shared" si="34"/>
        <v>-1125.4999999999995</v>
      </c>
      <c r="P283" s="45"/>
    </row>
    <row r="284" spans="2:16" ht="15.75" x14ac:dyDescent="0.25">
      <c r="B284" s="2">
        <f t="shared" si="33"/>
        <v>0</v>
      </c>
      <c r="C284" s="5" t="s">
        <v>211</v>
      </c>
      <c r="D284" s="6"/>
      <c r="E284" s="7"/>
      <c r="F284" s="47"/>
      <c r="G284" s="10"/>
      <c r="H284" s="10"/>
      <c r="I284" s="10"/>
      <c r="J284" s="7"/>
      <c r="K284" s="7"/>
      <c r="L284" s="7"/>
      <c r="M284" s="7">
        <f t="shared" si="37"/>
        <v>0</v>
      </c>
      <c r="N284" s="7"/>
      <c r="O284" s="7">
        <f t="shared" si="34"/>
        <v>0</v>
      </c>
      <c r="P284" s="45"/>
    </row>
    <row r="285" spans="2:16" ht="15.75" x14ac:dyDescent="0.25">
      <c r="B285" s="2">
        <f t="shared" si="33"/>
        <v>0</v>
      </c>
      <c r="C285" s="5" t="s">
        <v>139</v>
      </c>
      <c r="D285" s="7"/>
      <c r="E285" s="7">
        <v>26</v>
      </c>
      <c r="F285" s="47"/>
      <c r="G285" s="10"/>
      <c r="H285" s="10"/>
      <c r="I285" s="10"/>
      <c r="J285" s="7"/>
      <c r="K285" s="7">
        <v>26</v>
      </c>
      <c r="L285" s="7"/>
      <c r="M285" s="7">
        <f t="shared" si="37"/>
        <v>52</v>
      </c>
      <c r="N285" s="7">
        <v>26</v>
      </c>
      <c r="O285" s="7">
        <f t="shared" si="34"/>
        <v>-26</v>
      </c>
      <c r="P285" s="45">
        <v>43966</v>
      </c>
    </row>
    <row r="286" spans="2:16" ht="15.75" x14ac:dyDescent="0.25">
      <c r="B286" s="2">
        <f t="shared" si="33"/>
        <v>5</v>
      </c>
      <c r="C286" s="5" t="s">
        <v>31</v>
      </c>
      <c r="D286" s="7"/>
      <c r="E286" s="7">
        <v>50</v>
      </c>
      <c r="F286" s="10"/>
      <c r="G286" s="10"/>
      <c r="H286" s="10"/>
      <c r="I286" s="10"/>
      <c r="J286" s="15"/>
      <c r="K286" s="7"/>
      <c r="L286" s="7"/>
      <c r="M286" s="7">
        <f t="shared" si="37"/>
        <v>50</v>
      </c>
      <c r="N286" s="7"/>
      <c r="O286" s="7">
        <f t="shared" si="34"/>
        <v>-45</v>
      </c>
      <c r="P286" s="45"/>
    </row>
    <row r="287" spans="2:16" ht="15.75" x14ac:dyDescent="0.25">
      <c r="B287" s="2">
        <f t="shared" si="33"/>
        <v>-26</v>
      </c>
      <c r="C287" s="5" t="s">
        <v>37</v>
      </c>
      <c r="D287" s="7"/>
      <c r="E287" s="7"/>
      <c r="F287" s="10"/>
      <c r="G287" s="10"/>
      <c r="H287" s="10"/>
      <c r="I287" s="10"/>
      <c r="J287" s="7"/>
      <c r="K287" s="7"/>
      <c r="L287" s="7"/>
      <c r="M287" s="7">
        <f t="shared" si="37"/>
        <v>0</v>
      </c>
      <c r="N287" s="7"/>
      <c r="O287" s="7">
        <f t="shared" si="34"/>
        <v>-26</v>
      </c>
      <c r="P287" s="45"/>
    </row>
    <row r="288" spans="2:16" ht="15.75" x14ac:dyDescent="0.25">
      <c r="B288" s="2">
        <f t="shared" si="33"/>
        <v>-20</v>
      </c>
      <c r="C288" s="5" t="s">
        <v>105</v>
      </c>
      <c r="D288" s="7"/>
      <c r="E288" s="7"/>
      <c r="F288" s="10"/>
      <c r="G288" s="10">
        <v>25</v>
      </c>
      <c r="H288" s="10"/>
      <c r="I288" s="10"/>
      <c r="J288" s="7"/>
      <c r="K288" s="7"/>
      <c r="L288" s="7"/>
      <c r="M288" s="7">
        <f t="shared" si="37"/>
        <v>25</v>
      </c>
      <c r="N288" s="7">
        <f>20+25</f>
        <v>45</v>
      </c>
      <c r="O288" s="7">
        <f t="shared" si="34"/>
        <v>0</v>
      </c>
      <c r="P288" s="45" t="s">
        <v>515</v>
      </c>
    </row>
    <row r="289" spans="2:16" ht="15.75" x14ac:dyDescent="0.25">
      <c r="B289" s="2">
        <f t="shared" si="33"/>
        <v>-100.80000000000001</v>
      </c>
      <c r="C289" s="5" t="s">
        <v>19</v>
      </c>
      <c r="D289" s="7"/>
      <c r="E289" s="7">
        <v>15.3</v>
      </c>
      <c r="F289" s="10">
        <v>13.5</v>
      </c>
      <c r="G289" s="10"/>
      <c r="H289" s="10"/>
      <c r="I289" s="10"/>
      <c r="J289" s="7"/>
      <c r="K289" s="7"/>
      <c r="L289" s="7"/>
      <c r="M289" s="7">
        <f t="shared" si="37"/>
        <v>28.8</v>
      </c>
      <c r="N289" s="7">
        <f>100.8+28.8</f>
        <v>129.6</v>
      </c>
      <c r="O289" s="7">
        <f t="shared" si="34"/>
        <v>0</v>
      </c>
      <c r="P289" s="45" t="s">
        <v>511</v>
      </c>
    </row>
    <row r="290" spans="2:16" ht="15.75" x14ac:dyDescent="0.25">
      <c r="B290" s="2">
        <f t="shared" si="33"/>
        <v>7</v>
      </c>
      <c r="C290" s="5" t="s">
        <v>136</v>
      </c>
      <c r="D290" s="7"/>
      <c r="E290" s="7"/>
      <c r="F290" s="10"/>
      <c r="G290" s="10"/>
      <c r="H290" s="10"/>
      <c r="I290" s="10"/>
      <c r="J290" s="7"/>
      <c r="K290" s="7"/>
      <c r="L290" s="7"/>
      <c r="M290" s="7">
        <f>SUM(D290:L290)</f>
        <v>0</v>
      </c>
      <c r="N290" s="7"/>
      <c r="O290" s="8">
        <f t="shared" si="34"/>
        <v>7</v>
      </c>
      <c r="P290" s="45"/>
    </row>
    <row r="291" spans="2:16" ht="15.75" x14ac:dyDescent="0.25">
      <c r="B291" s="2">
        <f t="shared" si="33"/>
        <v>-50</v>
      </c>
      <c r="C291" s="5" t="s">
        <v>111</v>
      </c>
      <c r="D291" s="6"/>
      <c r="E291" s="7"/>
      <c r="F291" s="10"/>
      <c r="G291" s="10"/>
      <c r="H291" s="10"/>
      <c r="I291" s="10">
        <v>20</v>
      </c>
      <c r="J291" s="7"/>
      <c r="K291" s="7"/>
      <c r="L291" s="7"/>
      <c r="M291" s="7">
        <f t="shared" ref="M291:M294" si="38">SUM(D291:L291)</f>
        <v>20</v>
      </c>
      <c r="N291" s="7"/>
      <c r="O291" s="7">
        <f t="shared" si="34"/>
        <v>-70</v>
      </c>
      <c r="P291" s="45"/>
    </row>
    <row r="292" spans="2:16" ht="15.75" x14ac:dyDescent="0.25">
      <c r="B292" s="2">
        <f t="shared" si="33"/>
        <v>-64.5</v>
      </c>
      <c r="C292" s="5" t="s">
        <v>428</v>
      </c>
      <c r="D292" s="6"/>
      <c r="E292" s="7"/>
      <c r="F292" s="10"/>
      <c r="G292" s="10"/>
      <c r="H292" s="10"/>
      <c r="I292" s="10"/>
      <c r="J292" s="7"/>
      <c r="K292" s="7"/>
      <c r="L292" s="7"/>
      <c r="M292" s="7">
        <f t="shared" si="38"/>
        <v>0</v>
      </c>
      <c r="N292" s="7">
        <v>13.5</v>
      </c>
      <c r="O292" s="7">
        <f t="shared" si="34"/>
        <v>-51</v>
      </c>
      <c r="P292" s="45">
        <v>43958</v>
      </c>
    </row>
    <row r="293" spans="2:16" ht="15.75" x14ac:dyDescent="0.25">
      <c r="B293" s="2">
        <f t="shared" si="33"/>
        <v>0</v>
      </c>
      <c r="C293" s="5" t="s">
        <v>115</v>
      </c>
      <c r="D293" s="6"/>
      <c r="E293" s="7"/>
      <c r="F293" s="10"/>
      <c r="G293" s="10"/>
      <c r="H293" s="10"/>
      <c r="I293" s="10"/>
      <c r="J293" s="7"/>
      <c r="K293" s="7"/>
      <c r="L293" s="7"/>
      <c r="M293" s="7">
        <f t="shared" si="38"/>
        <v>0</v>
      </c>
      <c r="N293" s="7"/>
      <c r="O293" s="7">
        <f t="shared" si="34"/>
        <v>0</v>
      </c>
      <c r="P293" s="45"/>
    </row>
    <row r="294" spans="2:16" ht="15.75" x14ac:dyDescent="0.25">
      <c r="B294" s="2">
        <f t="shared" si="33"/>
        <v>0</v>
      </c>
      <c r="C294" s="5" t="s">
        <v>252</v>
      </c>
      <c r="D294" s="7"/>
      <c r="E294" s="7"/>
      <c r="F294" s="10"/>
      <c r="G294" s="10"/>
      <c r="H294" s="10"/>
      <c r="I294" s="10"/>
      <c r="J294" s="7"/>
      <c r="K294" s="7"/>
      <c r="L294" s="7"/>
      <c r="M294" s="7">
        <f t="shared" si="38"/>
        <v>0</v>
      </c>
      <c r="N294" s="7"/>
      <c r="O294" s="7">
        <f t="shared" si="34"/>
        <v>0</v>
      </c>
      <c r="P294" s="45"/>
    </row>
    <row r="295" spans="2:16" ht="15.75" x14ac:dyDescent="0.25">
      <c r="B295" s="2">
        <f t="shared" si="33"/>
        <v>64</v>
      </c>
      <c r="C295" s="5" t="s">
        <v>117</v>
      </c>
      <c r="D295" s="7"/>
      <c r="E295" s="7"/>
      <c r="F295" s="10"/>
      <c r="G295" s="10"/>
      <c r="H295" s="10"/>
      <c r="I295" s="10"/>
      <c r="J295" s="7"/>
      <c r="K295" s="7"/>
      <c r="L295" s="7"/>
      <c r="M295" s="7">
        <f>SUM(D295:L295)</f>
        <v>0</v>
      </c>
      <c r="N295" s="7"/>
      <c r="O295" s="7">
        <f t="shared" si="34"/>
        <v>64</v>
      </c>
      <c r="P295" s="45"/>
    </row>
    <row r="296" spans="2:16" ht="15.75" x14ac:dyDescent="0.25">
      <c r="B296" s="2">
        <f t="shared" si="33"/>
        <v>-91.8</v>
      </c>
      <c r="C296" s="5" t="s">
        <v>118</v>
      </c>
      <c r="D296" s="7"/>
      <c r="E296" s="7"/>
      <c r="F296" s="10"/>
      <c r="G296" s="10"/>
      <c r="H296" s="10"/>
      <c r="I296" s="10"/>
      <c r="J296" s="7"/>
      <c r="K296" s="7">
        <v>61.2</v>
      </c>
      <c r="L296" s="7"/>
      <c r="M296" s="7">
        <f t="shared" ref="M296:M302" si="39">SUM(D296:L296)</f>
        <v>61.2</v>
      </c>
      <c r="N296" s="7"/>
      <c r="O296" s="7">
        <f t="shared" si="34"/>
        <v>-153</v>
      </c>
      <c r="P296" s="45"/>
    </row>
    <row r="297" spans="2:16" ht="15.75" x14ac:dyDescent="0.25">
      <c r="B297" s="2">
        <f t="shared" si="33"/>
        <v>0</v>
      </c>
      <c r="C297" s="5" t="s">
        <v>233</v>
      </c>
      <c r="D297" s="7"/>
      <c r="E297" s="7"/>
      <c r="F297" s="10"/>
      <c r="G297" s="10"/>
      <c r="H297" s="10"/>
      <c r="I297" s="10"/>
      <c r="J297" s="7"/>
      <c r="K297" s="7"/>
      <c r="L297" s="7"/>
      <c r="M297" s="7">
        <f t="shared" si="39"/>
        <v>0</v>
      </c>
      <c r="N297" s="7"/>
      <c r="O297" s="7">
        <f t="shared" si="34"/>
        <v>0</v>
      </c>
      <c r="P297" s="45"/>
    </row>
    <row r="298" spans="2:16" ht="15.75" x14ac:dyDescent="0.25">
      <c r="B298" s="2">
        <f t="shared" si="33"/>
        <v>-43.2</v>
      </c>
      <c r="C298" s="5" t="s">
        <v>13</v>
      </c>
      <c r="D298" s="7"/>
      <c r="E298" s="7"/>
      <c r="F298" s="10"/>
      <c r="G298" s="10"/>
      <c r="H298" s="10"/>
      <c r="I298" s="10"/>
      <c r="J298" s="7"/>
      <c r="K298" s="7">
        <v>38.880000000000003</v>
      </c>
      <c r="L298" s="7"/>
      <c r="M298" s="7">
        <f t="shared" si="39"/>
        <v>38.880000000000003</v>
      </c>
      <c r="N298" s="7">
        <v>120.96</v>
      </c>
      <c r="O298" s="7">
        <f t="shared" si="34"/>
        <v>38.879999999999988</v>
      </c>
      <c r="P298" s="45">
        <v>43959</v>
      </c>
    </row>
    <row r="299" spans="2:16" ht="15.75" x14ac:dyDescent="0.25">
      <c r="B299" s="2">
        <f t="shared" si="33"/>
        <v>-155.69999999999999</v>
      </c>
      <c r="C299" s="5" t="s">
        <v>22</v>
      </c>
      <c r="D299" s="7"/>
      <c r="E299" s="7"/>
      <c r="F299" s="10"/>
      <c r="G299" s="10"/>
      <c r="H299" s="10"/>
      <c r="I299" s="10"/>
      <c r="J299" s="7"/>
      <c r="K299" s="7"/>
      <c r="L299" s="7"/>
      <c r="M299" s="7">
        <f t="shared" si="39"/>
        <v>0</v>
      </c>
      <c r="N299" s="7">
        <v>155.69999999999999</v>
      </c>
      <c r="O299" s="7">
        <f t="shared" si="34"/>
        <v>0</v>
      </c>
      <c r="P299" s="45">
        <v>43965</v>
      </c>
    </row>
    <row r="300" spans="2:16" ht="15.75" x14ac:dyDescent="0.25">
      <c r="B300" s="2">
        <f t="shared" si="33"/>
        <v>-347.4</v>
      </c>
      <c r="C300" s="5" t="s">
        <v>507</v>
      </c>
      <c r="D300" s="7"/>
      <c r="E300" s="7"/>
      <c r="F300" s="10"/>
      <c r="G300" s="10"/>
      <c r="H300" s="10"/>
      <c r="I300" s="10"/>
      <c r="J300" s="7"/>
      <c r="K300" s="7"/>
      <c r="L300" s="7"/>
      <c r="M300" s="7">
        <f t="shared" si="39"/>
        <v>0</v>
      </c>
      <c r="N300" s="7">
        <v>347.4</v>
      </c>
      <c r="O300" s="7">
        <f t="shared" si="34"/>
        <v>0</v>
      </c>
      <c r="P300" s="45">
        <v>43964</v>
      </c>
    </row>
    <row r="301" spans="2:16" ht="15.75" x14ac:dyDescent="0.25">
      <c r="B301" s="2">
        <f t="shared" si="33"/>
        <v>0</v>
      </c>
      <c r="C301" s="5" t="s">
        <v>135</v>
      </c>
      <c r="D301" s="7">
        <v>26</v>
      </c>
      <c r="E301" s="7"/>
      <c r="F301" s="10"/>
      <c r="G301" s="10"/>
      <c r="H301" s="10"/>
      <c r="I301" s="10"/>
      <c r="J301" s="7"/>
      <c r="K301" s="7"/>
      <c r="L301" s="7"/>
      <c r="M301" s="7">
        <f t="shared" si="39"/>
        <v>26</v>
      </c>
      <c r="N301" s="7"/>
      <c r="O301" s="7">
        <f>N301+B301-M301</f>
        <v>-26</v>
      </c>
      <c r="P301" s="45"/>
    </row>
    <row r="302" spans="2:16" ht="15.75" x14ac:dyDescent="0.25">
      <c r="B302" s="2">
        <f t="shared" si="33"/>
        <v>0</v>
      </c>
      <c r="C302" s="5" t="s">
        <v>120</v>
      </c>
      <c r="D302" s="7"/>
      <c r="E302" s="7"/>
      <c r="F302" s="10"/>
      <c r="G302" s="10"/>
      <c r="H302" s="10"/>
      <c r="I302" s="10"/>
      <c r="J302" s="7"/>
      <c r="K302" s="7">
        <v>10.8</v>
      </c>
      <c r="L302" s="7"/>
      <c r="M302" s="7">
        <f t="shared" si="39"/>
        <v>10.8</v>
      </c>
      <c r="N302" s="7"/>
      <c r="O302" s="7">
        <f>N302+B302-M302</f>
        <v>-10.8</v>
      </c>
      <c r="P302" s="45"/>
    </row>
    <row r="303" spans="2:16" ht="15.75" x14ac:dyDescent="0.25">
      <c r="B303" s="2">
        <f t="shared" si="33"/>
        <v>-4795.9599999999991</v>
      </c>
      <c r="C303" s="6" t="s">
        <v>104</v>
      </c>
      <c r="D303" s="7">
        <f t="shared" ref="D303:H303" si="40">SUM(D248:D301)</f>
        <v>189.5</v>
      </c>
      <c r="E303" s="7">
        <f t="shared" si="40"/>
        <v>156.60000000000002</v>
      </c>
      <c r="F303" s="7">
        <f t="shared" si="40"/>
        <v>104.3</v>
      </c>
      <c r="G303" s="7">
        <f t="shared" si="40"/>
        <v>89.8</v>
      </c>
      <c r="H303" s="7">
        <f t="shared" si="40"/>
        <v>130.5</v>
      </c>
      <c r="I303" s="7">
        <f>SUM(I248:I302)</f>
        <v>101</v>
      </c>
      <c r="J303" s="7">
        <f>SUM(J248:J302)</f>
        <v>89.1</v>
      </c>
      <c r="K303" s="7">
        <f>SUM(K248:K302)</f>
        <v>333.88</v>
      </c>
      <c r="L303" s="7">
        <f t="shared" ref="L303" si="41">SUM(L248:L301)</f>
        <v>0</v>
      </c>
      <c r="M303" s="7">
        <f>SUM(M248:M302)</f>
        <v>1194.68</v>
      </c>
      <c r="N303" s="15">
        <f>SUM(N248:N302)</f>
        <v>1672.7600000000002</v>
      </c>
      <c r="O303" s="7">
        <f>SUM(O248:O302)</f>
        <v>-4317.88</v>
      </c>
      <c r="P303" s="43"/>
    </row>
    <row r="306" spans="2:16" ht="15.75" x14ac:dyDescent="0.25">
      <c r="B306" s="57" t="s">
        <v>510</v>
      </c>
      <c r="C306" s="63"/>
      <c r="D306" s="27">
        <v>42</v>
      </c>
      <c r="E306" s="27">
        <v>43</v>
      </c>
      <c r="F306" s="27">
        <v>44</v>
      </c>
      <c r="G306" s="27">
        <v>45</v>
      </c>
      <c r="H306" s="27">
        <v>46</v>
      </c>
      <c r="I306" s="27">
        <v>47</v>
      </c>
      <c r="J306" s="27">
        <v>48</v>
      </c>
      <c r="K306" s="27">
        <v>49</v>
      </c>
      <c r="L306" s="27"/>
      <c r="M306" s="57" t="s">
        <v>68</v>
      </c>
      <c r="N306" s="61" t="s">
        <v>137</v>
      </c>
      <c r="O306" s="57" t="s">
        <v>516</v>
      </c>
    </row>
    <row r="307" spans="2:16" ht="15.75" x14ac:dyDescent="0.25">
      <c r="B307" s="58"/>
      <c r="C307" s="64"/>
      <c r="D307" s="26">
        <v>3</v>
      </c>
      <c r="E307" s="26">
        <v>6</v>
      </c>
      <c r="F307" s="26">
        <v>10</v>
      </c>
      <c r="G307" s="26">
        <v>13</v>
      </c>
      <c r="H307" s="26">
        <v>17</v>
      </c>
      <c r="I307" s="26">
        <v>20</v>
      </c>
      <c r="J307" s="26">
        <v>24</v>
      </c>
      <c r="K307" s="26">
        <v>27</v>
      </c>
      <c r="L307" s="26"/>
      <c r="M307" s="58"/>
      <c r="N307" s="62"/>
      <c r="O307" s="58"/>
      <c r="P307" s="7"/>
    </row>
    <row r="308" spans="2:16" ht="15.75" x14ac:dyDescent="0.25">
      <c r="B308" s="2">
        <f>O248</f>
        <v>0</v>
      </c>
      <c r="C308" s="5" t="s">
        <v>123</v>
      </c>
      <c r="D308" s="6"/>
      <c r="E308" s="6"/>
      <c r="F308" s="6"/>
      <c r="G308" s="6"/>
      <c r="H308" s="6"/>
      <c r="I308" s="6"/>
      <c r="J308" s="6"/>
      <c r="K308" s="6"/>
      <c r="L308" s="6"/>
      <c r="M308" s="7">
        <f>SUM(D308:L308)</f>
        <v>0</v>
      </c>
      <c r="N308" s="7"/>
      <c r="O308" s="7">
        <f>N308+B308-M308</f>
        <v>0</v>
      </c>
      <c r="P308" s="38"/>
    </row>
    <row r="309" spans="2:16" ht="15.75" x14ac:dyDescent="0.25">
      <c r="B309" s="2">
        <f t="shared" ref="B309:B359" si="42">O249</f>
        <v>0</v>
      </c>
      <c r="C309" s="5" t="s">
        <v>125</v>
      </c>
      <c r="D309" s="6"/>
      <c r="E309" s="7"/>
      <c r="F309" s="6"/>
      <c r="G309" s="7"/>
      <c r="H309" s="6"/>
      <c r="I309" s="6"/>
      <c r="J309" s="7"/>
      <c r="K309" s="7"/>
      <c r="L309" s="7"/>
      <c r="M309" s="7">
        <f>SUM(D309:L309)</f>
        <v>0</v>
      </c>
      <c r="N309" s="7"/>
      <c r="O309" s="7">
        <f t="shared" ref="O309:O363" si="43">N309+B309-M309</f>
        <v>0</v>
      </c>
      <c r="P309" s="48"/>
    </row>
    <row r="310" spans="2:16" ht="15.75" x14ac:dyDescent="0.25">
      <c r="B310" s="2">
        <f t="shared" si="42"/>
        <v>-266.70000000000005</v>
      </c>
      <c r="C310" s="5" t="s">
        <v>194</v>
      </c>
      <c r="D310" s="7"/>
      <c r="E310" s="7">
        <v>26</v>
      </c>
      <c r="F310" s="7"/>
      <c r="G310" s="7"/>
      <c r="H310" s="7"/>
      <c r="I310" s="7">
        <v>26</v>
      </c>
      <c r="J310" s="7"/>
      <c r="K310" s="15"/>
      <c r="L310" s="7"/>
      <c r="M310" s="7">
        <f>SUM(D310:L310)</f>
        <v>52</v>
      </c>
      <c r="N310" s="7"/>
      <c r="O310" s="7">
        <f t="shared" si="43"/>
        <v>-318.70000000000005</v>
      </c>
      <c r="P310" s="52"/>
    </row>
    <row r="311" spans="2:16" ht="15.75" x14ac:dyDescent="0.25">
      <c r="B311" s="2">
        <f t="shared" si="42"/>
        <v>-108</v>
      </c>
      <c r="C311" s="5" t="s">
        <v>2</v>
      </c>
      <c r="D311" s="6"/>
      <c r="E311" s="7"/>
      <c r="F311" s="6"/>
      <c r="G311" s="7">
        <v>26</v>
      </c>
      <c r="H311" s="6"/>
      <c r="I311" s="7"/>
      <c r="J311" s="7"/>
      <c r="K311" s="7"/>
      <c r="L311" s="7"/>
      <c r="M311" s="7">
        <f>SUM(D311:L311)</f>
        <v>26</v>
      </c>
      <c r="N311" s="7">
        <v>108</v>
      </c>
      <c r="O311" s="7">
        <f t="shared" si="43"/>
        <v>-26</v>
      </c>
      <c r="P311" s="52">
        <v>10</v>
      </c>
    </row>
    <row r="312" spans="2:16" ht="15.75" x14ac:dyDescent="0.25">
      <c r="B312" s="2">
        <f t="shared" si="42"/>
        <v>0</v>
      </c>
      <c r="C312" s="5" t="s">
        <v>129</v>
      </c>
      <c r="D312" s="6"/>
      <c r="E312" s="7"/>
      <c r="F312" s="6"/>
      <c r="G312" s="6"/>
      <c r="H312" s="6"/>
      <c r="I312" s="7"/>
      <c r="J312" s="6"/>
      <c r="K312" s="7"/>
      <c r="L312" s="7"/>
      <c r="M312" s="7">
        <f t="shared" ref="M312:M329" si="44">SUM(D312:L312)</f>
        <v>0</v>
      </c>
      <c r="N312" s="7"/>
      <c r="O312" s="7">
        <f t="shared" si="43"/>
        <v>0</v>
      </c>
      <c r="P312" s="48"/>
    </row>
    <row r="313" spans="2:16" ht="15.75" x14ac:dyDescent="0.25">
      <c r="B313" s="2">
        <f t="shared" si="42"/>
        <v>-25</v>
      </c>
      <c r="C313" s="5" t="s">
        <v>195</v>
      </c>
      <c r="D313" s="6"/>
      <c r="E313" s="7"/>
      <c r="F313" s="6"/>
      <c r="G313" s="6"/>
      <c r="H313" s="6"/>
      <c r="I313" s="7"/>
      <c r="J313" s="7"/>
      <c r="K313" s="7"/>
      <c r="L313" s="7"/>
      <c r="M313" s="7">
        <f t="shared" si="44"/>
        <v>0</v>
      </c>
      <c r="N313" s="7"/>
      <c r="O313" s="7">
        <f t="shared" si="43"/>
        <v>-25</v>
      </c>
      <c r="P313" s="48"/>
    </row>
    <row r="314" spans="2:16" ht="15.75" x14ac:dyDescent="0.25">
      <c r="B314" s="2">
        <f t="shared" si="42"/>
        <v>20</v>
      </c>
      <c r="C314" s="5" t="s">
        <v>128</v>
      </c>
      <c r="D314" s="7">
        <v>26</v>
      </c>
      <c r="E314" s="7"/>
      <c r="F314" s="7"/>
      <c r="G314" s="7"/>
      <c r="H314" s="7"/>
      <c r="I314" s="7"/>
      <c r="J314" s="7"/>
      <c r="K314" s="7"/>
      <c r="L314" s="7"/>
      <c r="M314" s="7">
        <f t="shared" si="44"/>
        <v>26</v>
      </c>
      <c r="N314" s="7">
        <v>26</v>
      </c>
      <c r="O314" s="7">
        <f t="shared" si="43"/>
        <v>20</v>
      </c>
      <c r="P314" s="48">
        <v>18</v>
      </c>
    </row>
    <row r="315" spans="2:16" ht="15.75" x14ac:dyDescent="0.25">
      <c r="B315" s="2">
        <f t="shared" si="42"/>
        <v>-285.2</v>
      </c>
      <c r="C315" s="5" t="s">
        <v>127</v>
      </c>
      <c r="D315" s="6">
        <v>26</v>
      </c>
      <c r="E315" s="7"/>
      <c r="F315" s="7"/>
      <c r="G315" s="7"/>
      <c r="H315" s="6"/>
      <c r="I315" s="7"/>
      <c r="J315" s="6"/>
      <c r="K315" s="7"/>
      <c r="L315" s="7"/>
      <c r="M315" s="7">
        <f t="shared" si="44"/>
        <v>26</v>
      </c>
      <c r="N315" s="7"/>
      <c r="O315" s="7">
        <f t="shared" si="43"/>
        <v>-311.2</v>
      </c>
      <c r="P315" s="48"/>
    </row>
    <row r="316" spans="2:16" ht="15.75" x14ac:dyDescent="0.25">
      <c r="B316" s="2">
        <f t="shared" si="42"/>
        <v>-26</v>
      </c>
      <c r="C316" s="5" t="s">
        <v>126</v>
      </c>
      <c r="D316" s="6"/>
      <c r="E316" s="7"/>
      <c r="F316" s="6"/>
      <c r="G316" s="6"/>
      <c r="H316" s="6"/>
      <c r="I316" s="7"/>
      <c r="J316" s="6"/>
      <c r="K316" s="7"/>
      <c r="L316" s="7"/>
      <c r="M316" s="7">
        <f t="shared" si="44"/>
        <v>0</v>
      </c>
      <c r="N316" s="7">
        <v>52</v>
      </c>
      <c r="O316" s="7">
        <f t="shared" si="43"/>
        <v>26</v>
      </c>
      <c r="P316" s="48">
        <v>1</v>
      </c>
    </row>
    <row r="317" spans="2:16" ht="15.75" x14ac:dyDescent="0.25">
      <c r="B317" s="2">
        <f t="shared" si="42"/>
        <v>-528.20000000000005</v>
      </c>
      <c r="C317" s="5" t="s">
        <v>130</v>
      </c>
      <c r="D317" s="7"/>
      <c r="E317" s="7"/>
      <c r="F317" s="7"/>
      <c r="G317" s="7"/>
      <c r="H317" s="7"/>
      <c r="I317" s="7"/>
      <c r="J317" s="6"/>
      <c r="K317" s="7"/>
      <c r="L317" s="7"/>
      <c r="M317" s="7">
        <f t="shared" si="44"/>
        <v>0</v>
      </c>
      <c r="N317" s="7"/>
      <c r="O317" s="7">
        <f t="shared" si="43"/>
        <v>-528.20000000000005</v>
      </c>
      <c r="P317" s="48"/>
    </row>
    <row r="318" spans="2:16" ht="15.75" x14ac:dyDescent="0.25">
      <c r="B318" s="2">
        <f t="shared" si="42"/>
        <v>-305.13</v>
      </c>
      <c r="C318" s="5" t="s">
        <v>131</v>
      </c>
      <c r="D318" s="7">
        <v>57.6</v>
      </c>
      <c r="E318" s="7"/>
      <c r="F318" s="7"/>
      <c r="G318" s="7"/>
      <c r="H318" s="7"/>
      <c r="I318" s="7"/>
      <c r="J318" s="7"/>
      <c r="K318" s="7"/>
      <c r="L318" s="7"/>
      <c r="M318" s="7">
        <f t="shared" si="44"/>
        <v>57.6</v>
      </c>
      <c r="N318" s="7">
        <v>246.8</v>
      </c>
      <c r="O318" s="7">
        <f t="shared" si="43"/>
        <v>-115.92999999999998</v>
      </c>
      <c r="P318" s="49">
        <v>10</v>
      </c>
    </row>
    <row r="319" spans="2:16" ht="15.75" x14ac:dyDescent="0.25">
      <c r="B319" s="2">
        <f t="shared" si="42"/>
        <v>-45</v>
      </c>
      <c r="C319" s="5" t="s">
        <v>132</v>
      </c>
      <c r="D319" s="7"/>
      <c r="E319" s="7">
        <v>26</v>
      </c>
      <c r="F319" s="7">
        <v>26</v>
      </c>
      <c r="G319" s="7">
        <v>26</v>
      </c>
      <c r="H319" s="7"/>
      <c r="I319" s="7"/>
      <c r="J319" s="7">
        <v>26</v>
      </c>
      <c r="K319" s="7"/>
      <c r="L319" s="7"/>
      <c r="M319" s="7">
        <f t="shared" si="44"/>
        <v>104</v>
      </c>
      <c r="N319" s="7">
        <v>97</v>
      </c>
      <c r="O319" s="7">
        <f t="shared" si="43"/>
        <v>-52</v>
      </c>
      <c r="P319" s="49">
        <v>11</v>
      </c>
    </row>
    <row r="320" spans="2:16" ht="15.75" x14ac:dyDescent="0.25">
      <c r="B320" s="2">
        <f t="shared" si="42"/>
        <v>-266.29999999999995</v>
      </c>
      <c r="C320" s="5" t="s">
        <v>9</v>
      </c>
      <c r="D320" s="6"/>
      <c r="E320" s="7"/>
      <c r="F320" s="7"/>
      <c r="G320" s="7"/>
      <c r="H320" s="7"/>
      <c r="I320" s="6"/>
      <c r="J320" s="7"/>
      <c r="K320" s="7"/>
      <c r="L320" s="7"/>
      <c r="M320" s="7">
        <f t="shared" si="44"/>
        <v>0</v>
      </c>
      <c r="N320" s="7"/>
      <c r="O320" s="7">
        <f t="shared" si="43"/>
        <v>-266.29999999999995</v>
      </c>
      <c r="P320" s="49"/>
    </row>
    <row r="321" spans="2:16" ht="15.75" x14ac:dyDescent="0.25">
      <c r="B321" s="2">
        <f t="shared" si="42"/>
        <v>-85</v>
      </c>
      <c r="C321" s="5" t="s">
        <v>133</v>
      </c>
      <c r="D321" s="7"/>
      <c r="E321" s="7"/>
      <c r="F321" s="7"/>
      <c r="G321" s="7"/>
      <c r="H321" s="7"/>
      <c r="I321" s="7"/>
      <c r="J321" s="7"/>
      <c r="K321" s="7"/>
      <c r="L321" s="7"/>
      <c r="M321" s="7">
        <f t="shared" si="44"/>
        <v>0</v>
      </c>
      <c r="N321" s="8">
        <v>100</v>
      </c>
      <c r="O321" s="7">
        <f t="shared" si="43"/>
        <v>15</v>
      </c>
      <c r="P321" s="48">
        <v>17</v>
      </c>
    </row>
    <row r="322" spans="2:16" ht="15.75" x14ac:dyDescent="0.25">
      <c r="B322" s="2">
        <f t="shared" si="42"/>
        <v>-225.8</v>
      </c>
      <c r="C322" s="5" t="s">
        <v>96</v>
      </c>
      <c r="D322" s="7"/>
      <c r="E322" s="7"/>
      <c r="F322" s="7"/>
      <c r="G322" s="7"/>
      <c r="H322" s="7"/>
      <c r="I322" s="7">
        <v>26</v>
      </c>
      <c r="J322" s="7">
        <v>20</v>
      </c>
      <c r="K322" s="7"/>
      <c r="L322" s="7"/>
      <c r="M322" s="7">
        <f t="shared" si="44"/>
        <v>46</v>
      </c>
      <c r="N322" s="7">
        <v>120.3</v>
      </c>
      <c r="O322" s="7">
        <f t="shared" si="43"/>
        <v>-151.5</v>
      </c>
      <c r="P322" s="49">
        <v>11</v>
      </c>
    </row>
    <row r="323" spans="2:16" ht="15.75" x14ac:dyDescent="0.25">
      <c r="B323" s="2">
        <f t="shared" si="42"/>
        <v>0</v>
      </c>
      <c r="C323" s="5" t="s">
        <v>134</v>
      </c>
      <c r="D323" s="7"/>
      <c r="E323" s="7">
        <v>26</v>
      </c>
      <c r="F323" s="6"/>
      <c r="G323" s="7"/>
      <c r="H323" s="6"/>
      <c r="I323" s="7"/>
      <c r="J323" s="7"/>
      <c r="K323" s="7"/>
      <c r="L323" s="7"/>
      <c r="M323" s="7">
        <f t="shared" si="44"/>
        <v>26</v>
      </c>
      <c r="N323" s="7"/>
      <c r="O323" s="7">
        <f t="shared" si="43"/>
        <v>-26</v>
      </c>
      <c r="P323" s="48"/>
    </row>
    <row r="324" spans="2:16" ht="15.75" x14ac:dyDescent="0.25">
      <c r="B324" s="2">
        <f t="shared" si="42"/>
        <v>26.100000000000009</v>
      </c>
      <c r="C324" s="5" t="s">
        <v>99</v>
      </c>
      <c r="D324" s="7"/>
      <c r="E324" s="7"/>
      <c r="F324" s="6"/>
      <c r="G324" s="7"/>
      <c r="H324" s="6"/>
      <c r="I324" s="7"/>
      <c r="J324" s="6"/>
      <c r="K324" s="6"/>
      <c r="L324" s="7"/>
      <c r="M324" s="7">
        <f t="shared" si="44"/>
        <v>0</v>
      </c>
      <c r="N324" s="7"/>
      <c r="O324" s="7">
        <f t="shared" si="43"/>
        <v>26.100000000000009</v>
      </c>
      <c r="P324" s="48"/>
    </row>
    <row r="325" spans="2:16" ht="15.75" x14ac:dyDescent="0.25">
      <c r="B325" s="2">
        <f t="shared" si="42"/>
        <v>-396.28999999999996</v>
      </c>
      <c r="C325" s="5" t="s">
        <v>53</v>
      </c>
      <c r="D325" s="7"/>
      <c r="E325" s="7"/>
      <c r="F325" s="7"/>
      <c r="G325" s="7"/>
      <c r="H325" s="7">
        <v>12.6</v>
      </c>
      <c r="I325" s="7"/>
      <c r="J325" s="7"/>
      <c r="K325" s="7"/>
      <c r="L325" s="7"/>
      <c r="M325" s="7">
        <f t="shared" si="44"/>
        <v>12.6</v>
      </c>
      <c r="N325" s="7"/>
      <c r="O325" s="7">
        <f t="shared" si="43"/>
        <v>-408.89</v>
      </c>
      <c r="P325" s="48"/>
    </row>
    <row r="326" spans="2:16" ht="15.75" x14ac:dyDescent="0.25">
      <c r="B326" s="2">
        <f t="shared" si="42"/>
        <v>-104.39999999999998</v>
      </c>
      <c r="C326" s="5" t="s">
        <v>33</v>
      </c>
      <c r="D326" s="7">
        <v>17.100000000000001</v>
      </c>
      <c r="E326" s="7"/>
      <c r="F326" s="7"/>
      <c r="G326" s="7"/>
      <c r="H326" s="7"/>
      <c r="I326" s="7">
        <v>14.4</v>
      </c>
      <c r="J326" s="7"/>
      <c r="K326" s="7"/>
      <c r="L326" s="7"/>
      <c r="M326" s="7">
        <f t="shared" si="44"/>
        <v>31.5</v>
      </c>
      <c r="N326" s="7">
        <f>17.1+88.2</f>
        <v>105.30000000000001</v>
      </c>
      <c r="O326" s="7">
        <f t="shared" si="43"/>
        <v>-30.599999999999966</v>
      </c>
      <c r="P326" s="48" t="s">
        <v>521</v>
      </c>
    </row>
    <row r="327" spans="2:16" ht="15.75" x14ac:dyDescent="0.25">
      <c r="B327" s="2">
        <f t="shared" si="42"/>
        <v>-36</v>
      </c>
      <c r="C327" s="5" t="s">
        <v>480</v>
      </c>
      <c r="D327" s="7"/>
      <c r="E327" s="7"/>
      <c r="F327" s="7"/>
      <c r="G327" s="7"/>
      <c r="H327" s="7"/>
      <c r="I327" s="7"/>
      <c r="J327" s="7"/>
      <c r="K327" s="7"/>
      <c r="L327" s="7"/>
      <c r="M327" s="7">
        <f t="shared" si="44"/>
        <v>0</v>
      </c>
      <c r="N327" s="7"/>
      <c r="O327" s="7">
        <f t="shared" si="43"/>
        <v>-36</v>
      </c>
      <c r="P327" s="48"/>
    </row>
    <row r="328" spans="2:16" ht="15.75" x14ac:dyDescent="0.25">
      <c r="B328" s="2">
        <f t="shared" si="42"/>
        <v>0.20000000000000284</v>
      </c>
      <c r="C328" s="5" t="s">
        <v>23</v>
      </c>
      <c r="D328" s="7"/>
      <c r="E328" s="7"/>
      <c r="F328" s="10"/>
      <c r="G328" s="10"/>
      <c r="H328" s="10"/>
      <c r="I328" s="10">
        <v>23.4</v>
      </c>
      <c r="J328" s="7"/>
      <c r="K328" s="7"/>
      <c r="L328" s="7"/>
      <c r="M328" s="7">
        <f t="shared" si="44"/>
        <v>23.4</v>
      </c>
      <c r="N328" s="7">
        <v>23.4</v>
      </c>
      <c r="O328" s="7">
        <f t="shared" si="43"/>
        <v>0.20000000000000284</v>
      </c>
      <c r="P328" s="48">
        <v>29</v>
      </c>
    </row>
    <row r="329" spans="2:16" ht="15.75" x14ac:dyDescent="0.25">
      <c r="B329" s="2">
        <f t="shared" si="42"/>
        <v>-25.200000000000003</v>
      </c>
      <c r="C329" s="5" t="s">
        <v>24</v>
      </c>
      <c r="D329" s="7"/>
      <c r="E329" s="7"/>
      <c r="F329" s="10"/>
      <c r="G329" s="10"/>
      <c r="H329" s="10"/>
      <c r="I329" s="10"/>
      <c r="J329" s="7"/>
      <c r="K329" s="7"/>
      <c r="L329" s="7"/>
      <c r="M329" s="7">
        <f t="shared" si="44"/>
        <v>0</v>
      </c>
      <c r="N329" s="7"/>
      <c r="O329" s="7">
        <f t="shared" si="43"/>
        <v>-25.200000000000003</v>
      </c>
      <c r="P329" s="48"/>
    </row>
    <row r="330" spans="2:16" ht="15.75" x14ac:dyDescent="0.25">
      <c r="B330" s="2">
        <f t="shared" si="42"/>
        <v>0</v>
      </c>
      <c r="C330" s="5" t="s">
        <v>513</v>
      </c>
      <c r="D330" s="7"/>
      <c r="E330" s="7"/>
      <c r="F330" s="10">
        <v>11.7</v>
      </c>
      <c r="G330" s="10"/>
      <c r="H330" s="10"/>
      <c r="I330" s="10"/>
      <c r="J330" s="7"/>
      <c r="K330" s="7"/>
      <c r="L330" s="7"/>
      <c r="M330" s="7">
        <f>SUM(D330:L330)</f>
        <v>11.7</v>
      </c>
      <c r="N330" s="7"/>
      <c r="O330" s="7">
        <f t="shared" si="43"/>
        <v>-11.7</v>
      </c>
      <c r="P330" s="48"/>
    </row>
    <row r="331" spans="2:16" ht="15.75" x14ac:dyDescent="0.25">
      <c r="B331" s="2">
        <f t="shared" si="42"/>
        <v>0</v>
      </c>
      <c r="C331" s="5" t="s">
        <v>25</v>
      </c>
      <c r="D331" s="7"/>
      <c r="E331" s="7"/>
      <c r="F331" s="10"/>
      <c r="G331" s="10"/>
      <c r="H331" s="10"/>
      <c r="I331" s="10">
        <v>113.4</v>
      </c>
      <c r="J331" s="7"/>
      <c r="K331" s="7"/>
      <c r="L331" s="7"/>
      <c r="M331" s="7">
        <f>SUM(D331:L331)</f>
        <v>113.4</v>
      </c>
      <c r="N331" s="7">
        <v>113.4</v>
      </c>
      <c r="O331" s="7">
        <f t="shared" si="43"/>
        <v>0</v>
      </c>
      <c r="P331" s="48">
        <v>29</v>
      </c>
    </row>
    <row r="332" spans="2:16" ht="15.75" x14ac:dyDescent="0.25">
      <c r="B332" s="2">
        <f t="shared" si="42"/>
        <v>-41.399999999999984</v>
      </c>
      <c r="C332" s="5" t="s">
        <v>27</v>
      </c>
      <c r="D332" s="7"/>
      <c r="E332" s="7"/>
      <c r="F332" s="10"/>
      <c r="G332" s="10"/>
      <c r="H332" s="10"/>
      <c r="I332" s="10"/>
      <c r="J332" s="7"/>
      <c r="K332" s="7"/>
      <c r="L332" s="7"/>
      <c r="M332" s="7">
        <f>SUM(D332:L332)</f>
        <v>0</v>
      </c>
      <c r="N332" s="7"/>
      <c r="O332" s="7">
        <f t="shared" si="43"/>
        <v>-41.399999999999984</v>
      </c>
      <c r="P332" s="48"/>
    </row>
    <row r="333" spans="2:16" ht="15.75" x14ac:dyDescent="0.25">
      <c r="B333" s="2">
        <f t="shared" si="42"/>
        <v>52.06</v>
      </c>
      <c r="C333" s="5" t="s">
        <v>29</v>
      </c>
      <c r="D333" s="7"/>
      <c r="E333" s="7"/>
      <c r="F333" s="10"/>
      <c r="G333" s="10"/>
      <c r="H333" s="10"/>
      <c r="I333" s="10"/>
      <c r="J333" s="7"/>
      <c r="K333" s="7">
        <v>72</v>
      </c>
      <c r="L333" s="7"/>
      <c r="M333" s="7">
        <f t="shared" ref="M333:M334" si="45">SUM(D333:L333)</f>
        <v>72</v>
      </c>
      <c r="N333" s="7">
        <v>100</v>
      </c>
      <c r="O333" s="7">
        <f t="shared" si="43"/>
        <v>80.06</v>
      </c>
      <c r="P333" s="48">
        <v>16</v>
      </c>
    </row>
    <row r="334" spans="2:16" ht="15.75" x14ac:dyDescent="0.25">
      <c r="B334" s="2">
        <f t="shared" si="42"/>
        <v>-64.200000000000045</v>
      </c>
      <c r="C334" s="5" t="s">
        <v>30</v>
      </c>
      <c r="D334" s="7"/>
      <c r="E334" s="7"/>
      <c r="F334" s="10"/>
      <c r="G334" s="10"/>
      <c r="H334" s="10"/>
      <c r="I334" s="10"/>
      <c r="J334" s="7"/>
      <c r="K334" s="7"/>
      <c r="L334" s="7"/>
      <c r="M334" s="7">
        <f t="shared" si="45"/>
        <v>0</v>
      </c>
      <c r="N334" s="7"/>
      <c r="O334" s="7">
        <f t="shared" si="43"/>
        <v>-64.200000000000045</v>
      </c>
      <c r="P334" s="48"/>
    </row>
    <row r="335" spans="2:16" ht="15.75" x14ac:dyDescent="0.25">
      <c r="B335" s="2">
        <f t="shared" si="42"/>
        <v>0</v>
      </c>
      <c r="C335" s="5" t="s">
        <v>356</v>
      </c>
      <c r="D335" s="7"/>
      <c r="E335" s="7"/>
      <c r="F335" s="10"/>
      <c r="G335" s="10"/>
      <c r="H335" s="10"/>
      <c r="I335" s="10"/>
      <c r="J335" s="7"/>
      <c r="K335" s="7"/>
      <c r="L335" s="7"/>
      <c r="M335" s="7">
        <f>SUM(D335:L335)</f>
        <v>0</v>
      </c>
      <c r="N335" s="7"/>
      <c r="O335" s="7">
        <f t="shared" si="43"/>
        <v>0</v>
      </c>
      <c r="P335" s="48"/>
    </row>
    <row r="336" spans="2:16" ht="15.75" x14ac:dyDescent="0.25">
      <c r="B336" s="2">
        <f t="shared" si="42"/>
        <v>43</v>
      </c>
      <c r="C336" s="5" t="s">
        <v>101</v>
      </c>
      <c r="D336" s="7">
        <v>26</v>
      </c>
      <c r="E336" s="7"/>
      <c r="F336" s="10">
        <v>26</v>
      </c>
      <c r="G336" s="10"/>
      <c r="H336" s="10"/>
      <c r="I336" s="10"/>
      <c r="J336" s="7"/>
      <c r="K336" s="7"/>
      <c r="L336" s="7"/>
      <c r="M336" s="7">
        <f t="shared" ref="M336:M349" si="46">SUM(D336:L336)</f>
        <v>52</v>
      </c>
      <c r="N336" s="7">
        <f>26+26</f>
        <v>52</v>
      </c>
      <c r="O336" s="7">
        <f t="shared" si="43"/>
        <v>43</v>
      </c>
      <c r="P336" s="48" t="s">
        <v>520</v>
      </c>
    </row>
    <row r="337" spans="2:16" ht="15.75" x14ac:dyDescent="0.25">
      <c r="B337" s="2">
        <f t="shared" si="42"/>
        <v>-52.8</v>
      </c>
      <c r="C337" s="5" t="s">
        <v>41</v>
      </c>
      <c r="D337" s="6"/>
      <c r="E337" s="7"/>
      <c r="F337" s="10"/>
      <c r="G337" s="10"/>
      <c r="H337" s="10"/>
      <c r="I337" s="10"/>
      <c r="J337" s="7"/>
      <c r="K337" s="7"/>
      <c r="L337" s="7"/>
      <c r="M337" s="7">
        <f t="shared" si="46"/>
        <v>0</v>
      </c>
      <c r="N337" s="7"/>
      <c r="O337" s="7">
        <f t="shared" si="43"/>
        <v>-52.8</v>
      </c>
      <c r="P337" s="48"/>
    </row>
    <row r="338" spans="2:16" ht="15.75" x14ac:dyDescent="0.25">
      <c r="B338" s="2">
        <f t="shared" si="42"/>
        <v>-20</v>
      </c>
      <c r="C338" s="5" t="s">
        <v>102</v>
      </c>
      <c r="D338" s="7"/>
      <c r="E338" s="7"/>
      <c r="F338" s="10"/>
      <c r="G338" s="10"/>
      <c r="H338" s="10"/>
      <c r="I338" s="10"/>
      <c r="J338" s="7"/>
      <c r="K338" s="7"/>
      <c r="L338" s="7"/>
      <c r="M338" s="7">
        <f t="shared" si="46"/>
        <v>0</v>
      </c>
      <c r="N338" s="7"/>
      <c r="O338" s="7">
        <f t="shared" si="43"/>
        <v>-20</v>
      </c>
      <c r="P338" s="48"/>
    </row>
    <row r="339" spans="2:16" ht="15.75" x14ac:dyDescent="0.25">
      <c r="B339" s="2">
        <f t="shared" si="42"/>
        <v>-92.5</v>
      </c>
      <c r="C339" s="5" t="s">
        <v>45</v>
      </c>
      <c r="D339" s="7"/>
      <c r="E339" s="7"/>
      <c r="F339" s="10"/>
      <c r="G339" s="10"/>
      <c r="H339" s="10">
        <v>26</v>
      </c>
      <c r="I339" s="10"/>
      <c r="J339" s="7"/>
      <c r="K339" s="7"/>
      <c r="L339" s="7"/>
      <c r="M339" s="7">
        <f t="shared" si="46"/>
        <v>26</v>
      </c>
      <c r="N339" s="7"/>
      <c r="O339" s="7">
        <f t="shared" si="43"/>
        <v>-118.5</v>
      </c>
      <c r="P339" s="48"/>
    </row>
    <row r="340" spans="2:16" ht="15.75" x14ac:dyDescent="0.25">
      <c r="B340" s="2">
        <f t="shared" si="42"/>
        <v>-51.900000000000006</v>
      </c>
      <c r="C340" s="5" t="s">
        <v>46</v>
      </c>
      <c r="D340" s="7"/>
      <c r="E340" s="7">
        <v>20</v>
      </c>
      <c r="F340" s="10"/>
      <c r="G340" s="10"/>
      <c r="H340" s="10"/>
      <c r="I340" s="10"/>
      <c r="J340" s="7"/>
      <c r="K340" s="7"/>
      <c r="L340" s="7"/>
      <c r="M340" s="7">
        <f t="shared" si="46"/>
        <v>20</v>
      </c>
      <c r="N340" s="7">
        <v>45</v>
      </c>
      <c r="O340" s="7">
        <f t="shared" si="43"/>
        <v>-26.900000000000006</v>
      </c>
      <c r="P340" s="48">
        <v>12</v>
      </c>
    </row>
    <row r="341" spans="2:16" ht="15.75" x14ac:dyDescent="0.25">
      <c r="B341" s="2">
        <f t="shared" si="42"/>
        <v>14.2</v>
      </c>
      <c r="C341" s="5" t="s">
        <v>79</v>
      </c>
      <c r="D341" s="7"/>
      <c r="E341" s="7">
        <v>20</v>
      </c>
      <c r="F341" s="10"/>
      <c r="G341" s="10"/>
      <c r="H341" s="10"/>
      <c r="I341" s="10"/>
      <c r="J341" s="7"/>
      <c r="K341" s="7"/>
      <c r="L341" s="7"/>
      <c r="M341" s="7">
        <f t="shared" si="46"/>
        <v>20</v>
      </c>
      <c r="N341" s="7"/>
      <c r="O341" s="7">
        <f t="shared" si="43"/>
        <v>-5.8000000000000007</v>
      </c>
      <c r="P341" s="48"/>
    </row>
    <row r="342" spans="2:16" ht="15.75" x14ac:dyDescent="0.25">
      <c r="B342" s="2">
        <f t="shared" si="42"/>
        <v>1</v>
      </c>
      <c r="C342" s="5" t="s">
        <v>261</v>
      </c>
      <c r="D342" s="7"/>
      <c r="E342" s="6"/>
      <c r="F342" s="10"/>
      <c r="G342" s="10"/>
      <c r="H342" s="10"/>
      <c r="I342" s="10"/>
      <c r="J342" s="7"/>
      <c r="K342" s="7"/>
      <c r="L342" s="7"/>
      <c r="M342" s="7">
        <f t="shared" si="46"/>
        <v>0</v>
      </c>
      <c r="N342" s="7"/>
      <c r="O342" s="7">
        <f t="shared" si="43"/>
        <v>1</v>
      </c>
      <c r="P342" s="48"/>
    </row>
    <row r="343" spans="2:16" ht="15.75" x14ac:dyDescent="0.25">
      <c r="B343" s="2">
        <f t="shared" si="42"/>
        <v>-1125.4999999999995</v>
      </c>
      <c r="C343" s="5" t="s">
        <v>103</v>
      </c>
      <c r="D343" s="6"/>
      <c r="E343" s="7"/>
      <c r="F343" s="10"/>
      <c r="G343" s="10">
        <v>58.5</v>
      </c>
      <c r="H343" s="10">
        <v>109.8</v>
      </c>
      <c r="I343" s="10">
        <v>51.3</v>
      </c>
      <c r="J343" s="7"/>
      <c r="K343" s="7">
        <v>14.4</v>
      </c>
      <c r="L343" s="7"/>
      <c r="M343" s="7">
        <f t="shared" si="46"/>
        <v>234.00000000000003</v>
      </c>
      <c r="N343" s="7">
        <v>300</v>
      </c>
      <c r="O343" s="7">
        <f t="shared" si="43"/>
        <v>-1059.4999999999995</v>
      </c>
      <c r="P343" s="48">
        <v>9</v>
      </c>
    </row>
    <row r="344" spans="2:16" ht="15.75" x14ac:dyDescent="0.25">
      <c r="B344" s="2">
        <f t="shared" si="42"/>
        <v>0</v>
      </c>
      <c r="C344" s="5" t="s">
        <v>211</v>
      </c>
      <c r="D344" s="6"/>
      <c r="E344" s="7"/>
      <c r="F344" s="47"/>
      <c r="G344" s="10"/>
      <c r="H344" s="10"/>
      <c r="I344" s="10"/>
      <c r="J344" s="7"/>
      <c r="K344" s="7"/>
      <c r="L344" s="7"/>
      <c r="M344" s="7">
        <f t="shared" si="46"/>
        <v>0</v>
      </c>
      <c r="N344" s="7"/>
      <c r="O344" s="7">
        <f t="shared" si="43"/>
        <v>0</v>
      </c>
      <c r="P344" s="48"/>
    </row>
    <row r="345" spans="2:16" ht="15.75" x14ac:dyDescent="0.25">
      <c r="B345" s="2">
        <f t="shared" si="42"/>
        <v>-26</v>
      </c>
      <c r="C345" s="5" t="s">
        <v>139</v>
      </c>
      <c r="D345" s="7"/>
      <c r="E345" s="7"/>
      <c r="F345" s="47"/>
      <c r="G345" s="10"/>
      <c r="H345" s="10">
        <v>26</v>
      </c>
      <c r="I345" s="10">
        <v>25</v>
      </c>
      <c r="J345" s="7"/>
      <c r="K345" s="7"/>
      <c r="L345" s="7"/>
      <c r="M345" s="7">
        <f t="shared" si="46"/>
        <v>51</v>
      </c>
      <c r="N345" s="7">
        <v>26</v>
      </c>
      <c r="O345" s="7">
        <f t="shared" si="43"/>
        <v>-51</v>
      </c>
      <c r="P345" s="48">
        <v>15</v>
      </c>
    </row>
    <row r="346" spans="2:16" ht="15.75" x14ac:dyDescent="0.25">
      <c r="B346" s="2">
        <f t="shared" si="42"/>
        <v>-45</v>
      </c>
      <c r="C346" s="5" t="s">
        <v>31</v>
      </c>
      <c r="D346" s="7">
        <v>50</v>
      </c>
      <c r="E346" s="7"/>
      <c r="F346" s="10"/>
      <c r="G346" s="10"/>
      <c r="H346" s="10"/>
      <c r="I346" s="10">
        <v>86.4</v>
      </c>
      <c r="J346" s="7">
        <v>46</v>
      </c>
      <c r="K346" s="7"/>
      <c r="L346" s="7"/>
      <c r="M346" s="7">
        <f t="shared" si="46"/>
        <v>182.4</v>
      </c>
      <c r="N346" s="7">
        <f>100+132.4</f>
        <v>232.4</v>
      </c>
      <c r="O346" s="7">
        <f t="shared" si="43"/>
        <v>5</v>
      </c>
      <c r="P346" s="48">
        <v>19.29</v>
      </c>
    </row>
    <row r="347" spans="2:16" ht="15.75" x14ac:dyDescent="0.25">
      <c r="B347" s="2">
        <f t="shared" si="42"/>
        <v>-26</v>
      </c>
      <c r="C347" s="5" t="s">
        <v>37</v>
      </c>
      <c r="D347" s="7"/>
      <c r="E347" s="7"/>
      <c r="F347" s="10"/>
      <c r="G347" s="10"/>
      <c r="H347" s="10"/>
      <c r="I347" s="10"/>
      <c r="J347" s="7"/>
      <c r="K347" s="7"/>
      <c r="L347" s="7"/>
      <c r="M347" s="7">
        <f t="shared" si="46"/>
        <v>0</v>
      </c>
      <c r="N347" s="7">
        <v>26</v>
      </c>
      <c r="O347" s="7">
        <f t="shared" si="43"/>
        <v>0</v>
      </c>
      <c r="P347" s="48">
        <v>25</v>
      </c>
    </row>
    <row r="348" spans="2:16" ht="15.75" x14ac:dyDescent="0.25">
      <c r="B348" s="2">
        <f t="shared" si="42"/>
        <v>0</v>
      </c>
      <c r="C348" s="5" t="s">
        <v>105</v>
      </c>
      <c r="D348" s="7"/>
      <c r="E348" s="7"/>
      <c r="F348" s="10"/>
      <c r="G348" s="10"/>
      <c r="H348" s="10"/>
      <c r="I348" s="10"/>
      <c r="J348" s="7"/>
      <c r="K348" s="7"/>
      <c r="L348" s="7"/>
      <c r="M348" s="7">
        <f t="shared" si="46"/>
        <v>0</v>
      </c>
      <c r="N348" s="7"/>
      <c r="O348" s="7">
        <f t="shared" si="43"/>
        <v>0</v>
      </c>
      <c r="P348" s="48"/>
    </row>
    <row r="349" spans="2:16" ht="15.75" x14ac:dyDescent="0.25">
      <c r="B349" s="2">
        <f t="shared" si="42"/>
        <v>0</v>
      </c>
      <c r="C349" s="5" t="s">
        <v>19</v>
      </c>
      <c r="D349" s="7"/>
      <c r="E349" s="7"/>
      <c r="F349" s="10">
        <v>26</v>
      </c>
      <c r="G349" s="10"/>
      <c r="H349" s="10"/>
      <c r="I349" s="10">
        <v>26</v>
      </c>
      <c r="J349" s="7"/>
      <c r="K349" s="7"/>
      <c r="L349" s="7"/>
      <c r="M349" s="7">
        <f t="shared" si="46"/>
        <v>52</v>
      </c>
      <c r="N349" s="7">
        <v>26</v>
      </c>
      <c r="O349" s="7">
        <f t="shared" si="43"/>
        <v>-26</v>
      </c>
      <c r="P349" s="48">
        <v>17</v>
      </c>
    </row>
    <row r="350" spans="2:16" ht="15.75" x14ac:dyDescent="0.25">
      <c r="B350" s="2">
        <f t="shared" si="42"/>
        <v>7</v>
      </c>
      <c r="C350" s="5" t="s">
        <v>136</v>
      </c>
      <c r="D350" s="7"/>
      <c r="E350" s="7"/>
      <c r="F350" s="10"/>
      <c r="G350" s="10"/>
      <c r="H350" s="10"/>
      <c r="I350" s="10"/>
      <c r="J350" s="7"/>
      <c r="K350" s="7"/>
      <c r="L350" s="7"/>
      <c r="M350" s="7">
        <f>SUM(D350:L350)</f>
        <v>0</v>
      </c>
      <c r="N350" s="7"/>
      <c r="O350" s="8">
        <f t="shared" si="43"/>
        <v>7</v>
      </c>
      <c r="P350" s="48"/>
    </row>
    <row r="351" spans="2:16" ht="15.75" x14ac:dyDescent="0.25">
      <c r="B351" s="2">
        <f t="shared" si="42"/>
        <v>-70</v>
      </c>
      <c r="C351" s="5" t="s">
        <v>111</v>
      </c>
      <c r="D351" s="6"/>
      <c r="E351" s="7"/>
      <c r="F351" s="10"/>
      <c r="G351" s="10"/>
      <c r="H351" s="10"/>
      <c r="I351" s="10"/>
      <c r="J351" s="7"/>
      <c r="K351" s="7"/>
      <c r="L351" s="7"/>
      <c r="M351" s="7">
        <f t="shared" ref="M351:M354" si="47">SUM(D351:L351)</f>
        <v>0</v>
      </c>
      <c r="N351" s="7"/>
      <c r="O351" s="7">
        <f t="shared" si="43"/>
        <v>-70</v>
      </c>
      <c r="P351" s="48"/>
    </row>
    <row r="352" spans="2:16" ht="15.75" x14ac:dyDescent="0.25">
      <c r="B352" s="2">
        <f t="shared" si="42"/>
        <v>-51</v>
      </c>
      <c r="C352" s="5" t="s">
        <v>428</v>
      </c>
      <c r="D352" s="6"/>
      <c r="E352" s="7">
        <v>26</v>
      </c>
      <c r="F352" s="10"/>
      <c r="G352" s="10"/>
      <c r="H352" s="10"/>
      <c r="I352" s="10"/>
      <c r="J352" s="7"/>
      <c r="K352" s="7"/>
      <c r="L352" s="7"/>
      <c r="M352" s="7">
        <f t="shared" si="47"/>
        <v>26</v>
      </c>
      <c r="N352" s="7">
        <v>26</v>
      </c>
      <c r="O352" s="7">
        <f t="shared" si="43"/>
        <v>-51</v>
      </c>
      <c r="P352" s="48">
        <v>12</v>
      </c>
    </row>
    <row r="353" spans="2:16" ht="15.75" x14ac:dyDescent="0.25">
      <c r="B353" s="2">
        <f t="shared" si="42"/>
        <v>0</v>
      </c>
      <c r="C353" s="5" t="s">
        <v>115</v>
      </c>
      <c r="D353" s="6"/>
      <c r="E353" s="7"/>
      <c r="F353" s="10"/>
      <c r="G353" s="10"/>
      <c r="H353" s="10"/>
      <c r="I353" s="10"/>
      <c r="J353" s="7"/>
      <c r="K353" s="7"/>
      <c r="L353" s="7"/>
      <c r="M353" s="7">
        <f t="shared" si="47"/>
        <v>0</v>
      </c>
      <c r="N353" s="7"/>
      <c r="O353" s="7">
        <f t="shared" si="43"/>
        <v>0</v>
      </c>
      <c r="P353" s="48"/>
    </row>
    <row r="354" spans="2:16" ht="15.75" x14ac:dyDescent="0.25">
      <c r="B354" s="2">
        <f t="shared" si="42"/>
        <v>0</v>
      </c>
      <c r="C354" s="5" t="s">
        <v>252</v>
      </c>
      <c r="D354" s="7"/>
      <c r="E354" s="7"/>
      <c r="F354" s="10">
        <v>26</v>
      </c>
      <c r="G354" s="10"/>
      <c r="H354" s="10"/>
      <c r="I354" s="10"/>
      <c r="J354" s="7"/>
      <c r="K354" s="7"/>
      <c r="L354" s="7"/>
      <c r="M354" s="7">
        <f t="shared" si="47"/>
        <v>26</v>
      </c>
      <c r="N354" s="7">
        <v>26</v>
      </c>
      <c r="O354" s="7">
        <f t="shared" si="43"/>
        <v>0</v>
      </c>
      <c r="P354" s="48">
        <v>25</v>
      </c>
    </row>
    <row r="355" spans="2:16" ht="15.75" x14ac:dyDescent="0.25">
      <c r="B355" s="2">
        <f t="shared" si="42"/>
        <v>64</v>
      </c>
      <c r="C355" s="5" t="s">
        <v>117</v>
      </c>
      <c r="D355" s="7"/>
      <c r="E355" s="7"/>
      <c r="F355" s="10"/>
      <c r="G355" s="10"/>
      <c r="H355" s="10"/>
      <c r="I355" s="10"/>
      <c r="J355" s="7"/>
      <c r="K355" s="7"/>
      <c r="L355" s="7"/>
      <c r="M355" s="7">
        <f>SUM(D355:L355)</f>
        <v>0</v>
      </c>
      <c r="N355" s="7"/>
      <c r="O355" s="7">
        <f t="shared" si="43"/>
        <v>64</v>
      </c>
      <c r="P355" s="48"/>
    </row>
    <row r="356" spans="2:16" ht="15.75" x14ac:dyDescent="0.25">
      <c r="B356" s="2">
        <f t="shared" si="42"/>
        <v>-153</v>
      </c>
      <c r="C356" s="5" t="s">
        <v>20</v>
      </c>
      <c r="D356" s="7"/>
      <c r="E356" s="7"/>
      <c r="F356" s="10"/>
      <c r="G356" s="10"/>
      <c r="H356" s="10"/>
      <c r="I356" s="10">
        <v>21.6</v>
      </c>
      <c r="J356" s="7"/>
      <c r="K356" s="7">
        <v>61.2</v>
      </c>
      <c r="L356" s="7"/>
      <c r="M356" s="7">
        <f t="shared" ref="M356:M365" si="48">SUM(D356:L356)</f>
        <v>82.800000000000011</v>
      </c>
      <c r="N356" s="7">
        <f>61.2+90.41</f>
        <v>151.61000000000001</v>
      </c>
      <c r="O356" s="7">
        <f t="shared" si="43"/>
        <v>-84.19</v>
      </c>
      <c r="P356" s="49">
        <v>5.15</v>
      </c>
    </row>
    <row r="357" spans="2:16" ht="15.75" x14ac:dyDescent="0.25">
      <c r="B357" s="2">
        <f t="shared" si="42"/>
        <v>0</v>
      </c>
      <c r="C357" s="5" t="s">
        <v>233</v>
      </c>
      <c r="D357" s="7"/>
      <c r="E357" s="7"/>
      <c r="F357" s="10"/>
      <c r="G357" s="10"/>
      <c r="H357" s="10"/>
      <c r="I357" s="10"/>
      <c r="J357" s="7"/>
      <c r="K357" s="7"/>
      <c r="L357" s="7"/>
      <c r="M357" s="7">
        <f t="shared" si="48"/>
        <v>0</v>
      </c>
      <c r="N357" s="7"/>
      <c r="O357" s="7">
        <f t="shared" si="43"/>
        <v>0</v>
      </c>
      <c r="P357" s="48"/>
    </row>
    <row r="358" spans="2:16" ht="15.75" x14ac:dyDescent="0.25">
      <c r="B358" s="2">
        <f t="shared" si="42"/>
        <v>38.879999999999988</v>
      </c>
      <c r="C358" s="5" t="s">
        <v>13</v>
      </c>
      <c r="D358" s="7"/>
      <c r="E358" s="7"/>
      <c r="F358" s="10"/>
      <c r="G358" s="10"/>
      <c r="H358" s="10"/>
      <c r="I358" s="10"/>
      <c r="J358" s="7"/>
      <c r="K358" s="7">
        <v>38.880000000000003</v>
      </c>
      <c r="L358" s="7"/>
      <c r="M358" s="7">
        <f t="shared" si="48"/>
        <v>38.880000000000003</v>
      </c>
      <c r="N358" s="7"/>
      <c r="O358" s="7">
        <f t="shared" si="43"/>
        <v>0</v>
      </c>
      <c r="P358" s="48"/>
    </row>
    <row r="359" spans="2:16" ht="15.75" x14ac:dyDescent="0.25">
      <c r="B359" s="2">
        <f t="shared" si="42"/>
        <v>0</v>
      </c>
      <c r="C359" s="5" t="s">
        <v>22</v>
      </c>
      <c r="D359" s="7"/>
      <c r="E359" s="7"/>
      <c r="F359" s="10"/>
      <c r="G359" s="10"/>
      <c r="H359" s="10"/>
      <c r="I359" s="10"/>
      <c r="J359" s="7"/>
      <c r="K359" s="7"/>
      <c r="L359" s="7"/>
      <c r="M359" s="7">
        <f t="shared" si="48"/>
        <v>0</v>
      </c>
      <c r="N359" s="7"/>
      <c r="O359" s="7">
        <f t="shared" si="43"/>
        <v>0</v>
      </c>
      <c r="P359" s="48"/>
    </row>
    <row r="360" spans="2:16" ht="15.75" x14ac:dyDescent="0.25">
      <c r="B360" s="2">
        <v>0</v>
      </c>
      <c r="C360" s="5" t="s">
        <v>66</v>
      </c>
      <c r="D360" s="7"/>
      <c r="E360" s="7"/>
      <c r="F360" s="10"/>
      <c r="G360" s="10">
        <v>42.8</v>
      </c>
      <c r="H360" s="10"/>
      <c r="I360" s="10"/>
      <c r="J360" s="7"/>
      <c r="K360" s="7"/>
      <c r="L360" s="7"/>
      <c r="M360" s="7">
        <f t="shared" si="48"/>
        <v>42.8</v>
      </c>
      <c r="N360" s="7">
        <v>42.8</v>
      </c>
      <c r="O360" s="7">
        <f t="shared" si="43"/>
        <v>0</v>
      </c>
      <c r="P360" s="48">
        <v>10</v>
      </c>
    </row>
    <row r="361" spans="2:16" ht="15.75" x14ac:dyDescent="0.25">
      <c r="B361" s="2">
        <f>O300</f>
        <v>0</v>
      </c>
      <c r="C361" s="5" t="s">
        <v>507</v>
      </c>
      <c r="D361" s="7"/>
      <c r="E361" s="7"/>
      <c r="F361" s="10"/>
      <c r="G361" s="10"/>
      <c r="H361" s="10"/>
      <c r="I361" s="10"/>
      <c r="J361" s="7"/>
      <c r="K361" s="7"/>
      <c r="L361" s="7"/>
      <c r="M361" s="7">
        <f t="shared" si="48"/>
        <v>0</v>
      </c>
      <c r="N361" s="7"/>
      <c r="O361" s="7">
        <f t="shared" si="43"/>
        <v>0</v>
      </c>
      <c r="P361" s="48"/>
    </row>
    <row r="362" spans="2:16" ht="15.75" x14ac:dyDescent="0.25">
      <c r="B362" s="2">
        <v>0</v>
      </c>
      <c r="C362" s="5" t="s">
        <v>519</v>
      </c>
      <c r="D362" s="7"/>
      <c r="E362" s="7"/>
      <c r="F362" s="10"/>
      <c r="G362" s="10"/>
      <c r="H362" s="10"/>
      <c r="I362" s="10"/>
      <c r="J362" s="7">
        <v>26.6</v>
      </c>
      <c r="K362" s="7"/>
      <c r="L362" s="7"/>
      <c r="M362" s="7">
        <f t="shared" si="48"/>
        <v>26.6</v>
      </c>
      <c r="N362" s="7">
        <f>26.6+21.6</f>
        <v>48.2</v>
      </c>
      <c r="O362" s="7">
        <f t="shared" si="43"/>
        <v>21.6</v>
      </c>
      <c r="P362" s="48">
        <v>16.25</v>
      </c>
    </row>
    <row r="363" spans="2:16" ht="15.75" x14ac:dyDescent="0.25">
      <c r="B363" s="2">
        <v>0</v>
      </c>
      <c r="C363" s="5" t="s">
        <v>518</v>
      </c>
      <c r="D363" s="7"/>
      <c r="E363" s="7"/>
      <c r="F363" s="10"/>
      <c r="G363" s="10">
        <v>22.5</v>
      </c>
      <c r="H363" s="10"/>
      <c r="I363" s="10"/>
      <c r="J363" s="7"/>
      <c r="K363" s="7">
        <v>19.8</v>
      </c>
      <c r="L363" s="7"/>
      <c r="M363" s="7">
        <f t="shared" si="48"/>
        <v>42.3</v>
      </c>
      <c r="N363" s="7"/>
      <c r="O363" s="7">
        <f t="shared" si="43"/>
        <v>-42.3</v>
      </c>
      <c r="P363" s="48"/>
    </row>
    <row r="364" spans="2:16" ht="15.75" x14ac:dyDescent="0.25">
      <c r="B364" s="2">
        <f>O301</f>
        <v>-26</v>
      </c>
      <c r="C364" s="5" t="s">
        <v>135</v>
      </c>
      <c r="D364" s="7"/>
      <c r="E364" s="7"/>
      <c r="F364" s="10"/>
      <c r="G364" s="10"/>
      <c r="H364" s="10"/>
      <c r="I364" s="10"/>
      <c r="J364" s="7"/>
      <c r="K364" s="7">
        <v>26</v>
      </c>
      <c r="L364" s="7"/>
      <c r="M364" s="7">
        <f t="shared" si="48"/>
        <v>26</v>
      </c>
      <c r="N364" s="7"/>
      <c r="O364" s="7">
        <f>N364+B364-M364</f>
        <v>-52</v>
      </c>
      <c r="P364" s="48"/>
    </row>
    <row r="365" spans="2:16" ht="15.75" x14ac:dyDescent="0.25">
      <c r="B365" s="2">
        <f>O302</f>
        <v>-10.8</v>
      </c>
      <c r="C365" s="5" t="s">
        <v>120</v>
      </c>
      <c r="D365" s="7"/>
      <c r="E365" s="7"/>
      <c r="F365" s="10"/>
      <c r="G365" s="10"/>
      <c r="H365" s="10"/>
      <c r="I365" s="10"/>
      <c r="J365" s="7"/>
      <c r="K365" s="7"/>
      <c r="L365" s="7"/>
      <c r="M365" s="7">
        <f t="shared" si="48"/>
        <v>0</v>
      </c>
      <c r="N365" s="7">
        <v>15</v>
      </c>
      <c r="O365" s="7">
        <f>N365+B365-M365</f>
        <v>4.1999999999999993</v>
      </c>
      <c r="P365" s="48">
        <v>4</v>
      </c>
    </row>
    <row r="366" spans="2:16" ht="15.75" x14ac:dyDescent="0.25">
      <c r="B366" s="2">
        <f>O303</f>
        <v>-4317.88</v>
      </c>
      <c r="C366" s="6" t="s">
        <v>104</v>
      </c>
      <c r="D366" s="7">
        <f t="shared" ref="D366:H366" si="49">SUM(D308:D364)</f>
        <v>202.7</v>
      </c>
      <c r="E366" s="7">
        <f t="shared" si="49"/>
        <v>144</v>
      </c>
      <c r="F366" s="7">
        <f t="shared" si="49"/>
        <v>115.7</v>
      </c>
      <c r="G366" s="7">
        <f t="shared" si="49"/>
        <v>175.8</v>
      </c>
      <c r="H366" s="7">
        <f t="shared" si="49"/>
        <v>174.4</v>
      </c>
      <c r="I366" s="7">
        <f>SUM(I308:I365)</f>
        <v>413.5</v>
      </c>
      <c r="J366" s="7">
        <f>SUM(J308:J365)</f>
        <v>118.6</v>
      </c>
      <c r="K366" s="7">
        <f>SUM(K308:K365)</f>
        <v>232.28000000000003</v>
      </c>
      <c r="L366" s="7">
        <f t="shared" ref="L366" si="50">SUM(L308:L364)</f>
        <v>0</v>
      </c>
      <c r="M366" s="7">
        <f>SUM(M308:M365)</f>
        <v>1576.98</v>
      </c>
      <c r="N366" s="15">
        <f>SUM(N308:N365)</f>
        <v>2109.21</v>
      </c>
      <c r="O366" s="7">
        <f>SUM(O308:O365)</f>
        <v>-3785.6500000000005</v>
      </c>
      <c r="P366" s="43"/>
    </row>
    <row r="369" spans="2:16" ht="15.75" x14ac:dyDescent="0.25">
      <c r="B369" s="57" t="s">
        <v>516</v>
      </c>
      <c r="C369" s="63"/>
      <c r="D369" s="27">
        <v>50</v>
      </c>
      <c r="E369" s="27">
        <v>51</v>
      </c>
      <c r="F369" s="27">
        <v>52</v>
      </c>
      <c r="G369" s="27">
        <v>53</v>
      </c>
      <c r="H369" s="27">
        <v>54</v>
      </c>
      <c r="I369" s="27">
        <v>55</v>
      </c>
      <c r="J369" s="27">
        <v>56</v>
      </c>
      <c r="K369" s="27">
        <v>57</v>
      </c>
      <c r="L369" s="27">
        <v>58</v>
      </c>
      <c r="M369" s="57" t="s">
        <v>68</v>
      </c>
      <c r="N369" s="61" t="s">
        <v>137</v>
      </c>
      <c r="O369" s="57" t="s">
        <v>522</v>
      </c>
    </row>
    <row r="370" spans="2:16" ht="15.75" x14ac:dyDescent="0.25">
      <c r="B370" s="58"/>
      <c r="C370" s="64"/>
      <c r="D370" s="26">
        <v>1</v>
      </c>
      <c r="E370" s="26">
        <v>4</v>
      </c>
      <c r="F370" s="26">
        <v>8</v>
      </c>
      <c r="G370" s="26">
        <v>11</v>
      </c>
      <c r="H370" s="26">
        <v>15</v>
      </c>
      <c r="I370" s="26">
        <v>18</v>
      </c>
      <c r="J370" s="26">
        <v>22</v>
      </c>
      <c r="K370" s="26">
        <v>25</v>
      </c>
      <c r="L370" s="26">
        <v>29</v>
      </c>
      <c r="M370" s="58"/>
      <c r="N370" s="62"/>
      <c r="O370" s="58"/>
      <c r="P370" s="7"/>
    </row>
    <row r="371" spans="2:16" ht="15.75" x14ac:dyDescent="0.25">
      <c r="B371" s="2">
        <f>O308</f>
        <v>0</v>
      </c>
      <c r="C371" s="5" t="s">
        <v>123</v>
      </c>
      <c r="D371" s="6"/>
      <c r="E371" s="6"/>
      <c r="F371" s="6"/>
      <c r="G371" s="6"/>
      <c r="H371" s="6"/>
      <c r="I371" s="6"/>
      <c r="J371" s="6"/>
      <c r="K371" s="6"/>
      <c r="L371" s="6"/>
      <c r="M371" s="7">
        <f>SUM(D371:L371)</f>
        <v>0</v>
      </c>
      <c r="N371" s="7"/>
      <c r="O371" s="7">
        <f>N371+B371-M371</f>
        <v>0</v>
      </c>
      <c r="P371" s="38"/>
    </row>
    <row r="372" spans="2:16" ht="15.75" x14ac:dyDescent="0.25">
      <c r="B372" s="2">
        <f t="shared" ref="B372:B429" si="51">O309</f>
        <v>0</v>
      </c>
      <c r="C372" s="5" t="s">
        <v>125</v>
      </c>
      <c r="D372" s="6">
        <v>26</v>
      </c>
      <c r="E372" s="7"/>
      <c r="F372" s="6"/>
      <c r="G372" s="7"/>
      <c r="H372" s="6"/>
      <c r="I372" s="6"/>
      <c r="J372" s="7"/>
      <c r="K372" s="7"/>
      <c r="L372" s="7"/>
      <c r="M372" s="7">
        <f>SUM(D372:L372)</f>
        <v>26</v>
      </c>
      <c r="N372" s="7">
        <v>20</v>
      </c>
      <c r="O372" s="7">
        <f t="shared" ref="O372:O426" si="52">N372+B372-M372</f>
        <v>-6</v>
      </c>
      <c r="P372" s="48">
        <v>23</v>
      </c>
    </row>
    <row r="373" spans="2:16" ht="15.75" x14ac:dyDescent="0.25">
      <c r="B373" s="2">
        <f t="shared" si="51"/>
        <v>-318.70000000000005</v>
      </c>
      <c r="C373" s="5" t="s">
        <v>194</v>
      </c>
      <c r="D373" s="7"/>
      <c r="E373" s="7"/>
      <c r="F373" s="7"/>
      <c r="G373" s="7"/>
      <c r="H373" s="7"/>
      <c r="I373" s="7"/>
      <c r="J373" s="7">
        <v>26</v>
      </c>
      <c r="K373" s="15"/>
      <c r="L373" s="7"/>
      <c r="M373" s="7">
        <f>SUM(D373:L373)</f>
        <v>26</v>
      </c>
      <c r="N373" s="7">
        <v>318.7</v>
      </c>
      <c r="O373" s="7">
        <f t="shared" si="52"/>
        <v>-26.000000000000057</v>
      </c>
      <c r="P373" s="52">
        <v>31</v>
      </c>
    </row>
    <row r="374" spans="2:16" ht="15.75" x14ac:dyDescent="0.25">
      <c r="B374" s="2">
        <f t="shared" si="51"/>
        <v>-26</v>
      </c>
      <c r="C374" s="5" t="s">
        <v>2</v>
      </c>
      <c r="D374" s="6"/>
      <c r="E374" s="7"/>
      <c r="F374" s="6"/>
      <c r="G374" s="7"/>
      <c r="H374" s="6"/>
      <c r="I374" s="7"/>
      <c r="J374" s="7"/>
      <c r="K374" s="7"/>
      <c r="L374" s="7"/>
      <c r="M374" s="7">
        <f>SUM(D374:L374)</f>
        <v>0</v>
      </c>
      <c r="N374" s="7"/>
      <c r="O374" s="7">
        <f t="shared" si="52"/>
        <v>-26</v>
      </c>
      <c r="P374" s="52"/>
    </row>
    <row r="375" spans="2:16" ht="15.75" x14ac:dyDescent="0.25">
      <c r="B375" s="2">
        <f t="shared" si="51"/>
        <v>0</v>
      </c>
      <c r="C375" s="5" t="s">
        <v>129</v>
      </c>
      <c r="D375" s="6"/>
      <c r="E375" s="7"/>
      <c r="F375" s="6"/>
      <c r="G375" s="6"/>
      <c r="H375" s="6"/>
      <c r="I375" s="7"/>
      <c r="J375" s="6"/>
      <c r="K375" s="7"/>
      <c r="L375" s="7"/>
      <c r="M375" s="7">
        <f t="shared" ref="M375:M392" si="53">SUM(D375:L375)</f>
        <v>0</v>
      </c>
      <c r="N375" s="7"/>
      <c r="O375" s="7">
        <f t="shared" si="52"/>
        <v>0</v>
      </c>
      <c r="P375" s="48"/>
    </row>
    <row r="376" spans="2:16" ht="15.75" x14ac:dyDescent="0.25">
      <c r="B376" s="2">
        <f t="shared" si="51"/>
        <v>-25</v>
      </c>
      <c r="C376" s="5" t="s">
        <v>195</v>
      </c>
      <c r="D376" s="6"/>
      <c r="E376" s="7"/>
      <c r="F376" s="6"/>
      <c r="G376" s="6"/>
      <c r="H376" s="6"/>
      <c r="I376" s="7"/>
      <c r="J376" s="7"/>
      <c r="K376" s="7"/>
      <c r="L376" s="7"/>
      <c r="M376" s="7">
        <f t="shared" si="53"/>
        <v>0</v>
      </c>
      <c r="N376" s="7"/>
      <c r="O376" s="7">
        <f t="shared" si="52"/>
        <v>-25</v>
      </c>
      <c r="P376" s="48"/>
    </row>
    <row r="377" spans="2:16" ht="15.75" x14ac:dyDescent="0.25">
      <c r="B377" s="2">
        <f t="shared" si="51"/>
        <v>20</v>
      </c>
      <c r="C377" s="5" t="s">
        <v>128</v>
      </c>
      <c r="D377" s="7"/>
      <c r="E377" s="7"/>
      <c r="F377" s="7"/>
      <c r="G377" s="7"/>
      <c r="H377" s="7"/>
      <c r="I377" s="7"/>
      <c r="J377" s="7">
        <v>26</v>
      </c>
      <c r="K377" s="7"/>
      <c r="L377" s="7"/>
      <c r="M377" s="7">
        <f t="shared" si="53"/>
        <v>26</v>
      </c>
      <c r="N377" s="7"/>
      <c r="O377" s="7">
        <f t="shared" si="52"/>
        <v>-6</v>
      </c>
      <c r="P377" s="48"/>
    </row>
    <row r="378" spans="2:16" ht="15.75" x14ac:dyDescent="0.25">
      <c r="B378" s="2">
        <f t="shared" si="51"/>
        <v>-311.2</v>
      </c>
      <c r="C378" s="5" t="s">
        <v>127</v>
      </c>
      <c r="D378" s="6"/>
      <c r="E378" s="7"/>
      <c r="F378" s="7"/>
      <c r="G378" s="7"/>
      <c r="H378" s="6"/>
      <c r="I378" s="7"/>
      <c r="J378" s="6"/>
      <c r="K378" s="7"/>
      <c r="L378" s="7"/>
      <c r="M378" s="7">
        <f t="shared" si="53"/>
        <v>0</v>
      </c>
      <c r="N378" s="7">
        <v>26</v>
      </c>
      <c r="O378" s="7">
        <f t="shared" si="52"/>
        <v>-285.2</v>
      </c>
      <c r="P378" s="48">
        <v>15</v>
      </c>
    </row>
    <row r="379" spans="2:16" ht="15.75" x14ac:dyDescent="0.25">
      <c r="B379" s="2">
        <f t="shared" si="51"/>
        <v>26</v>
      </c>
      <c r="C379" s="5" t="s">
        <v>126</v>
      </c>
      <c r="D379" s="6"/>
      <c r="E379" s="7">
        <v>26</v>
      </c>
      <c r="F379" s="6"/>
      <c r="G379" s="6">
        <v>26</v>
      </c>
      <c r="H379" s="6"/>
      <c r="I379" s="7"/>
      <c r="J379" s="6"/>
      <c r="K379" s="7"/>
      <c r="L379" s="7"/>
      <c r="M379" s="7">
        <f t="shared" si="53"/>
        <v>52</v>
      </c>
      <c r="N379" s="7"/>
      <c r="O379" s="7">
        <f t="shared" si="52"/>
        <v>-26</v>
      </c>
      <c r="P379" s="48"/>
    </row>
    <row r="380" spans="2:16" ht="15.75" x14ac:dyDescent="0.25">
      <c r="B380" s="2">
        <f t="shared" si="51"/>
        <v>-528.20000000000005</v>
      </c>
      <c r="C380" s="5" t="s">
        <v>130</v>
      </c>
      <c r="D380" s="7"/>
      <c r="E380" s="7"/>
      <c r="F380" s="7"/>
      <c r="G380" s="7"/>
      <c r="H380" s="7"/>
      <c r="I380" s="7"/>
      <c r="J380" s="6"/>
      <c r="K380" s="7"/>
      <c r="L380" s="7"/>
      <c r="M380" s="7">
        <f t="shared" si="53"/>
        <v>0</v>
      </c>
      <c r="N380" s="7"/>
      <c r="O380" s="7">
        <f t="shared" si="52"/>
        <v>-528.20000000000005</v>
      </c>
      <c r="P380" s="48"/>
    </row>
    <row r="381" spans="2:16" ht="15.75" x14ac:dyDescent="0.25">
      <c r="B381" s="2">
        <f t="shared" si="51"/>
        <v>-115.92999999999998</v>
      </c>
      <c r="C381" s="5" t="s">
        <v>131</v>
      </c>
      <c r="D381" s="7">
        <v>22.5</v>
      </c>
      <c r="E381" s="7"/>
      <c r="F381" s="7"/>
      <c r="G381" s="7"/>
      <c r="H381" s="7"/>
      <c r="I381" s="7"/>
      <c r="J381" s="7"/>
      <c r="K381" s="7"/>
      <c r="L381" s="7"/>
      <c r="M381" s="7">
        <f t="shared" si="53"/>
        <v>22.5</v>
      </c>
      <c r="N381" s="7"/>
      <c r="O381" s="7">
        <f t="shared" si="52"/>
        <v>-138.42999999999998</v>
      </c>
      <c r="P381" s="49"/>
    </row>
    <row r="382" spans="2:16" ht="15.75" x14ac:dyDescent="0.25">
      <c r="B382" s="2">
        <f t="shared" si="51"/>
        <v>-52</v>
      </c>
      <c r="C382" s="5" t="s">
        <v>132</v>
      </c>
      <c r="D382" s="7"/>
      <c r="E382" s="7"/>
      <c r="F382" s="7"/>
      <c r="G382" s="7"/>
      <c r="H382" s="7"/>
      <c r="I382" s="7"/>
      <c r="J382" s="7"/>
      <c r="K382" s="7"/>
      <c r="L382" s="7"/>
      <c r="M382" s="7">
        <f t="shared" si="53"/>
        <v>0</v>
      </c>
      <c r="N382" s="7"/>
      <c r="O382" s="7">
        <f t="shared" si="52"/>
        <v>-52</v>
      </c>
      <c r="P382" s="49"/>
    </row>
    <row r="383" spans="2:16" ht="15.75" x14ac:dyDescent="0.25">
      <c r="B383" s="2">
        <f t="shared" si="51"/>
        <v>-266.29999999999995</v>
      </c>
      <c r="C383" s="5" t="s">
        <v>9</v>
      </c>
      <c r="D383" s="6">
        <v>68.400000000000006</v>
      </c>
      <c r="E383" s="7"/>
      <c r="F383" s="7"/>
      <c r="G383" s="7"/>
      <c r="H383" s="7"/>
      <c r="I383" s="6"/>
      <c r="J383" s="7"/>
      <c r="K383" s="7"/>
      <c r="L383" s="7"/>
      <c r="M383" s="7">
        <f t="shared" si="53"/>
        <v>68.400000000000006</v>
      </c>
      <c r="N383" s="7">
        <v>68.400000000000006</v>
      </c>
      <c r="O383" s="7">
        <f t="shared" si="52"/>
        <v>-266.29999999999995</v>
      </c>
      <c r="P383" s="49">
        <v>8</v>
      </c>
    </row>
    <row r="384" spans="2:16" ht="15.75" x14ac:dyDescent="0.25">
      <c r="B384" s="2">
        <f t="shared" si="51"/>
        <v>15</v>
      </c>
      <c r="C384" s="5" t="s">
        <v>133</v>
      </c>
      <c r="D384" s="7"/>
      <c r="E384" s="7"/>
      <c r="F384" s="7"/>
      <c r="G384" s="7"/>
      <c r="H384" s="7"/>
      <c r="I384" s="7"/>
      <c r="J384" s="7"/>
      <c r="K384" s="7"/>
      <c r="L384" s="7"/>
      <c r="M384" s="7">
        <f t="shared" si="53"/>
        <v>0</v>
      </c>
      <c r="N384" s="8"/>
      <c r="O384" s="7">
        <f t="shared" si="52"/>
        <v>15</v>
      </c>
      <c r="P384" s="48"/>
    </row>
    <row r="385" spans="2:16" ht="15.75" x14ac:dyDescent="0.25">
      <c r="B385" s="2">
        <f t="shared" si="51"/>
        <v>-151.5</v>
      </c>
      <c r="C385" s="5" t="s">
        <v>96</v>
      </c>
      <c r="D385" s="7"/>
      <c r="E385" s="7"/>
      <c r="F385" s="7"/>
      <c r="G385" s="7"/>
      <c r="H385" s="7"/>
      <c r="I385" s="7"/>
      <c r="J385" s="7"/>
      <c r="K385" s="7"/>
      <c r="L385" s="7"/>
      <c r="M385" s="7">
        <f t="shared" si="53"/>
        <v>0</v>
      </c>
      <c r="N385" s="7">
        <v>66</v>
      </c>
      <c r="O385" s="7">
        <f t="shared" si="52"/>
        <v>-85.5</v>
      </c>
      <c r="P385" s="49">
        <v>13</v>
      </c>
    </row>
    <row r="386" spans="2:16" ht="15.75" x14ac:dyDescent="0.25">
      <c r="B386" s="2">
        <f t="shared" si="51"/>
        <v>-26</v>
      </c>
      <c r="C386" s="5" t="s">
        <v>134</v>
      </c>
      <c r="D386" s="7"/>
      <c r="E386" s="7"/>
      <c r="F386" s="6"/>
      <c r="G386" s="7"/>
      <c r="H386" s="6"/>
      <c r="I386" s="7"/>
      <c r="J386" s="7"/>
      <c r="K386" s="7"/>
      <c r="L386" s="7"/>
      <c r="M386" s="7">
        <f t="shared" si="53"/>
        <v>0</v>
      </c>
      <c r="N386" s="7">
        <v>26</v>
      </c>
      <c r="O386" s="7">
        <f t="shared" si="52"/>
        <v>0</v>
      </c>
      <c r="P386" s="48">
        <v>1</v>
      </c>
    </row>
    <row r="387" spans="2:16" ht="15.75" x14ac:dyDescent="0.25">
      <c r="B387" s="2">
        <f t="shared" si="51"/>
        <v>26.100000000000009</v>
      </c>
      <c r="C387" s="5" t="s">
        <v>99</v>
      </c>
      <c r="D387" s="7"/>
      <c r="E387" s="7"/>
      <c r="F387" s="6"/>
      <c r="G387" s="7"/>
      <c r="H387" s="6"/>
      <c r="I387" s="7"/>
      <c r="J387" s="6"/>
      <c r="K387" s="6"/>
      <c r="L387" s="7"/>
      <c r="M387" s="7">
        <f t="shared" si="53"/>
        <v>0</v>
      </c>
      <c r="N387" s="7"/>
      <c r="O387" s="7">
        <f t="shared" si="52"/>
        <v>26.100000000000009</v>
      </c>
      <c r="P387" s="48"/>
    </row>
    <row r="388" spans="2:16" ht="15.75" x14ac:dyDescent="0.25">
      <c r="B388" s="2">
        <f t="shared" si="51"/>
        <v>-408.89</v>
      </c>
      <c r="C388" s="5" t="s">
        <v>53</v>
      </c>
      <c r="D388" s="7"/>
      <c r="E388" s="7"/>
      <c r="F388" s="7"/>
      <c r="G388" s="7"/>
      <c r="H388" s="7"/>
      <c r="I388" s="7"/>
      <c r="J388" s="7"/>
      <c r="K388" s="7"/>
      <c r="L388" s="7"/>
      <c r="M388" s="7">
        <f t="shared" si="53"/>
        <v>0</v>
      </c>
      <c r="N388" s="7"/>
      <c r="O388" s="7">
        <f t="shared" si="52"/>
        <v>-408.89</v>
      </c>
      <c r="P388" s="48"/>
    </row>
    <row r="389" spans="2:16" ht="15.75" x14ac:dyDescent="0.25">
      <c r="B389" s="2">
        <f t="shared" si="51"/>
        <v>-30.599999999999966</v>
      </c>
      <c r="C389" s="5" t="s">
        <v>33</v>
      </c>
      <c r="D389" s="7">
        <v>17.100000000000001</v>
      </c>
      <c r="E389" s="7"/>
      <c r="F389" s="7"/>
      <c r="G389" s="7"/>
      <c r="H389" s="7"/>
      <c r="I389" s="7"/>
      <c r="J389" s="7">
        <v>53.1</v>
      </c>
      <c r="K389" s="7">
        <f>10.8+10.8</f>
        <v>21.6</v>
      </c>
      <c r="L389" s="7">
        <v>45</v>
      </c>
      <c r="M389" s="7">
        <f t="shared" si="53"/>
        <v>136.80000000000001</v>
      </c>
      <c r="N389" s="7">
        <v>17.100000000000001</v>
      </c>
      <c r="O389" s="7">
        <f t="shared" si="52"/>
        <v>-150.29999999999998</v>
      </c>
      <c r="P389" s="48">
        <v>7</v>
      </c>
    </row>
    <row r="390" spans="2:16" ht="15.75" x14ac:dyDescent="0.25">
      <c r="B390" s="2">
        <f t="shared" si="51"/>
        <v>-36</v>
      </c>
      <c r="C390" s="5" t="s">
        <v>480</v>
      </c>
      <c r="D390" s="7"/>
      <c r="E390" s="7">
        <v>25.2</v>
      </c>
      <c r="F390" s="7"/>
      <c r="G390" s="7"/>
      <c r="H390" s="7"/>
      <c r="I390" s="7"/>
      <c r="J390" s="7"/>
      <c r="K390" s="7"/>
      <c r="L390" s="7"/>
      <c r="M390" s="7">
        <f t="shared" si="53"/>
        <v>25.2</v>
      </c>
      <c r="N390" s="7">
        <v>61.2</v>
      </c>
      <c r="O390" s="7">
        <f t="shared" si="52"/>
        <v>0</v>
      </c>
      <c r="P390" s="48">
        <v>9</v>
      </c>
    </row>
    <row r="391" spans="2:16" ht="15.75" x14ac:dyDescent="0.25">
      <c r="B391" s="2">
        <f t="shared" si="51"/>
        <v>0.20000000000000284</v>
      </c>
      <c r="C391" s="5" t="s">
        <v>23</v>
      </c>
      <c r="D391" s="7"/>
      <c r="E391" s="7"/>
      <c r="F391" s="10"/>
      <c r="G391" s="10">
        <v>24.3</v>
      </c>
      <c r="H391" s="10"/>
      <c r="I391" s="10">
        <v>37.799999999999997</v>
      </c>
      <c r="J391" s="7"/>
      <c r="K391" s="7">
        <v>37.799999999999997</v>
      </c>
      <c r="L391" s="7"/>
      <c r="M391" s="7">
        <f t="shared" si="53"/>
        <v>99.899999999999991</v>
      </c>
      <c r="N391" s="7"/>
      <c r="O391" s="7">
        <f t="shared" si="52"/>
        <v>-99.699999999999989</v>
      </c>
      <c r="P391" s="48"/>
    </row>
    <row r="392" spans="2:16" ht="15.75" x14ac:dyDescent="0.25">
      <c r="B392" s="2">
        <f t="shared" si="51"/>
        <v>-25.200000000000003</v>
      </c>
      <c r="C392" s="5" t="s">
        <v>24</v>
      </c>
      <c r="D392" s="7"/>
      <c r="E392" s="7"/>
      <c r="F392" s="10"/>
      <c r="G392" s="10"/>
      <c r="H392" s="10"/>
      <c r="I392" s="10"/>
      <c r="J392" s="7"/>
      <c r="K392" s="7">
        <v>26</v>
      </c>
      <c r="L392" s="7"/>
      <c r="M392" s="7">
        <f t="shared" si="53"/>
        <v>26</v>
      </c>
      <c r="N392" s="7"/>
      <c r="O392" s="7">
        <f t="shared" si="52"/>
        <v>-51.2</v>
      </c>
      <c r="P392" s="48"/>
    </row>
    <row r="393" spans="2:16" ht="15.75" x14ac:dyDescent="0.25">
      <c r="B393" s="2">
        <f t="shared" si="51"/>
        <v>-11.7</v>
      </c>
      <c r="C393" s="5" t="s">
        <v>513</v>
      </c>
      <c r="D393" s="7"/>
      <c r="E393" s="7"/>
      <c r="F393" s="10"/>
      <c r="G393" s="10"/>
      <c r="H393" s="10"/>
      <c r="I393" s="10"/>
      <c r="J393" s="7"/>
      <c r="K393" s="7"/>
      <c r="L393" s="7"/>
      <c r="M393" s="7">
        <f>SUM(D393:L393)</f>
        <v>0</v>
      </c>
      <c r="N393" s="7">
        <v>11.7</v>
      </c>
      <c r="O393" s="7">
        <f t="shared" si="52"/>
        <v>0</v>
      </c>
      <c r="P393" s="48">
        <v>16</v>
      </c>
    </row>
    <row r="394" spans="2:16" ht="15.75" x14ac:dyDescent="0.25">
      <c r="B394" s="2">
        <f t="shared" si="51"/>
        <v>0</v>
      </c>
      <c r="C394" s="5" t="s">
        <v>25</v>
      </c>
      <c r="D394" s="7"/>
      <c r="E394" s="7"/>
      <c r="F394" s="10"/>
      <c r="G394" s="10"/>
      <c r="H394" s="10"/>
      <c r="I394" s="10"/>
      <c r="J394" s="7"/>
      <c r="K394" s="7">
        <v>115.2</v>
      </c>
      <c r="L394" s="7"/>
      <c r="M394" s="7">
        <f>SUM(D394:L394)</f>
        <v>115.2</v>
      </c>
      <c r="N394" s="7"/>
      <c r="O394" s="7">
        <f t="shared" si="52"/>
        <v>-115.2</v>
      </c>
      <c r="P394" s="48"/>
    </row>
    <row r="395" spans="2:16" ht="15.75" x14ac:dyDescent="0.25">
      <c r="B395" s="2">
        <f t="shared" si="51"/>
        <v>-41.399999999999984</v>
      </c>
      <c r="C395" s="5" t="s">
        <v>27</v>
      </c>
      <c r="D395" s="7"/>
      <c r="E395" s="7"/>
      <c r="F395" s="10"/>
      <c r="G395" s="10"/>
      <c r="H395" s="10"/>
      <c r="I395" s="10"/>
      <c r="J395" s="7"/>
      <c r="K395" s="7">
        <v>36</v>
      </c>
      <c r="L395" s="7"/>
      <c r="M395" s="7">
        <f>SUM(D395:L395)</f>
        <v>36</v>
      </c>
      <c r="N395" s="7">
        <v>60</v>
      </c>
      <c r="O395" s="7">
        <f t="shared" si="52"/>
        <v>-17.399999999999984</v>
      </c>
      <c r="P395" s="48">
        <v>20</v>
      </c>
    </row>
    <row r="396" spans="2:16" ht="15.75" x14ac:dyDescent="0.25">
      <c r="B396" s="2">
        <f t="shared" si="51"/>
        <v>80.06</v>
      </c>
      <c r="C396" s="5" t="s">
        <v>29</v>
      </c>
      <c r="D396" s="7"/>
      <c r="E396" s="7"/>
      <c r="F396" s="10"/>
      <c r="G396" s="10"/>
      <c r="H396" s="10"/>
      <c r="I396" s="10"/>
      <c r="J396" s="7"/>
      <c r="K396" s="7">
        <v>72</v>
      </c>
      <c r="L396" s="7"/>
      <c r="M396" s="7">
        <f t="shared" ref="M396:M397" si="54">SUM(D396:L396)</f>
        <v>72</v>
      </c>
      <c r="N396" s="7">
        <v>100</v>
      </c>
      <c r="O396" s="7">
        <f t="shared" si="52"/>
        <v>108.06</v>
      </c>
      <c r="P396" s="48">
        <v>16</v>
      </c>
    </row>
    <row r="397" spans="2:16" ht="15.75" x14ac:dyDescent="0.25">
      <c r="B397" s="2">
        <f t="shared" si="51"/>
        <v>-64.200000000000045</v>
      </c>
      <c r="C397" s="5" t="s">
        <v>30</v>
      </c>
      <c r="D397" s="7"/>
      <c r="E397" s="7"/>
      <c r="F397" s="10"/>
      <c r="G397" s="10"/>
      <c r="H397" s="10"/>
      <c r="I397" s="10"/>
      <c r="J397" s="7"/>
      <c r="K397" s="7"/>
      <c r="L397" s="7"/>
      <c r="M397" s="7">
        <f t="shared" si="54"/>
        <v>0</v>
      </c>
      <c r="N397" s="7"/>
      <c r="O397" s="7">
        <f t="shared" si="52"/>
        <v>-64.200000000000045</v>
      </c>
      <c r="P397" s="48"/>
    </row>
    <row r="398" spans="2:16" ht="15.75" x14ac:dyDescent="0.25">
      <c r="B398" s="2">
        <f t="shared" si="51"/>
        <v>0</v>
      </c>
      <c r="C398" s="5" t="s">
        <v>356</v>
      </c>
      <c r="D398" s="7"/>
      <c r="E398" s="7">
        <v>163.80000000000001</v>
      </c>
      <c r="F398" s="10"/>
      <c r="G398" s="10"/>
      <c r="H398" s="10"/>
      <c r="I398" s="10"/>
      <c r="J398" s="7"/>
      <c r="K398" s="7"/>
      <c r="L398" s="7"/>
      <c r="M398" s="7">
        <f>SUM(D398:L398)</f>
        <v>163.80000000000001</v>
      </c>
      <c r="N398" s="7">
        <v>163.80000000000001</v>
      </c>
      <c r="O398" s="7">
        <f t="shared" si="52"/>
        <v>0</v>
      </c>
      <c r="P398" s="48">
        <v>13</v>
      </c>
    </row>
    <row r="399" spans="2:16" ht="15.75" x14ac:dyDescent="0.25">
      <c r="B399" s="2">
        <f t="shared" si="51"/>
        <v>43</v>
      </c>
      <c r="C399" s="5" t="s">
        <v>101</v>
      </c>
      <c r="D399" s="7"/>
      <c r="E399" s="7">
        <v>15.3</v>
      </c>
      <c r="F399" s="10"/>
      <c r="G399" s="10"/>
      <c r="H399" s="10"/>
      <c r="I399" s="10">
        <v>27.9</v>
      </c>
      <c r="J399" s="7"/>
      <c r="K399" s="7"/>
      <c r="L399" s="7"/>
      <c r="M399" s="7">
        <f t="shared" ref="M399:M412" si="55">SUM(D399:L399)</f>
        <v>43.2</v>
      </c>
      <c r="N399" s="7">
        <v>68.2</v>
      </c>
      <c r="O399" s="7">
        <f t="shared" si="52"/>
        <v>68</v>
      </c>
      <c r="P399" s="48">
        <v>31</v>
      </c>
    </row>
    <row r="400" spans="2:16" ht="15.75" x14ac:dyDescent="0.25">
      <c r="B400" s="2">
        <f t="shared" si="51"/>
        <v>-52.8</v>
      </c>
      <c r="C400" s="5" t="s">
        <v>41</v>
      </c>
      <c r="D400" s="6"/>
      <c r="E400" s="7"/>
      <c r="F400" s="10"/>
      <c r="G400" s="10"/>
      <c r="H400" s="10"/>
      <c r="I400" s="10"/>
      <c r="J400" s="7"/>
      <c r="K400" s="7"/>
      <c r="L400" s="7"/>
      <c r="M400" s="7">
        <f t="shared" si="55"/>
        <v>0</v>
      </c>
      <c r="N400" s="7"/>
      <c r="O400" s="7">
        <f t="shared" si="52"/>
        <v>-52.8</v>
      </c>
      <c r="P400" s="48"/>
    </row>
    <row r="401" spans="2:16" ht="15.75" x14ac:dyDescent="0.25">
      <c r="B401" s="2">
        <f t="shared" si="51"/>
        <v>-20</v>
      </c>
      <c r="C401" s="5" t="s">
        <v>102</v>
      </c>
      <c r="D401" s="7"/>
      <c r="E401" s="7"/>
      <c r="F401" s="10"/>
      <c r="G401" s="10"/>
      <c r="H401" s="10"/>
      <c r="I401" s="10"/>
      <c r="J401" s="7"/>
      <c r="K401" s="7"/>
      <c r="L401" s="7">
        <f>26+183.6</f>
        <v>209.6</v>
      </c>
      <c r="M401" s="7">
        <f t="shared" si="55"/>
        <v>209.6</v>
      </c>
      <c r="N401" s="7"/>
      <c r="O401" s="7">
        <f t="shared" si="52"/>
        <v>-229.6</v>
      </c>
      <c r="P401" s="48"/>
    </row>
    <row r="402" spans="2:16" ht="15.75" x14ac:dyDescent="0.25">
      <c r="B402" s="2">
        <f t="shared" si="51"/>
        <v>-118.5</v>
      </c>
      <c r="C402" s="5" t="s">
        <v>45</v>
      </c>
      <c r="D402" s="7"/>
      <c r="E402" s="7"/>
      <c r="F402" s="10"/>
      <c r="G402" s="10">
        <v>52</v>
      </c>
      <c r="H402" s="10"/>
      <c r="I402" s="10"/>
      <c r="J402" s="7"/>
      <c r="K402" s="7"/>
      <c r="L402" s="7"/>
      <c r="M402" s="7">
        <f t="shared" si="55"/>
        <v>52</v>
      </c>
      <c r="N402" s="7">
        <f>52+52</f>
        <v>104</v>
      </c>
      <c r="O402" s="7">
        <f t="shared" si="52"/>
        <v>-66.5</v>
      </c>
      <c r="P402" s="48">
        <v>13.31</v>
      </c>
    </row>
    <row r="403" spans="2:16" ht="15.75" x14ac:dyDescent="0.25">
      <c r="B403" s="2">
        <f t="shared" si="51"/>
        <v>-26.900000000000006</v>
      </c>
      <c r="C403" s="5" t="s">
        <v>46</v>
      </c>
      <c r="D403" s="7"/>
      <c r="E403" s="7"/>
      <c r="F403" s="10">
        <v>26</v>
      </c>
      <c r="G403" s="10"/>
      <c r="H403" s="10">
        <v>21.6</v>
      </c>
      <c r="I403" s="10"/>
      <c r="J403" s="7"/>
      <c r="K403" s="7"/>
      <c r="L403" s="7"/>
      <c r="M403" s="7">
        <f t="shared" si="55"/>
        <v>47.6</v>
      </c>
      <c r="N403" s="7"/>
      <c r="O403" s="7">
        <f t="shared" si="52"/>
        <v>-74.5</v>
      </c>
      <c r="P403" s="48"/>
    </row>
    <row r="404" spans="2:16" ht="15.75" x14ac:dyDescent="0.25">
      <c r="B404" s="2">
        <f t="shared" si="51"/>
        <v>-5.8000000000000007</v>
      </c>
      <c r="C404" s="5" t="s">
        <v>79</v>
      </c>
      <c r="D404" s="7"/>
      <c r="E404" s="7"/>
      <c r="F404" s="10"/>
      <c r="G404" s="10"/>
      <c r="H404" s="10"/>
      <c r="I404" s="10"/>
      <c r="J404" s="7">
        <v>22.5</v>
      </c>
      <c r="K404" s="7"/>
      <c r="L404" s="7"/>
      <c r="M404" s="7">
        <f t="shared" si="55"/>
        <v>22.5</v>
      </c>
      <c r="N404" s="7"/>
      <c r="O404" s="7">
        <f t="shared" si="52"/>
        <v>-28.3</v>
      </c>
      <c r="P404" s="48"/>
    </row>
    <row r="405" spans="2:16" ht="15.75" x14ac:dyDescent="0.25">
      <c r="B405" s="2">
        <f t="shared" si="51"/>
        <v>1</v>
      </c>
      <c r="C405" s="5" t="s">
        <v>261</v>
      </c>
      <c r="D405" s="7"/>
      <c r="E405" s="6"/>
      <c r="F405" s="10"/>
      <c r="G405" s="10"/>
      <c r="H405" s="10"/>
      <c r="I405" s="10"/>
      <c r="J405" s="7"/>
      <c r="K405" s="7"/>
      <c r="L405" s="7"/>
      <c r="M405" s="7">
        <f t="shared" si="55"/>
        <v>0</v>
      </c>
      <c r="N405" s="7"/>
      <c r="O405" s="7">
        <f t="shared" si="52"/>
        <v>1</v>
      </c>
      <c r="P405" s="48"/>
    </row>
    <row r="406" spans="2:16" ht="15.75" x14ac:dyDescent="0.25">
      <c r="B406" s="2">
        <f t="shared" si="51"/>
        <v>-1059.4999999999995</v>
      </c>
      <c r="C406" s="5" t="s">
        <v>103</v>
      </c>
      <c r="D406" s="6"/>
      <c r="E406" s="7">
        <v>850</v>
      </c>
      <c r="F406" s="10"/>
      <c r="G406" s="10">
        <v>133.19999999999999</v>
      </c>
      <c r="H406" s="10">
        <v>139.5</v>
      </c>
      <c r="I406" s="10">
        <f>64.8+91.8</f>
        <v>156.6</v>
      </c>
      <c r="J406" s="7"/>
      <c r="K406" s="7"/>
      <c r="L406" s="7"/>
      <c r="M406" s="7">
        <f t="shared" si="55"/>
        <v>1279.3</v>
      </c>
      <c r="N406" s="7">
        <f>970+125.8</f>
        <v>1095.8</v>
      </c>
      <c r="O406" s="7">
        <f t="shared" si="52"/>
        <v>-1242.9999999999995</v>
      </c>
      <c r="P406" s="48">
        <v>14.23</v>
      </c>
    </row>
    <row r="407" spans="2:16" ht="15.75" x14ac:dyDescent="0.25">
      <c r="B407" s="2">
        <f t="shared" si="51"/>
        <v>0</v>
      </c>
      <c r="C407" s="5" t="s">
        <v>211</v>
      </c>
      <c r="D407" s="6"/>
      <c r="E407" s="7"/>
      <c r="F407" s="47"/>
      <c r="G407" s="10"/>
      <c r="H407" s="10"/>
      <c r="I407" s="10"/>
      <c r="J407" s="7"/>
      <c r="K407" s="7"/>
      <c r="L407" s="7"/>
      <c r="M407" s="7">
        <f t="shared" si="55"/>
        <v>0</v>
      </c>
      <c r="N407" s="7"/>
      <c r="O407" s="7">
        <f t="shared" si="52"/>
        <v>0</v>
      </c>
      <c r="P407" s="48"/>
    </row>
    <row r="408" spans="2:16" ht="15.75" x14ac:dyDescent="0.25">
      <c r="B408" s="2">
        <f t="shared" si="51"/>
        <v>-51</v>
      </c>
      <c r="C408" s="5" t="s">
        <v>139</v>
      </c>
      <c r="D408" s="7"/>
      <c r="E408" s="7">
        <v>26</v>
      </c>
      <c r="F408" s="47">
        <v>26</v>
      </c>
      <c r="G408" s="10"/>
      <c r="H408" s="10">
        <v>26</v>
      </c>
      <c r="I408" s="10"/>
      <c r="J408" s="7"/>
      <c r="K408" s="7">
        <v>26</v>
      </c>
      <c r="L408" s="7"/>
      <c r="M408" s="7">
        <f t="shared" si="55"/>
        <v>104</v>
      </c>
      <c r="N408" s="7">
        <v>51</v>
      </c>
      <c r="O408" s="7">
        <f t="shared" si="52"/>
        <v>-104</v>
      </c>
      <c r="P408" s="48">
        <v>15</v>
      </c>
    </row>
    <row r="409" spans="2:16" ht="15.75" x14ac:dyDescent="0.25">
      <c r="B409" s="2">
        <f t="shared" si="51"/>
        <v>5</v>
      </c>
      <c r="C409" s="5" t="s">
        <v>31</v>
      </c>
      <c r="D409" s="7">
        <v>60</v>
      </c>
      <c r="E409" s="7"/>
      <c r="F409" s="10">
        <v>20</v>
      </c>
      <c r="G409" s="10"/>
      <c r="H409" s="10">
        <v>26</v>
      </c>
      <c r="I409" s="10">
        <v>32</v>
      </c>
      <c r="J409" s="7"/>
      <c r="K409" s="7">
        <v>25</v>
      </c>
      <c r="L409" s="7"/>
      <c r="M409" s="7">
        <f t="shared" si="55"/>
        <v>163</v>
      </c>
      <c r="N409" s="7">
        <v>60</v>
      </c>
      <c r="O409" s="7">
        <f t="shared" si="52"/>
        <v>-98</v>
      </c>
      <c r="P409" s="48">
        <v>7</v>
      </c>
    </row>
    <row r="410" spans="2:16" ht="15.75" x14ac:dyDescent="0.25">
      <c r="B410" s="2">
        <f t="shared" si="51"/>
        <v>0</v>
      </c>
      <c r="C410" s="5" t="s">
        <v>37</v>
      </c>
      <c r="D410" s="7"/>
      <c r="E410" s="7"/>
      <c r="F410" s="10"/>
      <c r="G410" s="10"/>
      <c r="H410" s="10"/>
      <c r="I410" s="10"/>
      <c r="J410" s="7"/>
      <c r="K410" s="7"/>
      <c r="L410" s="7"/>
      <c r="M410" s="7">
        <f t="shared" si="55"/>
        <v>0</v>
      </c>
      <c r="N410" s="7"/>
      <c r="O410" s="7">
        <f t="shared" si="52"/>
        <v>0</v>
      </c>
      <c r="P410" s="48"/>
    </row>
    <row r="411" spans="2:16" ht="15.75" x14ac:dyDescent="0.25">
      <c r="B411" s="2">
        <f t="shared" si="51"/>
        <v>0</v>
      </c>
      <c r="C411" s="5" t="s">
        <v>105</v>
      </c>
      <c r="D411" s="7"/>
      <c r="E411" s="7"/>
      <c r="F411" s="10"/>
      <c r="G411" s="10"/>
      <c r="H411" s="10"/>
      <c r="I411" s="10"/>
      <c r="J411" s="7"/>
      <c r="K411" s="7"/>
      <c r="L411" s="7"/>
      <c r="M411" s="7">
        <f t="shared" si="55"/>
        <v>0</v>
      </c>
      <c r="N411" s="7"/>
      <c r="O411" s="7">
        <f t="shared" si="52"/>
        <v>0</v>
      </c>
      <c r="P411" s="48"/>
    </row>
    <row r="412" spans="2:16" ht="15.75" x14ac:dyDescent="0.25">
      <c r="B412" s="2">
        <f t="shared" si="51"/>
        <v>-26</v>
      </c>
      <c r="C412" s="5" t="s">
        <v>19</v>
      </c>
      <c r="D412" s="7">
        <v>26</v>
      </c>
      <c r="E412" s="7"/>
      <c r="F412" s="10"/>
      <c r="G412" s="10"/>
      <c r="H412" s="10"/>
      <c r="I412" s="10"/>
      <c r="J412" s="7"/>
      <c r="K412" s="7"/>
      <c r="L412" s="7"/>
      <c r="M412" s="7">
        <f t="shared" si="55"/>
        <v>26</v>
      </c>
      <c r="N412" s="7">
        <f>26+26</f>
        <v>52</v>
      </c>
      <c r="O412" s="7">
        <f t="shared" si="52"/>
        <v>0</v>
      </c>
      <c r="P412" s="48">
        <v>6.23</v>
      </c>
    </row>
    <row r="413" spans="2:16" ht="15.75" x14ac:dyDescent="0.25">
      <c r="B413" s="2">
        <f t="shared" si="51"/>
        <v>7</v>
      </c>
      <c r="C413" s="5" t="s">
        <v>136</v>
      </c>
      <c r="D413" s="7"/>
      <c r="E413" s="7"/>
      <c r="F413" s="10"/>
      <c r="G413" s="10"/>
      <c r="H413" s="10"/>
      <c r="I413" s="10"/>
      <c r="J413" s="7"/>
      <c r="K413" s="7"/>
      <c r="L413" s="7"/>
      <c r="M413" s="7">
        <f>SUM(D413:L413)</f>
        <v>0</v>
      </c>
      <c r="N413" s="7"/>
      <c r="O413" s="8">
        <f t="shared" si="52"/>
        <v>7</v>
      </c>
      <c r="P413" s="48"/>
    </row>
    <row r="414" spans="2:16" ht="15.75" x14ac:dyDescent="0.25">
      <c r="B414" s="2">
        <f t="shared" si="51"/>
        <v>-70</v>
      </c>
      <c r="C414" s="5" t="s">
        <v>111</v>
      </c>
      <c r="D414" s="6"/>
      <c r="E414" s="7"/>
      <c r="F414" s="10"/>
      <c r="G414" s="10"/>
      <c r="H414" s="10"/>
      <c r="I414" s="10"/>
      <c r="J414" s="7"/>
      <c r="K414" s="7"/>
      <c r="L414" s="7"/>
      <c r="M414" s="7">
        <f t="shared" ref="M414:M417" si="56">SUM(D414:L414)</f>
        <v>0</v>
      </c>
      <c r="N414" s="7"/>
      <c r="O414" s="7">
        <f t="shared" si="52"/>
        <v>-70</v>
      </c>
      <c r="P414" s="48"/>
    </row>
    <row r="415" spans="2:16" ht="15.75" x14ac:dyDescent="0.25">
      <c r="B415" s="2">
        <f t="shared" si="51"/>
        <v>-51</v>
      </c>
      <c r="C415" s="5" t="s">
        <v>428</v>
      </c>
      <c r="D415" s="6"/>
      <c r="E415" s="7"/>
      <c r="F415" s="10"/>
      <c r="G415" s="10">
        <f>15.3+26</f>
        <v>41.3</v>
      </c>
      <c r="H415" s="10"/>
      <c r="I415" s="10"/>
      <c r="J415" s="7"/>
      <c r="K415" s="7"/>
      <c r="L415" s="7"/>
      <c r="M415" s="7">
        <f t="shared" si="56"/>
        <v>41.3</v>
      </c>
      <c r="N415" s="7"/>
      <c r="O415" s="7">
        <f t="shared" si="52"/>
        <v>-92.3</v>
      </c>
      <c r="P415" s="48"/>
    </row>
    <row r="416" spans="2:16" ht="15.75" x14ac:dyDescent="0.25">
      <c r="B416" s="2">
        <f t="shared" si="51"/>
        <v>0</v>
      </c>
      <c r="C416" s="5" t="s">
        <v>115</v>
      </c>
      <c r="D416" s="6"/>
      <c r="E416" s="7"/>
      <c r="F416" s="10"/>
      <c r="G416" s="10"/>
      <c r="H416" s="10"/>
      <c r="I416" s="10"/>
      <c r="J416" s="7"/>
      <c r="K416" s="7"/>
      <c r="L416" s="7"/>
      <c r="M416" s="7">
        <f t="shared" si="56"/>
        <v>0</v>
      </c>
      <c r="N416" s="7"/>
      <c r="O416" s="7">
        <f t="shared" si="52"/>
        <v>0</v>
      </c>
      <c r="P416" s="48"/>
    </row>
    <row r="417" spans="2:16" ht="15.75" x14ac:dyDescent="0.25">
      <c r="B417" s="2">
        <f t="shared" si="51"/>
        <v>0</v>
      </c>
      <c r="C417" s="5" t="s">
        <v>252</v>
      </c>
      <c r="D417" s="7"/>
      <c r="E417" s="7"/>
      <c r="F417" s="10"/>
      <c r="G417" s="10"/>
      <c r="H417" s="10"/>
      <c r="I417" s="10"/>
      <c r="J417" s="7"/>
      <c r="K417" s="7"/>
      <c r="L417" s="7"/>
      <c r="M417" s="7">
        <f t="shared" si="56"/>
        <v>0</v>
      </c>
      <c r="N417" s="7"/>
      <c r="O417" s="7">
        <f t="shared" si="52"/>
        <v>0</v>
      </c>
      <c r="P417" s="48"/>
    </row>
    <row r="418" spans="2:16" ht="15.75" x14ac:dyDescent="0.25">
      <c r="B418" s="2">
        <f t="shared" si="51"/>
        <v>64</v>
      </c>
      <c r="C418" s="5" t="s">
        <v>117</v>
      </c>
      <c r="D418" s="7"/>
      <c r="E418" s="7"/>
      <c r="F418" s="10"/>
      <c r="G418" s="10">
        <v>205.7</v>
      </c>
      <c r="H418" s="10"/>
      <c r="I418" s="10"/>
      <c r="J418" s="7"/>
      <c r="K418" s="7"/>
      <c r="L418" s="7"/>
      <c r="M418" s="7">
        <f>SUM(D418:L418)</f>
        <v>205.7</v>
      </c>
      <c r="N418" s="7">
        <v>141.69999999999999</v>
      </c>
      <c r="O418" s="7">
        <f t="shared" si="52"/>
        <v>0</v>
      </c>
      <c r="P418" s="48">
        <v>7</v>
      </c>
    </row>
    <row r="419" spans="2:16" ht="15.75" x14ac:dyDescent="0.25">
      <c r="B419" s="2">
        <f t="shared" si="51"/>
        <v>-84.19</v>
      </c>
      <c r="C419" s="5" t="s">
        <v>20</v>
      </c>
      <c r="D419" s="7"/>
      <c r="E419" s="7"/>
      <c r="F419" s="10">
        <v>43.2</v>
      </c>
      <c r="G419" s="10"/>
      <c r="H419" s="10"/>
      <c r="I419" s="10"/>
      <c r="J419" s="7"/>
      <c r="K419" s="7"/>
      <c r="L419" s="7"/>
      <c r="M419" s="7">
        <f t="shared" ref="M419:M428" si="57">SUM(D419:L419)</f>
        <v>43.2</v>
      </c>
      <c r="N419" s="7">
        <v>100</v>
      </c>
      <c r="O419" s="7">
        <f t="shared" si="52"/>
        <v>-27.39</v>
      </c>
      <c r="P419" s="49">
        <v>14</v>
      </c>
    </row>
    <row r="420" spans="2:16" ht="15.75" x14ac:dyDescent="0.25">
      <c r="B420" s="2">
        <f t="shared" si="51"/>
        <v>0</v>
      </c>
      <c r="C420" s="5" t="s">
        <v>233</v>
      </c>
      <c r="D420" s="7"/>
      <c r="E420" s="7"/>
      <c r="F420" s="10"/>
      <c r="G420" s="10"/>
      <c r="H420" s="10"/>
      <c r="I420" s="10"/>
      <c r="J420" s="7"/>
      <c r="K420" s="7"/>
      <c r="L420" s="7"/>
      <c r="M420" s="7">
        <f t="shared" si="57"/>
        <v>0</v>
      </c>
      <c r="N420" s="7"/>
      <c r="O420" s="7">
        <f t="shared" si="52"/>
        <v>0</v>
      </c>
      <c r="P420" s="48"/>
    </row>
    <row r="421" spans="2:16" ht="15.75" x14ac:dyDescent="0.25">
      <c r="B421" s="2">
        <f t="shared" si="51"/>
        <v>0</v>
      </c>
      <c r="C421" s="5" t="s">
        <v>13</v>
      </c>
      <c r="D421" s="7"/>
      <c r="E421" s="7"/>
      <c r="F421" s="10"/>
      <c r="G421" s="10"/>
      <c r="H421" s="10"/>
      <c r="I421" s="10"/>
      <c r="J421" s="7"/>
      <c r="K421" s="7">
        <v>43.2</v>
      </c>
      <c r="L421" s="7"/>
      <c r="M421" s="7">
        <f t="shared" si="57"/>
        <v>43.2</v>
      </c>
      <c r="N421" s="7"/>
      <c r="O421" s="7">
        <f t="shared" si="52"/>
        <v>-43.2</v>
      </c>
      <c r="P421" s="48"/>
    </row>
    <row r="422" spans="2:16" ht="15.75" x14ac:dyDescent="0.25">
      <c r="B422" s="2">
        <f t="shared" si="51"/>
        <v>0</v>
      </c>
      <c r="C422" s="5" t="s">
        <v>22</v>
      </c>
      <c r="D422" s="7"/>
      <c r="E422" s="7"/>
      <c r="F422" s="10"/>
      <c r="G422" s="10"/>
      <c r="H422" s="10"/>
      <c r="I422" s="10"/>
      <c r="J422" s="7"/>
      <c r="K422" s="7"/>
      <c r="L422" s="7"/>
      <c r="M422" s="7">
        <f t="shared" si="57"/>
        <v>0</v>
      </c>
      <c r="N422" s="7"/>
      <c r="O422" s="7">
        <f t="shared" si="52"/>
        <v>0</v>
      </c>
      <c r="P422" s="48"/>
    </row>
    <row r="423" spans="2:16" ht="15.75" x14ac:dyDescent="0.25">
      <c r="B423" s="2">
        <f t="shared" si="51"/>
        <v>0</v>
      </c>
      <c r="C423" s="5" t="s">
        <v>523</v>
      </c>
      <c r="D423" s="7"/>
      <c r="E423" s="7"/>
      <c r="F423" s="10"/>
      <c r="G423" s="10"/>
      <c r="H423" s="10"/>
      <c r="I423" s="10">
        <v>72</v>
      </c>
      <c r="J423" s="7"/>
      <c r="K423" s="7"/>
      <c r="L423" s="7"/>
      <c r="M423" s="7">
        <f t="shared" si="57"/>
        <v>72</v>
      </c>
      <c r="N423" s="7">
        <v>72</v>
      </c>
      <c r="O423" s="7">
        <f t="shared" si="52"/>
        <v>0</v>
      </c>
      <c r="P423" s="48">
        <v>31</v>
      </c>
    </row>
    <row r="424" spans="2:16" ht="15.75" x14ac:dyDescent="0.25">
      <c r="B424" s="2">
        <f t="shared" si="51"/>
        <v>0</v>
      </c>
      <c r="C424" s="5" t="s">
        <v>507</v>
      </c>
      <c r="D424" s="7"/>
      <c r="E424" s="7"/>
      <c r="F424" s="10"/>
      <c r="G424" s="10"/>
      <c r="H424" s="10"/>
      <c r="I424" s="10"/>
      <c r="J424" s="7"/>
      <c r="K424" s="7"/>
      <c r="L424" s="7"/>
      <c r="M424" s="7">
        <f t="shared" si="57"/>
        <v>0</v>
      </c>
      <c r="N424" s="7"/>
      <c r="O424" s="7">
        <f t="shared" si="52"/>
        <v>0</v>
      </c>
      <c r="P424" s="48"/>
    </row>
    <row r="425" spans="2:16" ht="15.75" x14ac:dyDescent="0.25">
      <c r="B425" s="2">
        <f t="shared" si="51"/>
        <v>21.6</v>
      </c>
      <c r="C425" s="5" t="s">
        <v>519</v>
      </c>
      <c r="D425" s="7">
        <v>21.6</v>
      </c>
      <c r="E425" s="7"/>
      <c r="F425" s="10"/>
      <c r="G425" s="10"/>
      <c r="H425" s="10"/>
      <c r="I425" s="10"/>
      <c r="J425" s="7"/>
      <c r="K425" s="7"/>
      <c r="L425" s="7"/>
      <c r="M425" s="7">
        <f t="shared" si="57"/>
        <v>21.6</v>
      </c>
      <c r="N425" s="7"/>
      <c r="O425" s="7">
        <f t="shared" si="52"/>
        <v>0</v>
      </c>
      <c r="P425" s="48"/>
    </row>
    <row r="426" spans="2:16" ht="15.75" x14ac:dyDescent="0.25">
      <c r="B426" s="2">
        <f t="shared" si="51"/>
        <v>-42.3</v>
      </c>
      <c r="C426" s="5" t="s">
        <v>518</v>
      </c>
      <c r="D426" s="7"/>
      <c r="E426" s="7"/>
      <c r="F426" s="10"/>
      <c r="G426" s="10"/>
      <c r="H426" s="10"/>
      <c r="I426" s="10"/>
      <c r="J426" s="7"/>
      <c r="K426" s="7"/>
      <c r="L426" s="7"/>
      <c r="M426" s="7">
        <f t="shared" si="57"/>
        <v>0</v>
      </c>
      <c r="N426" s="7"/>
      <c r="O426" s="7">
        <f t="shared" si="52"/>
        <v>-42.3</v>
      </c>
      <c r="P426" s="48"/>
    </row>
    <row r="427" spans="2:16" ht="15.75" x14ac:dyDescent="0.25">
      <c r="B427" s="2">
        <f t="shared" si="51"/>
        <v>-52</v>
      </c>
      <c r="C427" s="5" t="s">
        <v>135</v>
      </c>
      <c r="D427" s="7"/>
      <c r="E427" s="7"/>
      <c r="F427" s="10"/>
      <c r="G427" s="10"/>
      <c r="H427" s="10"/>
      <c r="I427" s="10"/>
      <c r="J427" s="7"/>
      <c r="K427" s="7"/>
      <c r="L427" s="7"/>
      <c r="M427" s="7">
        <f t="shared" si="57"/>
        <v>0</v>
      </c>
      <c r="N427" s="7"/>
      <c r="O427" s="7">
        <f>N427+B427-M427</f>
        <v>-52</v>
      </c>
      <c r="P427" s="48"/>
    </row>
    <row r="428" spans="2:16" ht="15.75" x14ac:dyDescent="0.25">
      <c r="B428" s="2">
        <f t="shared" si="51"/>
        <v>4.1999999999999993</v>
      </c>
      <c r="C428" s="5" t="s">
        <v>120</v>
      </c>
      <c r="D428" s="7"/>
      <c r="E428" s="7"/>
      <c r="F428" s="10"/>
      <c r="G428" s="10"/>
      <c r="H428" s="10"/>
      <c r="I428" s="10"/>
      <c r="J428" s="7"/>
      <c r="K428" s="7"/>
      <c r="L428" s="7"/>
      <c r="M428" s="7">
        <f t="shared" si="57"/>
        <v>0</v>
      </c>
      <c r="N428" s="7"/>
      <c r="O428" s="7">
        <f>N428+B428-M428</f>
        <v>4.1999999999999993</v>
      </c>
      <c r="P428" s="48"/>
    </row>
    <row r="429" spans="2:16" ht="15.75" x14ac:dyDescent="0.25">
      <c r="B429" s="2">
        <f t="shared" si="51"/>
        <v>-3785.6500000000005</v>
      </c>
      <c r="C429" s="6" t="s">
        <v>104</v>
      </c>
      <c r="D429" s="7">
        <f t="shared" ref="D429:H429" si="58">SUM(D371:D427)</f>
        <v>241.6</v>
      </c>
      <c r="E429" s="7">
        <f>SUM(E371:E427)</f>
        <v>1106.3</v>
      </c>
      <c r="F429" s="7">
        <f t="shared" si="58"/>
        <v>115.2</v>
      </c>
      <c r="G429" s="7">
        <f>SUM(G371:G427)</f>
        <v>482.5</v>
      </c>
      <c r="H429" s="7">
        <f t="shared" si="58"/>
        <v>213.1</v>
      </c>
      <c r="I429" s="7">
        <f>SUM(I371:I428)</f>
        <v>326.29999999999995</v>
      </c>
      <c r="J429" s="7">
        <f>SUM(J371:J428)</f>
        <v>127.6</v>
      </c>
      <c r="K429" s="7">
        <f>SUM(K371:K428)</f>
        <v>402.8</v>
      </c>
      <c r="L429" s="7">
        <f t="shared" ref="L429" si="59">SUM(L371:L427)</f>
        <v>254.6</v>
      </c>
      <c r="M429" s="7">
        <f>SUM(M371:M428)</f>
        <v>3269.9999999999995</v>
      </c>
      <c r="N429" s="15">
        <f>SUM(N371:N428)</f>
        <v>2683.6</v>
      </c>
      <c r="O429" s="7">
        <f>SUM(O371:O428)</f>
        <v>-4372.05</v>
      </c>
      <c r="P429" s="43"/>
    </row>
    <row r="432" spans="2:16" ht="15.75" x14ac:dyDescent="0.25">
      <c r="B432" s="57" t="s">
        <v>522</v>
      </c>
      <c r="C432" s="59"/>
      <c r="D432" s="27">
        <v>59</v>
      </c>
      <c r="E432" s="27">
        <v>60</v>
      </c>
      <c r="F432" s="27">
        <v>61</v>
      </c>
      <c r="G432" s="27">
        <v>62</v>
      </c>
      <c r="H432" s="27">
        <v>63</v>
      </c>
      <c r="I432" s="27">
        <v>64</v>
      </c>
      <c r="J432" s="27">
        <v>65</v>
      </c>
      <c r="K432" s="27">
        <v>66</v>
      </c>
      <c r="L432" s="27">
        <v>67</v>
      </c>
      <c r="M432" s="57" t="s">
        <v>68</v>
      </c>
      <c r="N432" s="61" t="s">
        <v>137</v>
      </c>
      <c r="O432" s="57" t="s">
        <v>524</v>
      </c>
    </row>
    <row r="433" spans="2:17" ht="15.75" x14ac:dyDescent="0.25">
      <c r="B433" s="58"/>
      <c r="C433" s="60"/>
      <c r="D433" s="26">
        <v>1</v>
      </c>
      <c r="E433" s="26">
        <v>5</v>
      </c>
      <c r="F433" s="26">
        <v>8</v>
      </c>
      <c r="G433" s="26">
        <v>12</v>
      </c>
      <c r="H433" s="26">
        <v>15</v>
      </c>
      <c r="I433" s="26">
        <v>19</v>
      </c>
      <c r="J433" s="26">
        <v>22</v>
      </c>
      <c r="K433" s="26">
        <v>26</v>
      </c>
      <c r="L433" s="26">
        <v>29</v>
      </c>
      <c r="M433" s="58"/>
      <c r="N433" s="62"/>
      <c r="O433" s="58"/>
      <c r="P433" s="7"/>
    </row>
    <row r="434" spans="2:17" ht="15.75" x14ac:dyDescent="0.25">
      <c r="B434" s="2">
        <f>O371</f>
        <v>0</v>
      </c>
      <c r="C434" s="5" t="s">
        <v>123</v>
      </c>
      <c r="D434" s="6"/>
      <c r="E434" s="6"/>
      <c r="F434" s="6">
        <v>18</v>
      </c>
      <c r="G434" s="6"/>
      <c r="H434" s="6"/>
      <c r="I434" s="6">
        <v>18</v>
      </c>
      <c r="J434" s="6"/>
      <c r="K434" s="6">
        <v>18</v>
      </c>
      <c r="L434" s="6"/>
      <c r="M434" s="7">
        <f>SUM(D434:L434)</f>
        <v>54</v>
      </c>
      <c r="N434" s="7">
        <f>18+18</f>
        <v>36</v>
      </c>
      <c r="O434" s="7">
        <f>N434+B434-M434</f>
        <v>-18</v>
      </c>
      <c r="P434" s="7" t="s">
        <v>528</v>
      </c>
    </row>
    <row r="435" spans="2:17" ht="15.75" x14ac:dyDescent="0.25">
      <c r="B435" s="2">
        <f t="shared" ref="B435:B444" si="60">O372</f>
        <v>-6</v>
      </c>
      <c r="C435" s="5" t="s">
        <v>125</v>
      </c>
      <c r="D435" s="6"/>
      <c r="E435" s="7"/>
      <c r="F435" s="6"/>
      <c r="G435" s="7"/>
      <c r="H435" s="7"/>
      <c r="I435" s="6"/>
      <c r="J435" s="7"/>
      <c r="K435" s="7"/>
      <c r="L435" s="7"/>
      <c r="M435" s="7">
        <f>SUM(D435:L435)</f>
        <v>0</v>
      </c>
      <c r="N435" s="7"/>
      <c r="O435" s="7">
        <f t="shared" ref="O435:O490" si="61">N435+B435-M435</f>
        <v>-6</v>
      </c>
      <c r="P435" s="48"/>
    </row>
    <row r="436" spans="2:17" ht="15.75" x14ac:dyDescent="0.25">
      <c r="B436" s="2">
        <f t="shared" si="60"/>
        <v>-26.000000000000057</v>
      </c>
      <c r="C436" s="5" t="s">
        <v>194</v>
      </c>
      <c r="D436" s="7"/>
      <c r="E436" s="7"/>
      <c r="F436" s="7"/>
      <c r="G436" s="7">
        <v>26</v>
      </c>
      <c r="H436" s="7"/>
      <c r="I436" s="7"/>
      <c r="J436" s="7"/>
      <c r="K436" s="15"/>
      <c r="L436" s="7">
        <v>26</v>
      </c>
      <c r="M436" s="7">
        <f>SUM(D436:L436)</f>
        <v>52</v>
      </c>
      <c r="N436" s="7"/>
      <c r="O436" s="7">
        <f t="shared" si="61"/>
        <v>-78.000000000000057</v>
      </c>
      <c r="P436" s="38"/>
    </row>
    <row r="437" spans="2:17" ht="15.75" x14ac:dyDescent="0.25">
      <c r="B437" s="2">
        <f t="shared" si="60"/>
        <v>-26</v>
      </c>
      <c r="C437" s="5" t="s">
        <v>2</v>
      </c>
      <c r="D437" s="6"/>
      <c r="E437" s="7"/>
      <c r="F437" s="6"/>
      <c r="G437" s="7"/>
      <c r="H437" s="7"/>
      <c r="I437" s="7"/>
      <c r="J437" s="7"/>
      <c r="K437" s="7"/>
      <c r="L437" s="7"/>
      <c r="M437" s="7">
        <f>SUM(D437:L437)</f>
        <v>0</v>
      </c>
      <c r="N437" s="7"/>
      <c r="O437" s="7">
        <f t="shared" si="61"/>
        <v>-26</v>
      </c>
      <c r="P437" s="38"/>
    </row>
    <row r="438" spans="2:17" ht="15.75" x14ac:dyDescent="0.25">
      <c r="B438" s="2">
        <f t="shared" si="60"/>
        <v>0</v>
      </c>
      <c r="C438" s="5" t="s">
        <v>129</v>
      </c>
      <c r="D438" s="6"/>
      <c r="E438" s="7"/>
      <c r="F438" s="6"/>
      <c r="G438" s="6"/>
      <c r="H438" s="6"/>
      <c r="I438" s="7"/>
      <c r="J438" s="6"/>
      <c r="K438" s="7"/>
      <c r="L438" s="7"/>
      <c r="M438" s="7">
        <f t="shared" ref="M438:M456" si="62">SUM(D438:L438)</f>
        <v>0</v>
      </c>
      <c r="N438" s="7"/>
      <c r="O438" s="7">
        <f t="shared" si="61"/>
        <v>0</v>
      </c>
      <c r="P438" s="48"/>
    </row>
    <row r="439" spans="2:17" ht="15.75" x14ac:dyDescent="0.25">
      <c r="B439" s="2">
        <f t="shared" si="60"/>
        <v>-25</v>
      </c>
      <c r="C439" s="5" t="s">
        <v>195</v>
      </c>
      <c r="D439" s="6"/>
      <c r="E439" s="7"/>
      <c r="F439" s="6"/>
      <c r="G439" s="6"/>
      <c r="H439" s="6"/>
      <c r="I439" s="7"/>
      <c r="J439" s="7"/>
      <c r="K439" s="7"/>
      <c r="L439" s="7"/>
      <c r="M439" s="7">
        <f t="shared" si="62"/>
        <v>0</v>
      </c>
      <c r="N439" s="7"/>
      <c r="O439" s="7">
        <f t="shared" si="61"/>
        <v>-25</v>
      </c>
      <c r="P439" s="48"/>
    </row>
    <row r="440" spans="2:17" ht="15.75" x14ac:dyDescent="0.25">
      <c r="B440" s="2">
        <f t="shared" si="60"/>
        <v>-6</v>
      </c>
      <c r="C440" s="5" t="s">
        <v>128</v>
      </c>
      <c r="D440" s="7"/>
      <c r="E440" s="7"/>
      <c r="F440" s="7"/>
      <c r="G440" s="7"/>
      <c r="H440" s="7"/>
      <c r="I440" s="7"/>
      <c r="J440" s="7">
        <v>26</v>
      </c>
      <c r="K440" s="7"/>
      <c r="L440" s="7"/>
      <c r="M440" s="7">
        <f t="shared" si="62"/>
        <v>26</v>
      </c>
      <c r="N440" s="7">
        <v>26</v>
      </c>
      <c r="O440" s="7">
        <f t="shared" si="61"/>
        <v>-6</v>
      </c>
      <c r="P440" s="48">
        <v>4</v>
      </c>
    </row>
    <row r="441" spans="2:17" ht="15.75" x14ac:dyDescent="0.25">
      <c r="B441" s="2">
        <f t="shared" si="60"/>
        <v>-285.2</v>
      </c>
      <c r="C441" s="5" t="s">
        <v>127</v>
      </c>
      <c r="D441" s="6"/>
      <c r="E441" s="7"/>
      <c r="F441" s="7"/>
      <c r="G441" s="7"/>
      <c r="H441" s="7"/>
      <c r="I441" s="7"/>
      <c r="J441" s="6"/>
      <c r="K441" s="7"/>
      <c r="L441" s="7"/>
      <c r="M441" s="7">
        <f t="shared" si="62"/>
        <v>0</v>
      </c>
      <c r="N441" s="7">
        <v>26</v>
      </c>
      <c r="O441" s="7">
        <f t="shared" si="61"/>
        <v>-259.2</v>
      </c>
      <c r="P441" s="48">
        <v>6</v>
      </c>
    </row>
    <row r="442" spans="2:17" ht="15.75" x14ac:dyDescent="0.25">
      <c r="B442" s="2">
        <f t="shared" si="60"/>
        <v>-26</v>
      </c>
      <c r="C442" s="5" t="s">
        <v>126</v>
      </c>
      <c r="D442" s="6"/>
      <c r="E442" s="7"/>
      <c r="F442" s="6"/>
      <c r="G442" s="6"/>
      <c r="H442" s="6"/>
      <c r="I442" s="7"/>
      <c r="J442" s="6"/>
      <c r="K442" s="7"/>
      <c r="L442" s="7"/>
      <c r="M442" s="7">
        <f t="shared" si="62"/>
        <v>0</v>
      </c>
      <c r="N442" s="7"/>
      <c r="O442" s="7">
        <f t="shared" si="61"/>
        <v>-26</v>
      </c>
      <c r="P442" s="48"/>
    </row>
    <row r="443" spans="2:17" ht="15.75" x14ac:dyDescent="0.25">
      <c r="B443" s="2">
        <f t="shared" si="60"/>
        <v>-528.20000000000005</v>
      </c>
      <c r="C443" s="5" t="s">
        <v>130</v>
      </c>
      <c r="D443" s="7"/>
      <c r="E443" s="7"/>
      <c r="F443" s="7"/>
      <c r="G443" s="7"/>
      <c r="H443" s="7"/>
      <c r="I443" s="7"/>
      <c r="J443" s="6"/>
      <c r="K443" s="7"/>
      <c r="L443" s="7"/>
      <c r="M443" s="7">
        <f t="shared" si="62"/>
        <v>0</v>
      </c>
      <c r="N443" s="7"/>
      <c r="O443" s="7">
        <f t="shared" si="61"/>
        <v>-528.20000000000005</v>
      </c>
      <c r="P443" s="48"/>
    </row>
    <row r="444" spans="2:17" ht="15.75" x14ac:dyDescent="0.25">
      <c r="B444" s="2">
        <f t="shared" si="60"/>
        <v>-138.42999999999998</v>
      </c>
      <c r="C444" s="5" t="s">
        <v>131</v>
      </c>
      <c r="D444" s="7"/>
      <c r="E444" s="7"/>
      <c r="F444" s="7"/>
      <c r="G444" s="7"/>
      <c r="H444" s="7"/>
      <c r="I444" s="7"/>
      <c r="J444" s="7">
        <v>34.700000000000003</v>
      </c>
      <c r="K444" s="7"/>
      <c r="L444" s="7"/>
      <c r="M444" s="7">
        <f t="shared" si="62"/>
        <v>34.700000000000003</v>
      </c>
      <c r="N444" s="7">
        <v>58.63</v>
      </c>
      <c r="O444" s="7">
        <f t="shared" si="61"/>
        <v>-114.49999999999999</v>
      </c>
      <c r="P444" s="48"/>
      <c r="Q444" s="24" t="s">
        <v>526</v>
      </c>
    </row>
    <row r="445" spans="2:17" ht="15.75" x14ac:dyDescent="0.25">
      <c r="B445" s="2">
        <v>0</v>
      </c>
      <c r="C445" s="5" t="s">
        <v>525</v>
      </c>
      <c r="D445" s="7"/>
      <c r="E445" s="7"/>
      <c r="F445" s="7"/>
      <c r="G445" s="7"/>
      <c r="H445" s="7"/>
      <c r="I445" s="7"/>
      <c r="J445" s="7"/>
      <c r="K445" s="7"/>
      <c r="L445" s="7"/>
      <c r="M445" s="7">
        <f t="shared" si="62"/>
        <v>0</v>
      </c>
      <c r="N445" s="7">
        <v>-58.63</v>
      </c>
      <c r="O445" s="7">
        <f t="shared" si="61"/>
        <v>-58.63</v>
      </c>
      <c r="P445" s="48"/>
    </row>
    <row r="446" spans="2:17" ht="15.75" x14ac:dyDescent="0.25">
      <c r="B446" s="2">
        <f t="shared" ref="B446:B493" si="63">O382</f>
        <v>-52</v>
      </c>
      <c r="C446" s="5" t="s">
        <v>132</v>
      </c>
      <c r="D446" s="7"/>
      <c r="E446" s="7"/>
      <c r="F446" s="7">
        <v>26</v>
      </c>
      <c r="G446" s="7"/>
      <c r="H446" s="7">
        <v>104</v>
      </c>
      <c r="I446" s="7"/>
      <c r="J446" s="7"/>
      <c r="K446" s="7"/>
      <c r="L446" s="7"/>
      <c r="M446" s="7">
        <f t="shared" si="62"/>
        <v>130</v>
      </c>
      <c r="N446" s="7">
        <v>130</v>
      </c>
      <c r="O446" s="7">
        <f t="shared" si="61"/>
        <v>-52</v>
      </c>
      <c r="P446" s="48">
        <v>20</v>
      </c>
    </row>
    <row r="447" spans="2:17" ht="15.75" x14ac:dyDescent="0.25">
      <c r="B447" s="2">
        <f t="shared" si="63"/>
        <v>-266.29999999999995</v>
      </c>
      <c r="C447" s="5" t="s">
        <v>9</v>
      </c>
      <c r="D447" s="6"/>
      <c r="E447" s="7"/>
      <c r="F447" s="7"/>
      <c r="G447" s="7"/>
      <c r="H447" s="7"/>
      <c r="I447" s="6">
        <v>59.4</v>
      </c>
      <c r="J447" s="7"/>
      <c r="K447" s="7"/>
      <c r="L447" s="7"/>
      <c r="M447" s="7">
        <f t="shared" si="62"/>
        <v>59.4</v>
      </c>
      <c r="N447" s="7"/>
      <c r="O447" s="7">
        <f t="shared" si="61"/>
        <v>-325.69999999999993</v>
      </c>
      <c r="P447" s="48"/>
    </row>
    <row r="448" spans="2:17" ht="15.75" x14ac:dyDescent="0.25">
      <c r="B448" s="2">
        <f t="shared" si="63"/>
        <v>15</v>
      </c>
      <c r="C448" s="5" t="s">
        <v>133</v>
      </c>
      <c r="D448" s="7"/>
      <c r="E448" s="7"/>
      <c r="F448" s="7"/>
      <c r="G448" s="7"/>
      <c r="H448" s="7"/>
      <c r="I448" s="7"/>
      <c r="J448" s="7"/>
      <c r="K448" s="7"/>
      <c r="L448" s="7"/>
      <c r="M448" s="7">
        <f t="shared" si="62"/>
        <v>0</v>
      </c>
      <c r="N448" s="8"/>
      <c r="O448" s="7">
        <f t="shared" si="61"/>
        <v>15</v>
      </c>
      <c r="P448" s="48"/>
    </row>
    <row r="449" spans="2:16" ht="15.75" x14ac:dyDescent="0.25">
      <c r="B449" s="2">
        <f t="shared" si="63"/>
        <v>-85.5</v>
      </c>
      <c r="C449" s="5" t="s">
        <v>96</v>
      </c>
      <c r="D449" s="7"/>
      <c r="E449" s="7"/>
      <c r="F449" s="7"/>
      <c r="G449" s="7"/>
      <c r="H449" s="7"/>
      <c r="I449" s="7"/>
      <c r="J449" s="7"/>
      <c r="K449" s="7"/>
      <c r="L449" s="7">
        <v>26</v>
      </c>
      <c r="M449" s="7">
        <f t="shared" si="62"/>
        <v>26</v>
      </c>
      <c r="N449" s="7"/>
      <c r="O449" s="7">
        <f t="shared" si="61"/>
        <v>-111.5</v>
      </c>
      <c r="P449" s="48"/>
    </row>
    <row r="450" spans="2:16" ht="15.75" x14ac:dyDescent="0.25">
      <c r="B450" s="2">
        <f t="shared" si="63"/>
        <v>0</v>
      </c>
      <c r="C450" s="5" t="s">
        <v>134</v>
      </c>
      <c r="D450" s="7"/>
      <c r="E450" s="7"/>
      <c r="F450" s="6"/>
      <c r="G450" s="7"/>
      <c r="H450" s="7"/>
      <c r="I450" s="7"/>
      <c r="J450" s="7"/>
      <c r="K450" s="7"/>
      <c r="L450" s="7"/>
      <c r="M450" s="7">
        <f t="shared" si="62"/>
        <v>0</v>
      </c>
      <c r="N450" s="7"/>
      <c r="O450" s="7">
        <f t="shared" si="61"/>
        <v>0</v>
      </c>
      <c r="P450" s="48"/>
    </row>
    <row r="451" spans="2:16" ht="15.75" x14ac:dyDescent="0.25">
      <c r="B451" s="2">
        <f t="shared" si="63"/>
        <v>26.100000000000009</v>
      </c>
      <c r="C451" s="5" t="s">
        <v>99</v>
      </c>
      <c r="D451" s="7"/>
      <c r="E451" s="7"/>
      <c r="F451" s="6"/>
      <c r="G451" s="7"/>
      <c r="H451" s="7"/>
      <c r="I451" s="7"/>
      <c r="J451" s="6"/>
      <c r="K451" s="6">
        <v>11.7</v>
      </c>
      <c r="L451" s="7"/>
      <c r="M451" s="7">
        <f t="shared" si="62"/>
        <v>11.7</v>
      </c>
      <c r="N451" s="7"/>
      <c r="O451" s="7">
        <f t="shared" si="61"/>
        <v>14.400000000000009</v>
      </c>
      <c r="P451" s="48"/>
    </row>
    <row r="452" spans="2:16" ht="15.75" x14ac:dyDescent="0.25">
      <c r="B452" s="2">
        <f t="shared" si="63"/>
        <v>-408.89</v>
      </c>
      <c r="C452" s="5" t="s">
        <v>53</v>
      </c>
      <c r="D452" s="7"/>
      <c r="E452" s="7"/>
      <c r="F452" s="7"/>
      <c r="G452" s="7"/>
      <c r="H452" s="7"/>
      <c r="I452" s="7"/>
      <c r="J452" s="7"/>
      <c r="K452" s="7"/>
      <c r="L452" s="7"/>
      <c r="M452" s="7">
        <f t="shared" si="62"/>
        <v>0</v>
      </c>
      <c r="N452" s="7"/>
      <c r="O452" s="7">
        <f t="shared" si="61"/>
        <v>-408.89</v>
      </c>
      <c r="P452" s="48"/>
    </row>
    <row r="453" spans="2:16" ht="15.75" x14ac:dyDescent="0.25">
      <c r="B453" s="2">
        <f t="shared" si="63"/>
        <v>-150.29999999999998</v>
      </c>
      <c r="C453" s="5" t="s">
        <v>33</v>
      </c>
      <c r="D453" s="7"/>
      <c r="E453" s="7">
        <v>17.100000000000001</v>
      </c>
      <c r="F453" s="7"/>
      <c r="G453" s="7"/>
      <c r="H453" s="7"/>
      <c r="I453" s="7"/>
      <c r="J453" s="7"/>
      <c r="K453" s="7"/>
      <c r="L453" s="7">
        <v>44.6</v>
      </c>
      <c r="M453" s="7">
        <f t="shared" si="62"/>
        <v>61.7</v>
      </c>
      <c r="N453" s="7">
        <v>17.100000000000001</v>
      </c>
      <c r="O453" s="7">
        <f t="shared" si="61"/>
        <v>-194.89999999999998</v>
      </c>
      <c r="P453" s="48">
        <v>17</v>
      </c>
    </row>
    <row r="454" spans="2:16" ht="15.75" x14ac:dyDescent="0.25">
      <c r="B454" s="2">
        <f t="shared" si="63"/>
        <v>0</v>
      </c>
      <c r="C454" s="5" t="s">
        <v>480</v>
      </c>
      <c r="D454" s="7"/>
      <c r="E454" s="7"/>
      <c r="F454" s="7"/>
      <c r="G454" s="7"/>
      <c r="H454" s="7"/>
      <c r="I454" s="7"/>
      <c r="J454" s="7"/>
      <c r="K454" s="7"/>
      <c r="L454" s="7"/>
      <c r="M454" s="7">
        <f t="shared" si="62"/>
        <v>0</v>
      </c>
      <c r="N454" s="7"/>
      <c r="O454" s="7">
        <f t="shared" si="61"/>
        <v>0</v>
      </c>
      <c r="P454" s="48"/>
    </row>
    <row r="455" spans="2:16" ht="15.75" x14ac:dyDescent="0.25">
      <c r="B455" s="2">
        <f t="shared" si="63"/>
        <v>-99.699999999999989</v>
      </c>
      <c r="C455" s="5" t="s">
        <v>23</v>
      </c>
      <c r="D455" s="7"/>
      <c r="E455" s="7"/>
      <c r="F455" s="10"/>
      <c r="G455" s="10"/>
      <c r="H455" s="10"/>
      <c r="I455" s="10"/>
      <c r="J455" s="7"/>
      <c r="K455" s="7"/>
      <c r="L455" s="7">
        <f>36.5+19.8</f>
        <v>56.3</v>
      </c>
      <c r="M455" s="7">
        <f t="shared" si="62"/>
        <v>56.3</v>
      </c>
      <c r="N455" s="7"/>
      <c r="O455" s="7">
        <f t="shared" si="61"/>
        <v>-156</v>
      </c>
      <c r="P455" s="48"/>
    </row>
    <row r="456" spans="2:16" ht="15.75" x14ac:dyDescent="0.25">
      <c r="B456" s="2">
        <f t="shared" si="63"/>
        <v>-51.2</v>
      </c>
      <c r="C456" s="5" t="s">
        <v>24</v>
      </c>
      <c r="D456" s="7"/>
      <c r="E456" s="7"/>
      <c r="F456" s="10"/>
      <c r="G456" s="10"/>
      <c r="H456" s="10"/>
      <c r="I456" s="10"/>
      <c r="J456" s="7"/>
      <c r="K456" s="7">
        <v>111.6</v>
      </c>
      <c r="L456" s="7"/>
      <c r="M456" s="7">
        <f t="shared" si="62"/>
        <v>111.6</v>
      </c>
      <c r="N456" s="7"/>
      <c r="O456" s="7">
        <f t="shared" si="61"/>
        <v>-162.80000000000001</v>
      </c>
      <c r="P456" s="48"/>
    </row>
    <row r="457" spans="2:16" ht="15.75" x14ac:dyDescent="0.25">
      <c r="B457" s="2">
        <f t="shared" si="63"/>
        <v>0</v>
      </c>
      <c r="C457" s="5" t="s">
        <v>513</v>
      </c>
      <c r="D457" s="7"/>
      <c r="E457" s="7"/>
      <c r="F457" s="10"/>
      <c r="G457" s="10"/>
      <c r="H457" s="10"/>
      <c r="I457" s="10"/>
      <c r="J457" s="7"/>
      <c r="K457" s="7"/>
      <c r="L457" s="7"/>
      <c r="M457" s="7">
        <f>SUM(D457:L457)</f>
        <v>0</v>
      </c>
      <c r="N457" s="7"/>
      <c r="O457" s="7">
        <f t="shared" si="61"/>
        <v>0</v>
      </c>
      <c r="P457" s="48"/>
    </row>
    <row r="458" spans="2:16" ht="15.75" x14ac:dyDescent="0.25">
      <c r="B458" s="2">
        <f t="shared" si="63"/>
        <v>-115.2</v>
      </c>
      <c r="C458" s="5" t="s">
        <v>25</v>
      </c>
      <c r="D458" s="7"/>
      <c r="E458" s="7"/>
      <c r="F458" s="10"/>
      <c r="G458" s="10"/>
      <c r="H458" s="10">
        <v>91.8</v>
      </c>
      <c r="I458" s="10"/>
      <c r="J458" s="7"/>
      <c r="K458" s="7"/>
      <c r="L458" s="7"/>
      <c r="M458" s="7">
        <f>SUM(D458:L458)</f>
        <v>91.8</v>
      </c>
      <c r="N458" s="7">
        <v>207</v>
      </c>
      <c r="O458" s="7">
        <f t="shared" si="61"/>
        <v>0</v>
      </c>
      <c r="P458" s="48">
        <v>28</v>
      </c>
    </row>
    <row r="459" spans="2:16" ht="15.75" x14ac:dyDescent="0.25">
      <c r="B459" s="2">
        <f t="shared" si="63"/>
        <v>-17.399999999999984</v>
      </c>
      <c r="C459" s="5" t="s">
        <v>27</v>
      </c>
      <c r="D459" s="7"/>
      <c r="E459" s="7"/>
      <c r="F459" s="10"/>
      <c r="G459" s="10"/>
      <c r="H459" s="10">
        <v>18</v>
      </c>
      <c r="I459" s="10"/>
      <c r="J459" s="7"/>
      <c r="K459" s="7"/>
      <c r="L459" s="7">
        <v>36</v>
      </c>
      <c r="M459" s="7">
        <f>SUM(D459:L459)</f>
        <v>54</v>
      </c>
      <c r="N459" s="7">
        <v>60</v>
      </c>
      <c r="O459" s="7">
        <f t="shared" si="61"/>
        <v>-11.399999999999984</v>
      </c>
      <c r="P459" s="48">
        <v>24</v>
      </c>
    </row>
    <row r="460" spans="2:16" ht="15.75" x14ac:dyDescent="0.25">
      <c r="B460" s="2">
        <f t="shared" si="63"/>
        <v>108.06</v>
      </c>
      <c r="C460" s="5" t="s">
        <v>29</v>
      </c>
      <c r="D460" s="7"/>
      <c r="E460" s="7"/>
      <c r="F460" s="10"/>
      <c r="G460" s="10"/>
      <c r="H460" s="10"/>
      <c r="I460" s="10"/>
      <c r="J460" s="7"/>
      <c r="K460" s="7"/>
      <c r="L460" s="7">
        <v>90</v>
      </c>
      <c r="M460" s="7">
        <f t="shared" ref="M460:M461" si="64">SUM(D460:L460)</f>
        <v>90</v>
      </c>
      <c r="N460" s="7"/>
      <c r="O460" s="7">
        <f t="shared" si="61"/>
        <v>18.060000000000002</v>
      </c>
      <c r="P460" s="48"/>
    </row>
    <row r="461" spans="2:16" ht="15.75" x14ac:dyDescent="0.25">
      <c r="B461" s="2">
        <f t="shared" si="63"/>
        <v>-64.200000000000045</v>
      </c>
      <c r="C461" s="5" t="s">
        <v>30</v>
      </c>
      <c r="D461" s="7"/>
      <c r="E461" s="7"/>
      <c r="F461" s="10"/>
      <c r="G461" s="10"/>
      <c r="H461" s="10"/>
      <c r="I461" s="10"/>
      <c r="J461" s="7"/>
      <c r="K461" s="7"/>
      <c r="L461" s="7"/>
      <c r="M461" s="7">
        <f t="shared" si="64"/>
        <v>0</v>
      </c>
      <c r="N461" s="7"/>
      <c r="O461" s="7">
        <f t="shared" si="61"/>
        <v>-64.200000000000045</v>
      </c>
      <c r="P461" s="48"/>
    </row>
    <row r="462" spans="2:16" ht="15.75" x14ac:dyDescent="0.25">
      <c r="B462" s="2">
        <f t="shared" si="63"/>
        <v>0</v>
      </c>
      <c r="C462" s="5" t="s">
        <v>356</v>
      </c>
      <c r="D462" s="7"/>
      <c r="E462" s="7"/>
      <c r="F462" s="10"/>
      <c r="G462" s="10"/>
      <c r="H462" s="10"/>
      <c r="I462" s="10"/>
      <c r="J462" s="7"/>
      <c r="K462" s="7"/>
      <c r="L462" s="7"/>
      <c r="M462" s="7">
        <f>SUM(D462:L462)</f>
        <v>0</v>
      </c>
      <c r="N462" s="7"/>
      <c r="O462" s="7">
        <f t="shared" si="61"/>
        <v>0</v>
      </c>
      <c r="P462" s="48"/>
    </row>
    <row r="463" spans="2:16" ht="15.75" x14ac:dyDescent="0.25">
      <c r="B463" s="2">
        <f t="shared" si="63"/>
        <v>68</v>
      </c>
      <c r="C463" s="5" t="s">
        <v>529</v>
      </c>
      <c r="D463" s="7"/>
      <c r="E463" s="7"/>
      <c r="F463" s="10"/>
      <c r="G463" s="10"/>
      <c r="H463" s="10">
        <v>26</v>
      </c>
      <c r="I463" s="10"/>
      <c r="J463" s="7"/>
      <c r="K463" s="7"/>
      <c r="L463" s="7"/>
      <c r="M463" s="7">
        <f t="shared" ref="M463:M476" si="65">SUM(D463:L463)</f>
        <v>26</v>
      </c>
      <c r="N463" s="7">
        <v>26</v>
      </c>
      <c r="O463" s="7">
        <f t="shared" si="61"/>
        <v>68</v>
      </c>
      <c r="P463" s="48">
        <v>28</v>
      </c>
    </row>
    <row r="464" spans="2:16" ht="15.75" x14ac:dyDescent="0.25">
      <c r="B464" s="2">
        <f t="shared" si="63"/>
        <v>-52.8</v>
      </c>
      <c r="C464" s="5" t="s">
        <v>41</v>
      </c>
      <c r="D464" s="6"/>
      <c r="E464" s="7"/>
      <c r="F464" s="10"/>
      <c r="G464" s="10"/>
      <c r="H464" s="10"/>
      <c r="I464" s="10"/>
      <c r="J464" s="7"/>
      <c r="K464" s="7"/>
      <c r="L464" s="7"/>
      <c r="M464" s="7">
        <f t="shared" si="65"/>
        <v>0</v>
      </c>
      <c r="N464" s="7"/>
      <c r="O464" s="7">
        <f t="shared" si="61"/>
        <v>-52.8</v>
      </c>
      <c r="P464" s="48"/>
    </row>
    <row r="465" spans="2:16" ht="15.75" x14ac:dyDescent="0.25">
      <c r="B465" s="2">
        <f t="shared" si="63"/>
        <v>-229.6</v>
      </c>
      <c r="C465" s="5" t="s">
        <v>102</v>
      </c>
      <c r="D465" s="7">
        <v>25</v>
      </c>
      <c r="E465" s="7"/>
      <c r="F465" s="10"/>
      <c r="G465" s="10"/>
      <c r="H465" s="10"/>
      <c r="I465" s="10"/>
      <c r="J465" s="7"/>
      <c r="K465" s="7"/>
      <c r="L465" s="7"/>
      <c r="M465" s="7">
        <f t="shared" si="65"/>
        <v>25</v>
      </c>
      <c r="N465" s="7">
        <v>234.6</v>
      </c>
      <c r="O465" s="7">
        <f t="shared" si="61"/>
        <v>-20</v>
      </c>
      <c r="P465" s="48">
        <v>31</v>
      </c>
    </row>
    <row r="466" spans="2:16" ht="15.75" x14ac:dyDescent="0.25">
      <c r="B466" s="2">
        <f t="shared" si="63"/>
        <v>-66.5</v>
      </c>
      <c r="C466" s="5" t="s">
        <v>45</v>
      </c>
      <c r="D466" s="7">
        <v>36</v>
      </c>
      <c r="E466" s="7"/>
      <c r="F466" s="10">
        <v>20</v>
      </c>
      <c r="G466" s="10"/>
      <c r="H466" s="10"/>
      <c r="I466" s="10"/>
      <c r="J466" s="7"/>
      <c r="K466" s="7"/>
      <c r="L466" s="7"/>
      <c r="M466" s="7">
        <f t="shared" si="65"/>
        <v>56</v>
      </c>
      <c r="N466" s="7">
        <v>36</v>
      </c>
      <c r="O466" s="7">
        <f t="shared" si="61"/>
        <v>-86.5</v>
      </c>
      <c r="P466" s="48">
        <v>10</v>
      </c>
    </row>
    <row r="467" spans="2:16" ht="15.75" x14ac:dyDescent="0.25">
      <c r="B467" s="2">
        <f t="shared" si="63"/>
        <v>-74.5</v>
      </c>
      <c r="C467" s="5" t="s">
        <v>46</v>
      </c>
      <c r="D467" s="7"/>
      <c r="E467" s="7"/>
      <c r="F467" s="10"/>
      <c r="G467" s="10"/>
      <c r="H467" s="10"/>
      <c r="I467" s="10"/>
      <c r="J467" s="7"/>
      <c r="K467" s="7"/>
      <c r="L467" s="7">
        <v>20</v>
      </c>
      <c r="M467" s="7">
        <f t="shared" si="65"/>
        <v>20</v>
      </c>
      <c r="N467" s="7"/>
      <c r="O467" s="7">
        <f t="shared" si="61"/>
        <v>-94.5</v>
      </c>
      <c r="P467" s="48"/>
    </row>
    <row r="468" spans="2:16" ht="15.75" x14ac:dyDescent="0.25">
      <c r="B468" s="2">
        <f t="shared" si="63"/>
        <v>-28.3</v>
      </c>
      <c r="C468" s="5" t="s">
        <v>79</v>
      </c>
      <c r="D468" s="7"/>
      <c r="E468" s="7"/>
      <c r="F468" s="10"/>
      <c r="G468" s="10"/>
      <c r="H468" s="10"/>
      <c r="I468" s="10"/>
      <c r="J468" s="7"/>
      <c r="K468" s="7"/>
      <c r="L468" s="7"/>
      <c r="M468" s="7">
        <f t="shared" si="65"/>
        <v>0</v>
      </c>
      <c r="N468" s="7">
        <v>27.3</v>
      </c>
      <c r="O468" s="7">
        <f t="shared" si="61"/>
        <v>-1</v>
      </c>
      <c r="P468" s="48">
        <v>5</v>
      </c>
    </row>
    <row r="469" spans="2:16" ht="15.75" x14ac:dyDescent="0.25">
      <c r="B469" s="2">
        <f t="shared" si="63"/>
        <v>1</v>
      </c>
      <c r="C469" s="5" t="s">
        <v>261</v>
      </c>
      <c r="D469" s="7"/>
      <c r="E469" s="6"/>
      <c r="F469" s="10"/>
      <c r="G469" s="10"/>
      <c r="H469" s="10"/>
      <c r="I469" s="10"/>
      <c r="J469" s="7"/>
      <c r="K469" s="7"/>
      <c r="L469" s="7"/>
      <c r="M469" s="7">
        <f t="shared" si="65"/>
        <v>0</v>
      </c>
      <c r="N469" s="7"/>
      <c r="O469" s="7">
        <f t="shared" si="61"/>
        <v>1</v>
      </c>
      <c r="P469" s="48"/>
    </row>
    <row r="470" spans="2:16" ht="15.75" x14ac:dyDescent="0.25">
      <c r="B470" s="2">
        <f t="shared" si="63"/>
        <v>-1242.9999999999995</v>
      </c>
      <c r="C470" s="5" t="s">
        <v>103</v>
      </c>
      <c r="D470" s="6"/>
      <c r="E470" s="7"/>
      <c r="F470" s="10"/>
      <c r="G470" s="10"/>
      <c r="H470" s="10">
        <f>135+126</f>
        <v>261</v>
      </c>
      <c r="I470" s="10">
        <v>106.2</v>
      </c>
      <c r="J470" s="7"/>
      <c r="K470" s="7">
        <v>77.900000000000006</v>
      </c>
      <c r="L470" s="7"/>
      <c r="M470" s="7">
        <f t="shared" si="65"/>
        <v>445.1</v>
      </c>
      <c r="N470" s="7"/>
      <c r="O470" s="7">
        <f t="shared" si="61"/>
        <v>-1688.0999999999995</v>
      </c>
      <c r="P470" s="48"/>
    </row>
    <row r="471" spans="2:16" ht="15.75" x14ac:dyDescent="0.25">
      <c r="B471" s="2">
        <f t="shared" si="63"/>
        <v>0</v>
      </c>
      <c r="C471" s="5" t="s">
        <v>211</v>
      </c>
      <c r="D471" s="6"/>
      <c r="E471" s="7"/>
      <c r="F471" s="47"/>
      <c r="G471" s="10"/>
      <c r="H471" s="10"/>
      <c r="I471" s="10"/>
      <c r="J471" s="7"/>
      <c r="K471" s="7"/>
      <c r="L471" s="7"/>
      <c r="M471" s="7">
        <f t="shared" si="65"/>
        <v>0</v>
      </c>
      <c r="N471" s="7"/>
      <c r="O471" s="7">
        <f t="shared" si="61"/>
        <v>0</v>
      </c>
      <c r="P471" s="48"/>
    </row>
    <row r="472" spans="2:16" ht="15.75" x14ac:dyDescent="0.25">
      <c r="B472" s="2">
        <f t="shared" si="63"/>
        <v>-104</v>
      </c>
      <c r="C472" s="5" t="s">
        <v>139</v>
      </c>
      <c r="D472" s="7">
        <v>26</v>
      </c>
      <c r="E472" s="7"/>
      <c r="F472" s="47"/>
      <c r="G472" s="10">
        <v>26</v>
      </c>
      <c r="H472" s="10"/>
      <c r="I472" s="10"/>
      <c r="J472" s="7"/>
      <c r="K472" s="7"/>
      <c r="L472" s="7">
        <v>52</v>
      </c>
      <c r="M472" s="7">
        <f t="shared" si="65"/>
        <v>104</v>
      </c>
      <c r="N472" s="7">
        <v>104</v>
      </c>
      <c r="O472" s="7">
        <f t="shared" si="61"/>
        <v>-104</v>
      </c>
      <c r="P472" s="48">
        <v>14</v>
      </c>
    </row>
    <row r="473" spans="2:16" ht="15.75" x14ac:dyDescent="0.25">
      <c r="B473" s="2">
        <f t="shared" si="63"/>
        <v>-98</v>
      </c>
      <c r="C473" s="5" t="s">
        <v>31</v>
      </c>
      <c r="D473" s="7">
        <v>18</v>
      </c>
      <c r="E473" s="7"/>
      <c r="F473" s="10">
        <v>21.6</v>
      </c>
      <c r="G473" s="10">
        <v>25</v>
      </c>
      <c r="H473" s="10">
        <v>20</v>
      </c>
      <c r="I473" s="10"/>
      <c r="J473" s="7">
        <v>41.6</v>
      </c>
      <c r="K473" s="7"/>
      <c r="L473" s="7">
        <v>20</v>
      </c>
      <c r="M473" s="7">
        <f t="shared" si="65"/>
        <v>146.19999999999999</v>
      </c>
      <c r="N473" s="7">
        <f>103+18+46.6</f>
        <v>167.6</v>
      </c>
      <c r="O473" s="7">
        <f t="shared" si="61"/>
        <v>-76.599999999999994</v>
      </c>
      <c r="P473" s="43" t="s">
        <v>527</v>
      </c>
    </row>
    <row r="474" spans="2:16" ht="15.75" x14ac:dyDescent="0.25">
      <c r="B474" s="2">
        <f t="shared" si="63"/>
        <v>0</v>
      </c>
      <c r="C474" s="5" t="s">
        <v>37</v>
      </c>
      <c r="D474" s="7"/>
      <c r="E474" s="7"/>
      <c r="F474" s="10"/>
      <c r="G474" s="10"/>
      <c r="H474" s="10"/>
      <c r="I474" s="10"/>
      <c r="J474" s="7"/>
      <c r="K474" s="7"/>
      <c r="L474" s="7"/>
      <c r="M474" s="7">
        <f t="shared" si="65"/>
        <v>0</v>
      </c>
      <c r="N474" s="7"/>
      <c r="O474" s="7">
        <f t="shared" si="61"/>
        <v>0</v>
      </c>
      <c r="P474" s="48"/>
    </row>
    <row r="475" spans="2:16" ht="15.75" x14ac:dyDescent="0.25">
      <c r="B475" s="2">
        <f t="shared" si="63"/>
        <v>0</v>
      </c>
      <c r="C475" s="5" t="s">
        <v>105</v>
      </c>
      <c r="D475" s="7"/>
      <c r="E475" s="7"/>
      <c r="F475" s="10"/>
      <c r="G475" s="10"/>
      <c r="H475" s="10"/>
      <c r="I475" s="10"/>
      <c r="J475" s="7"/>
      <c r="K475" s="7"/>
      <c r="L475" s="7">
        <v>20</v>
      </c>
      <c r="M475" s="7">
        <f t="shared" si="65"/>
        <v>20</v>
      </c>
      <c r="N475" s="7"/>
      <c r="O475" s="7">
        <f t="shared" si="61"/>
        <v>-20</v>
      </c>
      <c r="P475" s="48"/>
    </row>
    <row r="476" spans="2:16" ht="15.75" x14ac:dyDescent="0.25">
      <c r="B476" s="2">
        <f t="shared" si="63"/>
        <v>0</v>
      </c>
      <c r="C476" s="5" t="s">
        <v>19</v>
      </c>
      <c r="D476" s="7"/>
      <c r="E476" s="7"/>
      <c r="F476" s="10"/>
      <c r="G476" s="10"/>
      <c r="H476" s="10"/>
      <c r="I476" s="10"/>
      <c r="J476" s="7">
        <v>12.6</v>
      </c>
      <c r="K476" s="7"/>
      <c r="L476" s="7"/>
      <c r="M476" s="7">
        <f t="shared" si="65"/>
        <v>12.6</v>
      </c>
      <c r="N476" s="7"/>
      <c r="O476" s="7">
        <f t="shared" si="61"/>
        <v>-12.6</v>
      </c>
      <c r="P476" s="48"/>
    </row>
    <row r="477" spans="2:16" ht="15.75" x14ac:dyDescent="0.25">
      <c r="B477" s="2">
        <f t="shared" si="63"/>
        <v>7</v>
      </c>
      <c r="C477" s="5" t="s">
        <v>136</v>
      </c>
      <c r="D477" s="7"/>
      <c r="E477" s="7"/>
      <c r="F477" s="10"/>
      <c r="G477" s="10"/>
      <c r="H477" s="10"/>
      <c r="I477" s="10"/>
      <c r="J477" s="7"/>
      <c r="K477" s="7"/>
      <c r="L477" s="7"/>
      <c r="M477" s="7">
        <f>SUM(D477:L477)</f>
        <v>0</v>
      </c>
      <c r="N477" s="7"/>
      <c r="O477" s="8">
        <f t="shared" si="61"/>
        <v>7</v>
      </c>
      <c r="P477" s="48"/>
    </row>
    <row r="478" spans="2:16" ht="15.75" x14ac:dyDescent="0.25">
      <c r="B478" s="2">
        <f t="shared" si="63"/>
        <v>-70</v>
      </c>
      <c r="C478" s="5" t="s">
        <v>111</v>
      </c>
      <c r="D478" s="6"/>
      <c r="E478" s="7"/>
      <c r="F478" s="10"/>
      <c r="G478" s="10"/>
      <c r="H478" s="10"/>
      <c r="I478" s="10"/>
      <c r="J478" s="7"/>
      <c r="K478" s="7"/>
      <c r="L478" s="7"/>
      <c r="M478" s="7">
        <f t="shared" ref="M478:M481" si="66">SUM(D478:L478)</f>
        <v>0</v>
      </c>
      <c r="N478" s="7"/>
      <c r="O478" s="7">
        <f t="shared" si="61"/>
        <v>-70</v>
      </c>
      <c r="P478" s="48"/>
    </row>
    <row r="479" spans="2:16" ht="15.75" x14ac:dyDescent="0.25">
      <c r="B479" s="2">
        <f t="shared" si="63"/>
        <v>-92.3</v>
      </c>
      <c r="C479" s="5" t="s">
        <v>428</v>
      </c>
      <c r="D479" s="6"/>
      <c r="E479" s="7"/>
      <c r="F479" s="10"/>
      <c r="G479" s="10"/>
      <c r="H479" s="10"/>
      <c r="I479" s="10"/>
      <c r="J479" s="7"/>
      <c r="K479" s="7"/>
      <c r="L479" s="7"/>
      <c r="M479" s="7">
        <f t="shared" si="66"/>
        <v>0</v>
      </c>
      <c r="N479" s="7">
        <v>41.3</v>
      </c>
      <c r="O479" s="7">
        <f t="shared" si="61"/>
        <v>-51</v>
      </c>
      <c r="P479" s="48">
        <v>14</v>
      </c>
    </row>
    <row r="480" spans="2:16" ht="15.75" x14ac:dyDescent="0.25">
      <c r="B480" s="2">
        <f t="shared" si="63"/>
        <v>0</v>
      </c>
      <c r="C480" s="5" t="s">
        <v>115</v>
      </c>
      <c r="D480" s="6"/>
      <c r="E480" s="7">
        <v>18</v>
      </c>
      <c r="F480" s="10"/>
      <c r="G480" s="10"/>
      <c r="H480" s="10"/>
      <c r="I480" s="10"/>
      <c r="J480" s="7"/>
      <c r="K480" s="7"/>
      <c r="L480" s="7"/>
      <c r="M480" s="7">
        <f t="shared" si="66"/>
        <v>18</v>
      </c>
      <c r="N480" s="7">
        <v>18</v>
      </c>
      <c r="O480" s="7">
        <f t="shared" si="61"/>
        <v>0</v>
      </c>
      <c r="P480" s="48">
        <v>28</v>
      </c>
    </row>
    <row r="481" spans="2:16" ht="15.75" x14ac:dyDescent="0.25">
      <c r="B481" s="2">
        <f t="shared" si="63"/>
        <v>0</v>
      </c>
      <c r="C481" s="5" t="s">
        <v>252</v>
      </c>
      <c r="D481" s="7"/>
      <c r="E481" s="7"/>
      <c r="F481" s="10"/>
      <c r="G481" s="10"/>
      <c r="H481" s="10"/>
      <c r="I481" s="10"/>
      <c r="J481" s="7"/>
      <c r="K481" s="7"/>
      <c r="L481" s="7"/>
      <c r="M481" s="7">
        <f t="shared" si="66"/>
        <v>0</v>
      </c>
      <c r="N481" s="7"/>
      <c r="O481" s="7">
        <f t="shared" si="61"/>
        <v>0</v>
      </c>
      <c r="P481" s="48"/>
    </row>
    <row r="482" spans="2:16" ht="15.75" x14ac:dyDescent="0.25">
      <c r="B482" s="2">
        <f t="shared" si="63"/>
        <v>0</v>
      </c>
      <c r="C482" s="5" t="s">
        <v>117</v>
      </c>
      <c r="D482" s="7"/>
      <c r="E482" s="7"/>
      <c r="F482" s="10"/>
      <c r="G482" s="10"/>
      <c r="H482" s="10"/>
      <c r="I482" s="10"/>
      <c r="J482" s="7"/>
      <c r="K482" s="7"/>
      <c r="L482" s="7"/>
      <c r="M482" s="7">
        <f>SUM(D482:L482)</f>
        <v>0</v>
      </c>
      <c r="N482" s="7"/>
      <c r="O482" s="7">
        <f t="shared" si="61"/>
        <v>0</v>
      </c>
      <c r="P482" s="48"/>
    </row>
    <row r="483" spans="2:16" ht="15.75" x14ac:dyDescent="0.25">
      <c r="B483" s="2">
        <f t="shared" si="63"/>
        <v>-27.39</v>
      </c>
      <c r="C483" s="5" t="s">
        <v>20</v>
      </c>
      <c r="D483" s="7"/>
      <c r="E483" s="7"/>
      <c r="F483" s="10">
        <v>30.6</v>
      </c>
      <c r="G483" s="10"/>
      <c r="H483" s="10">
        <v>32.4</v>
      </c>
      <c r="I483" s="10"/>
      <c r="J483" s="7"/>
      <c r="K483" s="7"/>
      <c r="L483" s="7"/>
      <c r="M483" s="7">
        <f t="shared" ref="M483:M492" si="67">SUM(D483:L483)</f>
        <v>63</v>
      </c>
      <c r="N483" s="7"/>
      <c r="O483" s="7">
        <f t="shared" si="61"/>
        <v>-90.39</v>
      </c>
      <c r="P483" s="48"/>
    </row>
    <row r="484" spans="2:16" ht="15.75" x14ac:dyDescent="0.25">
      <c r="B484" s="2">
        <f t="shared" si="63"/>
        <v>0</v>
      </c>
      <c r="C484" s="5" t="s">
        <v>233</v>
      </c>
      <c r="D484" s="7"/>
      <c r="E484" s="7"/>
      <c r="F484" s="10"/>
      <c r="G484" s="10"/>
      <c r="H484" s="10"/>
      <c r="I484" s="10"/>
      <c r="J484" s="7"/>
      <c r="K484" s="7"/>
      <c r="L484" s="7"/>
      <c r="M484" s="7">
        <f t="shared" si="67"/>
        <v>0</v>
      </c>
      <c r="N484" s="7"/>
      <c r="O484" s="7">
        <f t="shared" si="61"/>
        <v>0</v>
      </c>
      <c r="P484" s="48"/>
    </row>
    <row r="485" spans="2:16" ht="15.75" x14ac:dyDescent="0.25">
      <c r="B485" s="2">
        <f t="shared" si="63"/>
        <v>-43.2</v>
      </c>
      <c r="C485" s="5" t="s">
        <v>13</v>
      </c>
      <c r="D485" s="7"/>
      <c r="E485" s="7"/>
      <c r="F485" s="10"/>
      <c r="G485" s="10"/>
      <c r="H485" s="10"/>
      <c r="I485" s="10"/>
      <c r="J485" s="7"/>
      <c r="K485" s="7"/>
      <c r="L485" s="7">
        <v>54</v>
      </c>
      <c r="M485" s="7">
        <f t="shared" si="67"/>
        <v>54</v>
      </c>
      <c r="N485" s="7">
        <v>43.2</v>
      </c>
      <c r="O485" s="7">
        <f t="shared" si="61"/>
        <v>-54</v>
      </c>
      <c r="P485" s="48">
        <v>19</v>
      </c>
    </row>
    <row r="486" spans="2:16" ht="15.75" x14ac:dyDescent="0.25">
      <c r="B486" s="2">
        <f t="shared" si="63"/>
        <v>0</v>
      </c>
      <c r="C486" s="5" t="s">
        <v>22</v>
      </c>
      <c r="D486" s="7"/>
      <c r="E486" s="7"/>
      <c r="F486" s="10"/>
      <c r="G486" s="10"/>
      <c r="H486" s="10"/>
      <c r="I486" s="10"/>
      <c r="J486" s="7"/>
      <c r="K486" s="7"/>
      <c r="L486" s="7"/>
      <c r="M486" s="7">
        <f t="shared" si="67"/>
        <v>0</v>
      </c>
      <c r="N486" s="7"/>
      <c r="O486" s="7">
        <f t="shared" si="61"/>
        <v>0</v>
      </c>
      <c r="P486" s="48"/>
    </row>
    <row r="487" spans="2:16" ht="15.75" x14ac:dyDescent="0.25">
      <c r="B487" s="2">
        <f t="shared" si="63"/>
        <v>0</v>
      </c>
      <c r="C487" s="5" t="s">
        <v>523</v>
      </c>
      <c r="D487" s="7"/>
      <c r="E487" s="7"/>
      <c r="F487" s="10"/>
      <c r="G487" s="10"/>
      <c r="H487" s="10"/>
      <c r="I487" s="10"/>
      <c r="J487" s="7"/>
      <c r="K487" s="7"/>
      <c r="L487" s="7"/>
      <c r="M487" s="7">
        <f t="shared" si="67"/>
        <v>0</v>
      </c>
      <c r="N487" s="7"/>
      <c r="O487" s="7">
        <f t="shared" si="61"/>
        <v>0</v>
      </c>
      <c r="P487" s="48"/>
    </row>
    <row r="488" spans="2:16" ht="15.75" x14ac:dyDescent="0.25">
      <c r="B488" s="2">
        <f t="shared" si="63"/>
        <v>0</v>
      </c>
      <c r="C488" s="5" t="s">
        <v>507</v>
      </c>
      <c r="D488" s="7"/>
      <c r="E488" s="7"/>
      <c r="F488" s="10"/>
      <c r="G488" s="10"/>
      <c r="H488" s="10"/>
      <c r="I488" s="10"/>
      <c r="J488" s="7"/>
      <c r="K488" s="7"/>
      <c r="L488" s="7"/>
      <c r="M488" s="7">
        <f t="shared" si="67"/>
        <v>0</v>
      </c>
      <c r="N488" s="7"/>
      <c r="O488" s="7">
        <f t="shared" si="61"/>
        <v>0</v>
      </c>
      <c r="P488" s="48"/>
    </row>
    <row r="489" spans="2:16" ht="15.75" x14ac:dyDescent="0.25">
      <c r="B489" s="2">
        <f t="shared" si="63"/>
        <v>0</v>
      </c>
      <c r="C489" s="5" t="s">
        <v>519</v>
      </c>
      <c r="D489" s="7"/>
      <c r="E489" s="7"/>
      <c r="F489" s="10"/>
      <c r="G489" s="10"/>
      <c r="H489" s="10"/>
      <c r="I489" s="10"/>
      <c r="J489" s="7"/>
      <c r="K489" s="7"/>
      <c r="L489" s="7"/>
      <c r="M489" s="7">
        <f t="shared" si="67"/>
        <v>0</v>
      </c>
      <c r="N489" s="7">
        <v>21.6</v>
      </c>
      <c r="O489" s="7">
        <f t="shared" si="61"/>
        <v>21.6</v>
      </c>
      <c r="P489" s="48">
        <v>26</v>
      </c>
    </row>
    <row r="490" spans="2:16" ht="15.75" x14ac:dyDescent="0.25">
      <c r="B490" s="2">
        <f t="shared" si="63"/>
        <v>-42.3</v>
      </c>
      <c r="C490" s="5" t="s">
        <v>518</v>
      </c>
      <c r="D490" s="7"/>
      <c r="E490" s="7"/>
      <c r="F490" s="10"/>
      <c r="G490" s="10"/>
      <c r="H490" s="10">
        <v>31.5</v>
      </c>
      <c r="I490" s="10"/>
      <c r="J490" s="7"/>
      <c r="K490" s="7"/>
      <c r="L490" s="7"/>
      <c r="M490" s="7">
        <f t="shared" si="67"/>
        <v>31.5</v>
      </c>
      <c r="N490" s="7"/>
      <c r="O490" s="7">
        <f t="shared" si="61"/>
        <v>-73.8</v>
      </c>
      <c r="P490" s="48"/>
    </row>
    <row r="491" spans="2:16" ht="15.75" x14ac:dyDescent="0.25">
      <c r="B491" s="2">
        <f t="shared" si="63"/>
        <v>-52</v>
      </c>
      <c r="C491" s="5" t="s">
        <v>135</v>
      </c>
      <c r="D491" s="7"/>
      <c r="E491" s="7">
        <v>26</v>
      </c>
      <c r="F491" s="10"/>
      <c r="G491" s="10"/>
      <c r="H491" s="10"/>
      <c r="I491" s="10"/>
      <c r="J491" s="7">
        <v>26</v>
      </c>
      <c r="K491" s="7"/>
      <c r="L491" s="7"/>
      <c r="M491" s="7">
        <f t="shared" si="67"/>
        <v>52</v>
      </c>
      <c r="N491" s="7"/>
      <c r="O491" s="7">
        <f>N491+B491-M491</f>
        <v>-104</v>
      </c>
      <c r="P491" s="48"/>
    </row>
    <row r="492" spans="2:16" ht="15.75" x14ac:dyDescent="0.25">
      <c r="B492" s="2">
        <f t="shared" si="63"/>
        <v>4.1999999999999993</v>
      </c>
      <c r="C492" s="5" t="s">
        <v>120</v>
      </c>
      <c r="D492" s="7"/>
      <c r="E492" s="7"/>
      <c r="F492" s="10"/>
      <c r="G492" s="10"/>
      <c r="H492" s="10"/>
      <c r="I492" s="10"/>
      <c r="J492" s="7"/>
      <c r="K492" s="7"/>
      <c r="L492" s="7"/>
      <c r="M492" s="7">
        <f t="shared" si="67"/>
        <v>0</v>
      </c>
      <c r="N492" s="7"/>
      <c r="O492" s="7">
        <f>N492+B492-M492</f>
        <v>4.1999999999999993</v>
      </c>
      <c r="P492" s="48"/>
    </row>
    <row r="493" spans="2:16" ht="15.75" x14ac:dyDescent="0.25">
      <c r="B493" s="2">
        <f t="shared" si="63"/>
        <v>-4372.05</v>
      </c>
      <c r="C493" s="6" t="s">
        <v>104</v>
      </c>
      <c r="D493" s="7">
        <f t="shared" ref="D493" si="68">SUM(D434:D491)</f>
        <v>105</v>
      </c>
      <c r="E493" s="7">
        <f>SUM(E434:E491)</f>
        <v>61.1</v>
      </c>
      <c r="F493" s="7">
        <f t="shared" ref="F493" si="69">SUM(F434:F491)</f>
        <v>116.19999999999999</v>
      </c>
      <c r="G493" s="7">
        <f>SUM(G434:G491)</f>
        <v>77</v>
      </c>
      <c r="H493" s="7">
        <f t="shared" ref="H493" si="70">SUM(H434:H491)</f>
        <v>584.69999999999993</v>
      </c>
      <c r="I493" s="7">
        <f>SUM(I434:I492)</f>
        <v>183.60000000000002</v>
      </c>
      <c r="J493" s="7">
        <f>SUM(J434:J492)</f>
        <v>140.9</v>
      </c>
      <c r="K493" s="7">
        <f>SUM(K434:K492)</f>
        <v>219.2</v>
      </c>
      <c r="L493" s="7">
        <f t="shared" ref="L493" si="71">SUM(L434:L491)</f>
        <v>444.9</v>
      </c>
      <c r="M493" s="7">
        <f>SUM(M434:M492)</f>
        <v>1932.6</v>
      </c>
      <c r="N493" s="15">
        <f>SUM(N434:N492)</f>
        <v>1221.6999999999998</v>
      </c>
      <c r="O493" s="7">
        <f>SUM(O434:O492)</f>
        <v>-5082.9500000000007</v>
      </c>
      <c r="P493" s="43"/>
    </row>
    <row r="496" spans="2:16" ht="15.75" x14ac:dyDescent="0.25">
      <c r="B496" s="57" t="s">
        <v>524</v>
      </c>
      <c r="C496" s="59"/>
      <c r="D496" s="27">
        <v>68</v>
      </c>
      <c r="E496" s="27">
        <v>69</v>
      </c>
      <c r="F496" s="27">
        <v>70</v>
      </c>
      <c r="G496" s="27">
        <v>71</v>
      </c>
      <c r="H496" s="27">
        <v>72</v>
      </c>
      <c r="I496" s="27">
        <v>73</v>
      </c>
      <c r="J496" s="27">
        <v>74</v>
      </c>
      <c r="K496" s="27">
        <v>75</v>
      </c>
      <c r="L496" s="27">
        <v>76</v>
      </c>
      <c r="M496" s="57" t="s">
        <v>68</v>
      </c>
      <c r="N496" s="61" t="s">
        <v>137</v>
      </c>
      <c r="O496" s="57" t="s">
        <v>530</v>
      </c>
    </row>
    <row r="497" spans="2:16" ht="15.75" x14ac:dyDescent="0.25">
      <c r="B497" s="58"/>
      <c r="C497" s="60"/>
      <c r="D497" s="26">
        <v>2</v>
      </c>
      <c r="E497" s="26">
        <v>5</v>
      </c>
      <c r="F497" s="26">
        <v>9</v>
      </c>
      <c r="G497" s="26">
        <v>12</v>
      </c>
      <c r="H497" s="26">
        <v>16</v>
      </c>
      <c r="I497" s="26">
        <v>19</v>
      </c>
      <c r="J497" s="26">
        <v>23</v>
      </c>
      <c r="K497" s="26">
        <v>26</v>
      </c>
      <c r="L497" s="26">
        <v>30</v>
      </c>
      <c r="M497" s="58"/>
      <c r="N497" s="62"/>
      <c r="O497" s="58"/>
      <c r="P497" s="7"/>
    </row>
    <row r="498" spans="2:16" ht="15.75" x14ac:dyDescent="0.25">
      <c r="B498" s="2">
        <f>O434</f>
        <v>-18</v>
      </c>
      <c r="C498" s="5" t="s">
        <v>123</v>
      </c>
      <c r="D498" s="6"/>
      <c r="E498" s="6"/>
      <c r="F498" s="6">
        <v>18</v>
      </c>
      <c r="G498" s="6"/>
      <c r="H498" s="6"/>
      <c r="I498" s="6"/>
      <c r="J498" s="6"/>
      <c r="K498" s="6"/>
      <c r="L498" s="6"/>
      <c r="M498" s="7">
        <f>SUM(D498:L498)</f>
        <v>18</v>
      </c>
      <c r="N498" s="7">
        <f>18+18</f>
        <v>36</v>
      </c>
      <c r="O498" s="7">
        <f>N498+B498-M498</f>
        <v>0</v>
      </c>
      <c r="P498" s="7" t="s">
        <v>537</v>
      </c>
    </row>
    <row r="499" spans="2:16" ht="15.75" x14ac:dyDescent="0.25">
      <c r="B499" s="2">
        <f t="shared" ref="B499:B550" si="72">O435</f>
        <v>-6</v>
      </c>
      <c r="C499" s="5" t="s">
        <v>125</v>
      </c>
      <c r="D499" s="6"/>
      <c r="E499" s="7"/>
      <c r="F499" s="6"/>
      <c r="G499" s="7"/>
      <c r="H499" s="7"/>
      <c r="I499" s="6"/>
      <c r="J499" s="7"/>
      <c r="K499" s="7"/>
      <c r="L499" s="7"/>
      <c r="M499" s="7">
        <f>SUM(D499:L499)</f>
        <v>0</v>
      </c>
      <c r="N499" s="7"/>
      <c r="O499" s="7">
        <f t="shared" ref="O499:O555" si="73">N499+B499-M499</f>
        <v>-6</v>
      </c>
      <c r="P499" s="48"/>
    </row>
    <row r="500" spans="2:16" ht="15.75" x14ac:dyDescent="0.25">
      <c r="B500" s="2">
        <f t="shared" si="72"/>
        <v>-78.000000000000057</v>
      </c>
      <c r="C500" s="5" t="s">
        <v>194</v>
      </c>
      <c r="D500" s="7"/>
      <c r="E500" s="7"/>
      <c r="F500" s="7"/>
      <c r="G500" s="7"/>
      <c r="H500" s="7"/>
      <c r="I500" s="7"/>
      <c r="J500" s="7"/>
      <c r="K500" s="15"/>
      <c r="L500" s="7">
        <v>26</v>
      </c>
      <c r="M500" s="7">
        <f>SUM(D500:L500)</f>
        <v>26</v>
      </c>
      <c r="N500" s="7">
        <v>78</v>
      </c>
      <c r="O500" s="7">
        <f t="shared" si="73"/>
        <v>-26.000000000000057</v>
      </c>
      <c r="P500" s="38">
        <v>25</v>
      </c>
    </row>
    <row r="501" spans="2:16" ht="15.75" x14ac:dyDescent="0.25">
      <c r="B501" s="2">
        <f t="shared" si="72"/>
        <v>-26</v>
      </c>
      <c r="C501" s="5" t="s">
        <v>2</v>
      </c>
      <c r="D501" s="6"/>
      <c r="E501" s="7"/>
      <c r="F501" s="6"/>
      <c r="G501" s="7"/>
      <c r="H501" s="7"/>
      <c r="I501" s="7"/>
      <c r="J501" s="7"/>
      <c r="K501" s="7"/>
      <c r="L501" s="7"/>
      <c r="M501" s="7">
        <f>SUM(D501:L501)</f>
        <v>0</v>
      </c>
      <c r="N501" s="7"/>
      <c r="O501" s="7">
        <f t="shared" si="73"/>
        <v>-26</v>
      </c>
      <c r="P501" s="38"/>
    </row>
    <row r="502" spans="2:16" ht="15.75" x14ac:dyDescent="0.25">
      <c r="B502" s="2">
        <f t="shared" si="72"/>
        <v>0</v>
      </c>
      <c r="C502" s="5" t="s">
        <v>129</v>
      </c>
      <c r="D502" s="6"/>
      <c r="E502" s="7"/>
      <c r="F502" s="6"/>
      <c r="G502" s="6"/>
      <c r="H502" s="6"/>
      <c r="I502" s="7"/>
      <c r="J502" s="6"/>
      <c r="K502" s="7"/>
      <c r="L502" s="7"/>
      <c r="M502" s="7">
        <f t="shared" ref="M502:M520" si="74">SUM(D502:L502)</f>
        <v>0</v>
      </c>
      <c r="N502" s="7"/>
      <c r="O502" s="7">
        <f t="shared" si="73"/>
        <v>0</v>
      </c>
      <c r="P502" s="48"/>
    </row>
    <row r="503" spans="2:16" ht="15.75" x14ac:dyDescent="0.25">
      <c r="B503" s="2">
        <f t="shared" si="72"/>
        <v>-25</v>
      </c>
      <c r="C503" s="5" t="s">
        <v>195</v>
      </c>
      <c r="D503" s="6"/>
      <c r="E503" s="7"/>
      <c r="F503" s="6"/>
      <c r="G503" s="6"/>
      <c r="H503" s="6"/>
      <c r="I503" s="7"/>
      <c r="J503" s="7"/>
      <c r="K503" s="7"/>
      <c r="L503" s="7"/>
      <c r="M503" s="7">
        <f t="shared" si="74"/>
        <v>0</v>
      </c>
      <c r="N503" s="7"/>
      <c r="O503" s="7">
        <f t="shared" si="73"/>
        <v>-25</v>
      </c>
      <c r="P503" s="48"/>
    </row>
    <row r="504" spans="2:16" ht="15.75" x14ac:dyDescent="0.25">
      <c r="B504" s="2">
        <f t="shared" si="72"/>
        <v>-6</v>
      </c>
      <c r="C504" s="5" t="s">
        <v>128</v>
      </c>
      <c r="D504" s="7"/>
      <c r="E504" s="7"/>
      <c r="F504" s="7"/>
      <c r="G504" s="7"/>
      <c r="H504" s="7"/>
      <c r="I504" s="7"/>
      <c r="J504" s="7"/>
      <c r="K504" s="7"/>
      <c r="L504" s="7"/>
      <c r="M504" s="7">
        <f t="shared" si="74"/>
        <v>0</v>
      </c>
      <c r="N504" s="7">
        <v>26</v>
      </c>
      <c r="O504" s="7">
        <f t="shared" si="73"/>
        <v>20</v>
      </c>
      <c r="P504" s="48">
        <v>9</v>
      </c>
    </row>
    <row r="505" spans="2:16" ht="15.75" x14ac:dyDescent="0.25">
      <c r="B505" s="2">
        <f t="shared" si="72"/>
        <v>-259.2</v>
      </c>
      <c r="C505" s="5" t="s">
        <v>127</v>
      </c>
      <c r="D505" s="6"/>
      <c r="E505" s="7"/>
      <c r="F505" s="7"/>
      <c r="G505" s="7"/>
      <c r="H505" s="7"/>
      <c r="I505" s="7"/>
      <c r="J505" s="6"/>
      <c r="K505" s="7"/>
      <c r="L505" s="7"/>
      <c r="M505" s="7">
        <f t="shared" si="74"/>
        <v>0</v>
      </c>
      <c r="N505" s="33">
        <v>-26</v>
      </c>
      <c r="O505" s="7">
        <f t="shared" si="73"/>
        <v>-285.2</v>
      </c>
      <c r="P505" s="48" t="s">
        <v>532</v>
      </c>
    </row>
    <row r="506" spans="2:16" ht="15.75" x14ac:dyDescent="0.25">
      <c r="B506" s="2">
        <f t="shared" si="72"/>
        <v>-26</v>
      </c>
      <c r="C506" s="5" t="s">
        <v>126</v>
      </c>
      <c r="D506" s="6"/>
      <c r="E506" s="7"/>
      <c r="F506" s="6"/>
      <c r="G506" s="6"/>
      <c r="H506" s="6"/>
      <c r="I506" s="7"/>
      <c r="J506" s="6"/>
      <c r="K506" s="7"/>
      <c r="L506" s="7"/>
      <c r="M506" s="7">
        <f t="shared" si="74"/>
        <v>0</v>
      </c>
      <c r="N506" s="33">
        <v>26</v>
      </c>
      <c r="O506" s="7">
        <f t="shared" si="73"/>
        <v>0</v>
      </c>
      <c r="P506" s="48"/>
    </row>
    <row r="507" spans="2:16" ht="15.75" x14ac:dyDescent="0.25">
      <c r="B507" s="2">
        <f t="shared" si="72"/>
        <v>-528.20000000000005</v>
      </c>
      <c r="C507" s="5" t="s">
        <v>130</v>
      </c>
      <c r="D507" s="7"/>
      <c r="E507" s="7"/>
      <c r="F507" s="7"/>
      <c r="G507" s="7"/>
      <c r="H507" s="7"/>
      <c r="I507" s="7"/>
      <c r="J507" s="6"/>
      <c r="K507" s="7"/>
      <c r="L507" s="7"/>
      <c r="M507" s="7">
        <f t="shared" si="74"/>
        <v>0</v>
      </c>
      <c r="N507" s="7"/>
      <c r="O507" s="7">
        <f t="shared" si="73"/>
        <v>-528.20000000000005</v>
      </c>
      <c r="P507" s="48"/>
    </row>
    <row r="508" spans="2:16" ht="15.75" x14ac:dyDescent="0.25">
      <c r="B508" s="2">
        <f t="shared" si="72"/>
        <v>-114.49999999999999</v>
      </c>
      <c r="C508" s="5" t="s">
        <v>131</v>
      </c>
      <c r="D508" s="7"/>
      <c r="E508" s="7"/>
      <c r="F508" s="7"/>
      <c r="G508" s="7"/>
      <c r="H508" s="7">
        <v>27.9</v>
      </c>
      <c r="I508" s="7">
        <v>15.3</v>
      </c>
      <c r="J508" s="7">
        <f>50.4+27.9</f>
        <v>78.3</v>
      </c>
      <c r="K508" s="7"/>
      <c r="L508" s="7"/>
      <c r="M508" s="7">
        <f t="shared" si="74"/>
        <v>121.5</v>
      </c>
      <c r="N508" s="7"/>
      <c r="O508" s="7">
        <f t="shared" si="73"/>
        <v>-236</v>
      </c>
      <c r="P508" s="48"/>
    </row>
    <row r="509" spans="2:16" ht="15.75" x14ac:dyDescent="0.25">
      <c r="B509" s="2">
        <f t="shared" si="72"/>
        <v>-58.63</v>
      </c>
      <c r="C509" s="5" t="s">
        <v>525</v>
      </c>
      <c r="D509" s="7"/>
      <c r="E509" s="7"/>
      <c r="F509" s="7"/>
      <c r="G509" s="7"/>
      <c r="H509" s="7"/>
      <c r="I509" s="7"/>
      <c r="J509" s="7"/>
      <c r="K509" s="7"/>
      <c r="L509" s="7"/>
      <c r="M509" s="7">
        <f t="shared" si="74"/>
        <v>0</v>
      </c>
      <c r="N509" s="7"/>
      <c r="O509" s="7">
        <f t="shared" si="73"/>
        <v>-58.63</v>
      </c>
      <c r="P509" s="48"/>
    </row>
    <row r="510" spans="2:16" ht="15.75" x14ac:dyDescent="0.25">
      <c r="B510" s="2">
        <f t="shared" si="72"/>
        <v>-52</v>
      </c>
      <c r="C510" s="5" t="s">
        <v>132</v>
      </c>
      <c r="D510" s="7"/>
      <c r="E510" s="7"/>
      <c r="F510" s="7"/>
      <c r="G510" s="7">
        <v>26</v>
      </c>
      <c r="H510" s="7"/>
      <c r="I510" s="7"/>
      <c r="J510" s="7">
        <v>26</v>
      </c>
      <c r="K510" s="7"/>
      <c r="L510" s="7">
        <v>26</v>
      </c>
      <c r="M510" s="7">
        <f t="shared" si="74"/>
        <v>78</v>
      </c>
      <c r="N510" s="7"/>
      <c r="O510" s="7">
        <f t="shared" si="73"/>
        <v>-130</v>
      </c>
      <c r="P510" s="48"/>
    </row>
    <row r="511" spans="2:16" ht="15.75" x14ac:dyDescent="0.25">
      <c r="B511" s="2">
        <f t="shared" si="72"/>
        <v>-325.69999999999993</v>
      </c>
      <c r="C511" s="5" t="s">
        <v>9</v>
      </c>
      <c r="D511" s="6"/>
      <c r="E511" s="7"/>
      <c r="F511" s="7"/>
      <c r="G511" s="7"/>
      <c r="H511" s="7"/>
      <c r="I511" s="6"/>
      <c r="J511" s="7"/>
      <c r="K511" s="7"/>
      <c r="L511" s="7"/>
      <c r="M511" s="7">
        <f t="shared" si="74"/>
        <v>0</v>
      </c>
      <c r="N511" s="7"/>
      <c r="O511" s="7">
        <f t="shared" si="73"/>
        <v>-325.69999999999993</v>
      </c>
      <c r="P511" s="48"/>
    </row>
    <row r="512" spans="2:16" ht="15.75" x14ac:dyDescent="0.25">
      <c r="B512" s="2">
        <f t="shared" si="72"/>
        <v>15</v>
      </c>
      <c r="C512" s="5" t="s">
        <v>133</v>
      </c>
      <c r="D512" s="7"/>
      <c r="E512" s="7"/>
      <c r="F512" s="7"/>
      <c r="G512" s="7"/>
      <c r="H512" s="7"/>
      <c r="I512" s="7"/>
      <c r="J512" s="7"/>
      <c r="K512" s="7"/>
      <c r="L512" s="7"/>
      <c r="M512" s="7">
        <f t="shared" si="74"/>
        <v>0</v>
      </c>
      <c r="N512" s="8"/>
      <c r="O512" s="7">
        <f t="shared" si="73"/>
        <v>15</v>
      </c>
      <c r="P512" s="48"/>
    </row>
    <row r="513" spans="2:17" ht="15.75" x14ac:dyDescent="0.25">
      <c r="B513" s="2">
        <f t="shared" si="72"/>
        <v>-111.5</v>
      </c>
      <c r="C513" s="5" t="s">
        <v>96</v>
      </c>
      <c r="D513" s="7"/>
      <c r="E513" s="7"/>
      <c r="F513" s="7"/>
      <c r="G513" s="7"/>
      <c r="H513" s="7"/>
      <c r="I513" s="7"/>
      <c r="J513" s="7"/>
      <c r="K513" s="7"/>
      <c r="L513" s="7">
        <v>40</v>
      </c>
      <c r="M513" s="7">
        <f t="shared" si="74"/>
        <v>40</v>
      </c>
      <c r="N513" s="7">
        <v>41.3</v>
      </c>
      <c r="O513" s="7">
        <f t="shared" si="73"/>
        <v>-110.2</v>
      </c>
      <c r="P513" s="48">
        <v>9</v>
      </c>
    </row>
    <row r="514" spans="2:17" ht="15.75" x14ac:dyDescent="0.25">
      <c r="B514" s="2">
        <f t="shared" si="72"/>
        <v>0</v>
      </c>
      <c r="C514" s="5" t="s">
        <v>134</v>
      </c>
      <c r="D514" s="7"/>
      <c r="E514" s="7"/>
      <c r="F514" s="6"/>
      <c r="G514" s="7"/>
      <c r="H514" s="7"/>
      <c r="I514" s="7"/>
      <c r="J514" s="7"/>
      <c r="K514" s="7"/>
      <c r="L514" s="7"/>
      <c r="M514" s="7">
        <f t="shared" si="74"/>
        <v>0</v>
      </c>
      <c r="N514" s="7"/>
      <c r="O514" s="7">
        <f t="shared" si="73"/>
        <v>0</v>
      </c>
      <c r="P514" s="48"/>
    </row>
    <row r="515" spans="2:17" ht="15.75" x14ac:dyDescent="0.25">
      <c r="B515" s="2">
        <f t="shared" si="72"/>
        <v>14.400000000000009</v>
      </c>
      <c r="C515" s="5" t="s">
        <v>99</v>
      </c>
      <c r="D515" s="7"/>
      <c r="E515" s="7"/>
      <c r="F515" s="6"/>
      <c r="G515" s="7"/>
      <c r="H515" s="7"/>
      <c r="I515" s="7"/>
      <c r="J515" s="6"/>
      <c r="K515" s="6"/>
      <c r="L515" s="7"/>
      <c r="M515" s="7">
        <f t="shared" si="74"/>
        <v>0</v>
      </c>
      <c r="N515" s="7">
        <v>11.7</v>
      </c>
      <c r="O515" s="7">
        <f t="shared" si="73"/>
        <v>26.100000000000009</v>
      </c>
      <c r="P515" s="48">
        <v>15</v>
      </c>
    </row>
    <row r="516" spans="2:17" ht="15.75" x14ac:dyDescent="0.25">
      <c r="B516" s="2">
        <f t="shared" si="72"/>
        <v>-408.89</v>
      </c>
      <c r="C516" s="5" t="s">
        <v>53</v>
      </c>
      <c r="D516" s="7"/>
      <c r="E516" s="7"/>
      <c r="F516" s="7"/>
      <c r="G516" s="7"/>
      <c r="H516" s="7">
        <v>10.8</v>
      </c>
      <c r="I516" s="7"/>
      <c r="J516" s="7"/>
      <c r="K516" s="7"/>
      <c r="L516" s="7"/>
      <c r="M516" s="7">
        <f t="shared" si="74"/>
        <v>10.8</v>
      </c>
      <c r="N516" s="7">
        <v>327.38</v>
      </c>
      <c r="O516" s="7">
        <f t="shared" si="73"/>
        <v>-92.309999999999988</v>
      </c>
      <c r="P516" s="48">
        <v>21</v>
      </c>
    </row>
    <row r="517" spans="2:17" ht="15.75" x14ac:dyDescent="0.25">
      <c r="B517" s="2">
        <f t="shared" si="72"/>
        <v>-194.89999999999998</v>
      </c>
      <c r="C517" s="5" t="s">
        <v>33</v>
      </c>
      <c r="D517" s="7">
        <v>17.100000000000001</v>
      </c>
      <c r="E517" s="7"/>
      <c r="F517" s="7">
        <v>48.6</v>
      </c>
      <c r="G517" s="7">
        <v>11.7</v>
      </c>
      <c r="H517" s="7"/>
      <c r="I517" s="7"/>
      <c r="J517" s="7"/>
      <c r="K517" s="7">
        <v>26</v>
      </c>
      <c r="L517" s="7"/>
      <c r="M517" s="7">
        <f t="shared" si="74"/>
        <v>103.4</v>
      </c>
      <c r="N517" s="7">
        <f>61.7+48.6+11.7</f>
        <v>122.00000000000001</v>
      </c>
      <c r="O517" s="7">
        <f t="shared" si="73"/>
        <v>-176.29999999999995</v>
      </c>
      <c r="P517" s="48" t="s">
        <v>535</v>
      </c>
    </row>
    <row r="518" spans="2:17" ht="15.75" x14ac:dyDescent="0.25">
      <c r="B518" s="2">
        <f t="shared" si="72"/>
        <v>0</v>
      </c>
      <c r="C518" s="5" t="s">
        <v>480</v>
      </c>
      <c r="D518" s="7"/>
      <c r="E518" s="7"/>
      <c r="F518" s="7"/>
      <c r="G518" s="7"/>
      <c r="H518" s="7"/>
      <c r="I518" s="7"/>
      <c r="J518" s="7"/>
      <c r="K518" s="7">
        <v>25.7</v>
      </c>
      <c r="L518" s="7"/>
      <c r="M518" s="7">
        <f t="shared" si="74"/>
        <v>25.7</v>
      </c>
      <c r="N518" s="7"/>
      <c r="O518" s="7">
        <f t="shared" si="73"/>
        <v>-25.7</v>
      </c>
      <c r="P518" s="48"/>
    </row>
    <row r="519" spans="2:17" ht="15.75" x14ac:dyDescent="0.25">
      <c r="B519" s="2">
        <f t="shared" si="72"/>
        <v>-156</v>
      </c>
      <c r="C519" s="5" t="s">
        <v>23</v>
      </c>
      <c r="D519" s="7"/>
      <c r="E519" s="7"/>
      <c r="F519" s="10"/>
      <c r="G519" s="10">
        <v>21.6</v>
      </c>
      <c r="H519" s="10"/>
      <c r="I519" s="10"/>
      <c r="J519" s="7"/>
      <c r="K519" s="7"/>
      <c r="L519" s="7"/>
      <c r="M519" s="7">
        <f t="shared" si="74"/>
        <v>21.6</v>
      </c>
      <c r="N519" s="7">
        <v>77.900000000000006</v>
      </c>
      <c r="O519" s="7">
        <f t="shared" si="73"/>
        <v>-99.699999999999989</v>
      </c>
      <c r="P519" s="48">
        <v>22</v>
      </c>
      <c r="Q519" t="s">
        <v>538</v>
      </c>
    </row>
    <row r="520" spans="2:17" ht="15.75" x14ac:dyDescent="0.25">
      <c r="B520" s="2">
        <f t="shared" si="72"/>
        <v>-162.80000000000001</v>
      </c>
      <c r="C520" s="5" t="s">
        <v>24</v>
      </c>
      <c r="D520" s="7"/>
      <c r="E520" s="7"/>
      <c r="F520" s="10"/>
      <c r="G520" s="10"/>
      <c r="H520" s="10"/>
      <c r="I520" s="10"/>
      <c r="J520" s="7"/>
      <c r="K520" s="7"/>
      <c r="L520" s="7">
        <v>26</v>
      </c>
      <c r="M520" s="7">
        <f t="shared" si="74"/>
        <v>26</v>
      </c>
      <c r="N520" s="7"/>
      <c r="O520" s="7">
        <f t="shared" si="73"/>
        <v>-188.8</v>
      </c>
      <c r="P520" s="48"/>
    </row>
    <row r="521" spans="2:17" ht="15.75" x14ac:dyDescent="0.25">
      <c r="B521" s="2">
        <f t="shared" si="72"/>
        <v>0</v>
      </c>
      <c r="C521" s="5" t="s">
        <v>513</v>
      </c>
      <c r="D521" s="7"/>
      <c r="E521" s="7"/>
      <c r="F521" s="10"/>
      <c r="G521" s="10"/>
      <c r="H521" s="10"/>
      <c r="I521" s="10"/>
      <c r="J521" s="7"/>
      <c r="K521" s="7"/>
      <c r="L521" s="7"/>
      <c r="M521" s="7">
        <f>SUM(D521:L521)</f>
        <v>0</v>
      </c>
      <c r="N521" s="7"/>
      <c r="O521" s="7">
        <f t="shared" si="73"/>
        <v>0</v>
      </c>
      <c r="P521" s="48"/>
    </row>
    <row r="522" spans="2:17" ht="15.75" x14ac:dyDescent="0.25">
      <c r="B522" s="2">
        <f t="shared" si="72"/>
        <v>0</v>
      </c>
      <c r="C522" s="5" t="s">
        <v>25</v>
      </c>
      <c r="D522" s="7"/>
      <c r="E522" s="7"/>
      <c r="F522" s="10"/>
      <c r="G522" s="10"/>
      <c r="H522" s="10"/>
      <c r="I522" s="10"/>
      <c r="J522" s="7">
        <v>91.8</v>
      </c>
      <c r="K522" s="7"/>
      <c r="L522" s="7"/>
      <c r="M522" s="7">
        <f>SUM(D522:L522)</f>
        <v>91.8</v>
      </c>
      <c r="N522" s="7">
        <v>91.8</v>
      </c>
      <c r="O522" s="7">
        <f t="shared" si="73"/>
        <v>0</v>
      </c>
      <c r="P522" s="48">
        <v>30</v>
      </c>
    </row>
    <row r="523" spans="2:17" ht="15.75" x14ac:dyDescent="0.25">
      <c r="B523" s="2">
        <f t="shared" si="72"/>
        <v>-11.399999999999984</v>
      </c>
      <c r="C523" s="5" t="s">
        <v>27</v>
      </c>
      <c r="D523" s="7"/>
      <c r="E523" s="7"/>
      <c r="F523" s="10"/>
      <c r="G523" s="10"/>
      <c r="H523" s="10"/>
      <c r="I523" s="10"/>
      <c r="J523" s="7"/>
      <c r="K523" s="7">
        <v>28.8</v>
      </c>
      <c r="L523" s="7"/>
      <c r="M523" s="7">
        <f>SUM(D523:L523)</f>
        <v>28.8</v>
      </c>
      <c r="N523" s="7">
        <v>60</v>
      </c>
      <c r="O523" s="7">
        <f t="shared" si="73"/>
        <v>19.800000000000015</v>
      </c>
      <c r="P523" s="48">
        <v>24</v>
      </c>
    </row>
    <row r="524" spans="2:17" ht="15.75" x14ac:dyDescent="0.25">
      <c r="B524" s="2">
        <f t="shared" si="72"/>
        <v>18.060000000000002</v>
      </c>
      <c r="C524" s="5" t="s">
        <v>29</v>
      </c>
      <c r="D524" s="7"/>
      <c r="E524" s="7"/>
      <c r="F524" s="10"/>
      <c r="G524" s="10"/>
      <c r="H524" s="10"/>
      <c r="I524" s="10"/>
      <c r="J524" s="7"/>
      <c r="K524" s="7">
        <v>72</v>
      </c>
      <c r="L524" s="7"/>
      <c r="M524" s="7">
        <f t="shared" ref="M524:M525" si="75">SUM(D524:L524)</f>
        <v>72</v>
      </c>
      <c r="N524" s="7"/>
      <c r="O524" s="7">
        <f t="shared" si="73"/>
        <v>-53.94</v>
      </c>
      <c r="P524" s="48"/>
    </row>
    <row r="525" spans="2:17" ht="15.75" x14ac:dyDescent="0.25">
      <c r="B525" s="2">
        <f t="shared" si="72"/>
        <v>-64.200000000000045</v>
      </c>
      <c r="C525" s="5" t="s">
        <v>30</v>
      </c>
      <c r="D525" s="7">
        <v>24.8</v>
      </c>
      <c r="E525" s="7"/>
      <c r="F525" s="10"/>
      <c r="G525" s="10"/>
      <c r="H525" s="10"/>
      <c r="I525" s="10"/>
      <c r="J525" s="7"/>
      <c r="K525" s="7">
        <v>25.7</v>
      </c>
      <c r="L525" s="7"/>
      <c r="M525" s="7">
        <f t="shared" si="75"/>
        <v>50.5</v>
      </c>
      <c r="N525" s="7"/>
      <c r="O525" s="7">
        <f t="shared" si="73"/>
        <v>-114.70000000000005</v>
      </c>
      <c r="P525" s="48"/>
    </row>
    <row r="526" spans="2:17" ht="15.75" x14ac:dyDescent="0.25">
      <c r="B526" s="2">
        <f t="shared" si="72"/>
        <v>0</v>
      </c>
      <c r="C526" s="5" t="s">
        <v>356</v>
      </c>
      <c r="D526" s="7"/>
      <c r="E526" s="7"/>
      <c r="F526" s="10"/>
      <c r="G526" s="10"/>
      <c r="H526" s="10"/>
      <c r="I526" s="10"/>
      <c r="J526" s="7"/>
      <c r="K526" s="7"/>
      <c r="L526" s="7"/>
      <c r="M526" s="7">
        <f>SUM(D526:L526)</f>
        <v>0</v>
      </c>
      <c r="N526" s="7"/>
      <c r="O526" s="7">
        <f t="shared" si="73"/>
        <v>0</v>
      </c>
      <c r="P526" s="48"/>
    </row>
    <row r="527" spans="2:17" ht="15.75" x14ac:dyDescent="0.25">
      <c r="B527" s="2">
        <f t="shared" si="72"/>
        <v>68</v>
      </c>
      <c r="C527" s="5" t="s">
        <v>529</v>
      </c>
      <c r="D527" s="7"/>
      <c r="E527" s="7"/>
      <c r="F527" s="10"/>
      <c r="G527" s="10">
        <v>26</v>
      </c>
      <c r="H527" s="10"/>
      <c r="I527" s="10">
        <v>325</v>
      </c>
      <c r="J527" s="7">
        <v>20.7</v>
      </c>
      <c r="K527" s="7">
        <v>26</v>
      </c>
      <c r="L527" s="7"/>
      <c r="M527" s="7">
        <f t="shared" ref="M527:M540" si="76">SUM(D527:L527)</f>
        <v>397.7</v>
      </c>
      <c r="N527" s="7">
        <f>26+300</f>
        <v>326</v>
      </c>
      <c r="O527" s="7">
        <f t="shared" si="73"/>
        <v>-3.6999999999999886</v>
      </c>
      <c r="P527" s="48" t="s">
        <v>539</v>
      </c>
    </row>
    <row r="528" spans="2:17" ht="15.75" x14ac:dyDescent="0.25">
      <c r="B528" s="2">
        <f t="shared" si="72"/>
        <v>-52.8</v>
      </c>
      <c r="C528" s="5" t="s">
        <v>41</v>
      </c>
      <c r="D528" s="6"/>
      <c r="E528" s="7"/>
      <c r="F528" s="10"/>
      <c r="G528" s="10"/>
      <c r="H528" s="10"/>
      <c r="I528" s="10"/>
      <c r="J528" s="7"/>
      <c r="K528" s="7"/>
      <c r="L528" s="7"/>
      <c r="M528" s="7">
        <f t="shared" si="76"/>
        <v>0</v>
      </c>
      <c r="N528" s="7"/>
      <c r="O528" s="7">
        <f t="shared" si="73"/>
        <v>-52.8</v>
      </c>
      <c r="P528" s="48"/>
    </row>
    <row r="529" spans="2:16" ht="15.75" x14ac:dyDescent="0.25">
      <c r="B529" s="2">
        <f t="shared" si="72"/>
        <v>-20</v>
      </c>
      <c r="C529" s="5" t="s">
        <v>102</v>
      </c>
      <c r="D529" s="7"/>
      <c r="E529" s="7">
        <v>26</v>
      </c>
      <c r="F529" s="10"/>
      <c r="G529" s="10"/>
      <c r="H529" s="10"/>
      <c r="I529" s="10"/>
      <c r="J529" s="7"/>
      <c r="K529" s="7"/>
      <c r="L529" s="7"/>
      <c r="M529" s="7">
        <f t="shared" si="76"/>
        <v>26</v>
      </c>
      <c r="N529" s="7">
        <v>20</v>
      </c>
      <c r="O529" s="7">
        <f t="shared" si="73"/>
        <v>-26</v>
      </c>
      <c r="P529" s="48">
        <v>14</v>
      </c>
    </row>
    <row r="530" spans="2:16" ht="15.75" x14ac:dyDescent="0.25">
      <c r="B530" s="2">
        <f t="shared" si="72"/>
        <v>-86.5</v>
      </c>
      <c r="C530" s="5" t="s">
        <v>45</v>
      </c>
      <c r="D530" s="7"/>
      <c r="E530" s="7"/>
      <c r="F530" s="10"/>
      <c r="G530" s="10"/>
      <c r="H530" s="10"/>
      <c r="I530" s="10"/>
      <c r="J530" s="7"/>
      <c r="K530" s="7">
        <v>26</v>
      </c>
      <c r="L530" s="7">
        <v>26</v>
      </c>
      <c r="M530" s="7">
        <f t="shared" si="76"/>
        <v>52</v>
      </c>
      <c r="N530" s="7">
        <v>26</v>
      </c>
      <c r="O530" s="7">
        <f t="shared" si="73"/>
        <v>-112.5</v>
      </c>
      <c r="P530" s="48">
        <v>22</v>
      </c>
    </row>
    <row r="531" spans="2:16" ht="15.75" x14ac:dyDescent="0.25">
      <c r="B531" s="2">
        <f t="shared" si="72"/>
        <v>-94.5</v>
      </c>
      <c r="C531" s="5" t="s">
        <v>46</v>
      </c>
      <c r="D531" s="7"/>
      <c r="E531" s="7"/>
      <c r="F531" s="10"/>
      <c r="G531" s="10"/>
      <c r="H531" s="10"/>
      <c r="I531" s="10"/>
      <c r="J531" s="7"/>
      <c r="K531" s="7"/>
      <c r="L531" s="7"/>
      <c r="M531" s="7">
        <f t="shared" si="76"/>
        <v>0</v>
      </c>
      <c r="N531" s="7"/>
      <c r="O531" s="7">
        <f t="shared" si="73"/>
        <v>-94.5</v>
      </c>
      <c r="P531" s="48"/>
    </row>
    <row r="532" spans="2:16" ht="15.75" x14ac:dyDescent="0.25">
      <c r="B532" s="2">
        <f t="shared" si="72"/>
        <v>-1</v>
      </c>
      <c r="C532" s="5" t="s">
        <v>79</v>
      </c>
      <c r="D532" s="7"/>
      <c r="E532" s="7"/>
      <c r="F532" s="10"/>
      <c r="G532" s="10"/>
      <c r="H532" s="10"/>
      <c r="I532" s="10"/>
      <c r="J532" s="7"/>
      <c r="K532" s="7"/>
      <c r="L532" s="7"/>
      <c r="M532" s="7">
        <f t="shared" si="76"/>
        <v>0</v>
      </c>
      <c r="N532" s="7"/>
      <c r="O532" s="7">
        <f t="shared" si="73"/>
        <v>-1</v>
      </c>
      <c r="P532" s="48"/>
    </row>
    <row r="533" spans="2:16" ht="15.75" x14ac:dyDescent="0.25">
      <c r="B533" s="2">
        <f t="shared" si="72"/>
        <v>1</v>
      </c>
      <c r="C533" s="5" t="s">
        <v>261</v>
      </c>
      <c r="D533" s="7"/>
      <c r="E533" s="6"/>
      <c r="F533" s="10"/>
      <c r="G533" s="10"/>
      <c r="H533" s="10"/>
      <c r="I533" s="10"/>
      <c r="J533" s="7"/>
      <c r="K533" s="7"/>
      <c r="L533" s="7"/>
      <c r="M533" s="7">
        <f t="shared" si="76"/>
        <v>0</v>
      </c>
      <c r="N533" s="7"/>
      <c r="O533" s="7">
        <f t="shared" si="73"/>
        <v>1</v>
      </c>
      <c r="P533" s="48"/>
    </row>
    <row r="534" spans="2:16" ht="15.75" x14ac:dyDescent="0.25">
      <c r="B534" s="2">
        <f t="shared" si="72"/>
        <v>-1688.0999999999995</v>
      </c>
      <c r="C534" s="5" t="s">
        <v>103</v>
      </c>
      <c r="D534" s="6"/>
      <c r="E534" s="7"/>
      <c r="F534" s="10"/>
      <c r="G534" s="10"/>
      <c r="H534" s="10"/>
      <c r="I534" s="10"/>
      <c r="J534" s="7">
        <v>39.6</v>
      </c>
      <c r="K534" s="7">
        <v>83.7</v>
      </c>
      <c r="L534" s="7">
        <v>75.599999999999994</v>
      </c>
      <c r="M534" s="7">
        <f t="shared" si="76"/>
        <v>198.9</v>
      </c>
      <c r="N534" s="7">
        <v>300</v>
      </c>
      <c r="O534" s="7">
        <f t="shared" si="73"/>
        <v>-1586.9999999999995</v>
      </c>
      <c r="P534" s="48">
        <v>24</v>
      </c>
    </row>
    <row r="535" spans="2:16" ht="15.75" x14ac:dyDescent="0.25">
      <c r="B535" s="2">
        <f t="shared" si="72"/>
        <v>0</v>
      </c>
      <c r="C535" s="5" t="s">
        <v>211</v>
      </c>
      <c r="D535" s="6"/>
      <c r="E535" s="7"/>
      <c r="F535" s="47"/>
      <c r="G535" s="10"/>
      <c r="H535" s="10"/>
      <c r="I535" s="10"/>
      <c r="J535" s="7"/>
      <c r="K535" s="7"/>
      <c r="L535" s="7"/>
      <c r="M535" s="7">
        <f t="shared" si="76"/>
        <v>0</v>
      </c>
      <c r="N535" s="7"/>
      <c r="O535" s="7">
        <f t="shared" si="73"/>
        <v>0</v>
      </c>
      <c r="P535" s="48"/>
    </row>
    <row r="536" spans="2:16" ht="15.75" x14ac:dyDescent="0.25">
      <c r="B536" s="2">
        <f t="shared" si="72"/>
        <v>-104</v>
      </c>
      <c r="C536" s="5" t="s">
        <v>139</v>
      </c>
      <c r="D536" s="7"/>
      <c r="E536" s="7"/>
      <c r="F536" s="47"/>
      <c r="G536" s="10"/>
      <c r="H536" s="10"/>
      <c r="I536" s="10"/>
      <c r="J536" s="7"/>
      <c r="K536" s="7"/>
      <c r="L536" s="7"/>
      <c r="M536" s="7">
        <f t="shared" si="76"/>
        <v>0</v>
      </c>
      <c r="N536" s="7">
        <v>104</v>
      </c>
      <c r="O536" s="7">
        <f t="shared" si="73"/>
        <v>0</v>
      </c>
      <c r="P536" s="48">
        <v>15</v>
      </c>
    </row>
    <row r="537" spans="2:16" ht="15.75" x14ac:dyDescent="0.25">
      <c r="B537" s="2">
        <f t="shared" si="72"/>
        <v>-76.599999999999994</v>
      </c>
      <c r="C537" s="5" t="s">
        <v>31</v>
      </c>
      <c r="D537" s="7"/>
      <c r="E537" s="7">
        <v>21.6</v>
      </c>
      <c r="F537" s="10"/>
      <c r="G537" s="10"/>
      <c r="H537" s="10">
        <v>25</v>
      </c>
      <c r="I537" s="10"/>
      <c r="J537" s="7">
        <v>26</v>
      </c>
      <c r="K537" s="7"/>
      <c r="L537" s="7">
        <v>101</v>
      </c>
      <c r="M537" s="7">
        <f t="shared" si="76"/>
        <v>173.6</v>
      </c>
      <c r="N537" s="7">
        <f>61.6+21.6</f>
        <v>83.2</v>
      </c>
      <c r="O537" s="7">
        <f t="shared" si="73"/>
        <v>-167</v>
      </c>
      <c r="P537" s="43" t="s">
        <v>533</v>
      </c>
    </row>
    <row r="538" spans="2:16" ht="15.75" x14ac:dyDescent="0.25">
      <c r="B538" s="2">
        <f t="shared" si="72"/>
        <v>0</v>
      </c>
      <c r="C538" s="5" t="s">
        <v>37</v>
      </c>
      <c r="D538" s="7"/>
      <c r="E538" s="7"/>
      <c r="F538" s="10"/>
      <c r="G538" s="10"/>
      <c r="H538" s="10"/>
      <c r="I538" s="10"/>
      <c r="J538" s="7"/>
      <c r="K538" s="7"/>
      <c r="L538" s="7"/>
      <c r="M538" s="7">
        <f t="shared" si="76"/>
        <v>0</v>
      </c>
      <c r="N538" s="7"/>
      <c r="O538" s="7">
        <f t="shared" si="73"/>
        <v>0</v>
      </c>
      <c r="P538" s="48"/>
    </row>
    <row r="539" spans="2:16" ht="15.75" x14ac:dyDescent="0.25">
      <c r="B539" s="2">
        <f t="shared" si="72"/>
        <v>-20</v>
      </c>
      <c r="C539" s="5" t="s">
        <v>105</v>
      </c>
      <c r="D539" s="7"/>
      <c r="E539" s="7">
        <v>30</v>
      </c>
      <c r="F539" s="10"/>
      <c r="G539" s="10"/>
      <c r="H539" s="10"/>
      <c r="I539" s="10"/>
      <c r="J539" s="7"/>
      <c r="K539" s="7"/>
      <c r="L539" s="7"/>
      <c r="M539" s="7">
        <f t="shared" si="76"/>
        <v>30</v>
      </c>
      <c r="N539" s="7">
        <v>50</v>
      </c>
      <c r="O539" s="7">
        <f t="shared" si="73"/>
        <v>0</v>
      </c>
      <c r="P539" s="48">
        <v>30</v>
      </c>
    </row>
    <row r="540" spans="2:16" ht="15.75" x14ac:dyDescent="0.25">
      <c r="B540" s="2">
        <f t="shared" si="72"/>
        <v>-12.6</v>
      </c>
      <c r="C540" s="5" t="s">
        <v>19</v>
      </c>
      <c r="D540" s="7"/>
      <c r="E540" s="7"/>
      <c r="F540" s="10"/>
      <c r="G540" s="10">
        <v>11.7</v>
      </c>
      <c r="H540" s="10"/>
      <c r="I540" s="10"/>
      <c r="J540" s="7"/>
      <c r="K540" s="7"/>
      <c r="L540" s="7"/>
      <c r="M540" s="7">
        <f t="shared" si="76"/>
        <v>11.7</v>
      </c>
      <c r="N540" s="7">
        <f>12.6+11.7</f>
        <v>24.299999999999997</v>
      </c>
      <c r="O540" s="7">
        <f t="shared" si="73"/>
        <v>0</v>
      </c>
      <c r="P540" s="48" t="s">
        <v>534</v>
      </c>
    </row>
    <row r="541" spans="2:16" ht="15.75" x14ac:dyDescent="0.25">
      <c r="B541" s="2">
        <f t="shared" si="72"/>
        <v>7</v>
      </c>
      <c r="C541" s="5" t="s">
        <v>136</v>
      </c>
      <c r="D541" s="7"/>
      <c r="E541" s="7"/>
      <c r="F541" s="10"/>
      <c r="G541" s="10"/>
      <c r="H541" s="10"/>
      <c r="I541" s="10"/>
      <c r="J541" s="7"/>
      <c r="K541" s="7"/>
      <c r="L541" s="7"/>
      <c r="M541" s="7">
        <f>SUM(D541:L541)</f>
        <v>0</v>
      </c>
      <c r="N541" s="7"/>
      <c r="O541" s="8">
        <f t="shared" si="73"/>
        <v>7</v>
      </c>
      <c r="P541" s="48"/>
    </row>
    <row r="542" spans="2:16" ht="15.75" x14ac:dyDescent="0.25">
      <c r="B542" s="2">
        <f t="shared" si="72"/>
        <v>-70</v>
      </c>
      <c r="C542" s="5" t="s">
        <v>111</v>
      </c>
      <c r="D542" s="6"/>
      <c r="E542" s="7"/>
      <c r="F542" s="10"/>
      <c r="G542" s="10"/>
      <c r="H542" s="10"/>
      <c r="I542" s="10"/>
      <c r="J542" s="7"/>
      <c r="K542" s="7"/>
      <c r="L542" s="7"/>
      <c r="M542" s="7">
        <f t="shared" ref="M542:M545" si="77">SUM(D542:L542)</f>
        <v>0</v>
      </c>
      <c r="N542" s="7"/>
      <c r="O542" s="7">
        <f t="shared" si="73"/>
        <v>-70</v>
      </c>
      <c r="P542" s="48"/>
    </row>
    <row r="543" spans="2:16" ht="15.75" x14ac:dyDescent="0.25">
      <c r="B543" s="2">
        <f t="shared" si="72"/>
        <v>-51</v>
      </c>
      <c r="C543" s="5" t="s">
        <v>428</v>
      </c>
      <c r="D543" s="6"/>
      <c r="E543" s="7"/>
      <c r="F543" s="10"/>
      <c r="G543" s="10"/>
      <c r="H543" s="10"/>
      <c r="I543" s="10"/>
      <c r="J543" s="7"/>
      <c r="K543" s="7"/>
      <c r="L543" s="7"/>
      <c r="M543" s="7">
        <f t="shared" si="77"/>
        <v>0</v>
      </c>
      <c r="N543" s="7"/>
      <c r="O543" s="7">
        <f t="shared" si="73"/>
        <v>-51</v>
      </c>
      <c r="P543" s="48"/>
    </row>
    <row r="544" spans="2:16" ht="15.75" x14ac:dyDescent="0.25">
      <c r="B544" s="2">
        <f t="shared" si="72"/>
        <v>0</v>
      </c>
      <c r="C544" s="5" t="s">
        <v>115</v>
      </c>
      <c r="D544" s="6"/>
      <c r="E544" s="7">
        <v>18</v>
      </c>
      <c r="F544" s="10"/>
      <c r="G544" s="10"/>
      <c r="H544" s="10"/>
      <c r="I544" s="10"/>
      <c r="J544" s="7"/>
      <c r="K544" s="7"/>
      <c r="L544" s="7"/>
      <c r="M544" s="7">
        <f t="shared" si="77"/>
        <v>18</v>
      </c>
      <c r="N544" s="7">
        <v>18</v>
      </c>
      <c r="O544" s="7">
        <f t="shared" si="73"/>
        <v>0</v>
      </c>
      <c r="P544" s="48">
        <v>28</v>
      </c>
    </row>
    <row r="545" spans="2:17" ht="15.75" x14ac:dyDescent="0.25">
      <c r="B545" s="2">
        <f t="shared" si="72"/>
        <v>0</v>
      </c>
      <c r="C545" s="5" t="s">
        <v>252</v>
      </c>
      <c r="D545" s="7">
        <v>26</v>
      </c>
      <c r="E545" s="7"/>
      <c r="F545" s="10"/>
      <c r="G545" s="10"/>
      <c r="H545" s="10"/>
      <c r="I545" s="10"/>
      <c r="J545" s="7"/>
      <c r="K545" s="7"/>
      <c r="L545" s="7"/>
      <c r="M545" s="7">
        <f t="shared" si="77"/>
        <v>26</v>
      </c>
      <c r="N545" s="7"/>
      <c r="O545" s="7">
        <f t="shared" si="73"/>
        <v>-26</v>
      </c>
      <c r="P545" s="48"/>
    </row>
    <row r="546" spans="2:17" ht="15.75" x14ac:dyDescent="0.25">
      <c r="B546" s="2">
        <f t="shared" si="72"/>
        <v>0</v>
      </c>
      <c r="C546" s="5" t="s">
        <v>117</v>
      </c>
      <c r="D546" s="7"/>
      <c r="E546" s="7"/>
      <c r="F546" s="10"/>
      <c r="G546" s="10"/>
      <c r="H546" s="10"/>
      <c r="I546" s="10"/>
      <c r="J546" s="7"/>
      <c r="K546" s="7"/>
      <c r="L546" s="7"/>
      <c r="M546" s="7">
        <f>SUM(D546:L546)</f>
        <v>0</v>
      </c>
      <c r="N546" s="7"/>
      <c r="O546" s="7">
        <f t="shared" si="73"/>
        <v>0</v>
      </c>
      <c r="P546" s="48"/>
    </row>
    <row r="547" spans="2:17" ht="15.75" x14ac:dyDescent="0.25">
      <c r="B547" s="2">
        <f t="shared" si="72"/>
        <v>-90.39</v>
      </c>
      <c r="C547" s="5" t="s">
        <v>20</v>
      </c>
      <c r="D547" s="7"/>
      <c r="E547" s="7"/>
      <c r="F547" s="10"/>
      <c r="G547" s="10"/>
      <c r="H547" s="10"/>
      <c r="I547" s="10"/>
      <c r="J547" s="7"/>
      <c r="K547" s="7"/>
      <c r="L547" s="7"/>
      <c r="M547" s="7">
        <f t="shared" ref="M547:M557" si="78">SUM(D547:L547)</f>
        <v>0</v>
      </c>
      <c r="N547" s="7"/>
      <c r="O547" s="7">
        <f t="shared" si="73"/>
        <v>-90.39</v>
      </c>
      <c r="P547" s="48"/>
    </row>
    <row r="548" spans="2:17" ht="15.75" x14ac:dyDescent="0.25">
      <c r="B548" s="2">
        <f t="shared" si="72"/>
        <v>0</v>
      </c>
      <c r="C548" s="5" t="s">
        <v>233</v>
      </c>
      <c r="D548" s="7"/>
      <c r="E548" s="7"/>
      <c r="F548" s="10"/>
      <c r="G548" s="10"/>
      <c r="H548" s="10"/>
      <c r="I548" s="10"/>
      <c r="J548" s="7"/>
      <c r="K548" s="7"/>
      <c r="L548" s="7"/>
      <c r="M548" s="7">
        <f t="shared" si="78"/>
        <v>0</v>
      </c>
      <c r="N548" s="7"/>
      <c r="O548" s="7">
        <f t="shared" si="73"/>
        <v>0</v>
      </c>
      <c r="P548" s="48"/>
    </row>
    <row r="549" spans="2:17" ht="15.75" x14ac:dyDescent="0.25">
      <c r="B549" s="2">
        <f t="shared" si="72"/>
        <v>-54</v>
      </c>
      <c r="C549" s="5" t="s">
        <v>13</v>
      </c>
      <c r="D549" s="7"/>
      <c r="E549" s="7"/>
      <c r="F549" s="10"/>
      <c r="G549" s="10"/>
      <c r="H549" s="10"/>
      <c r="I549" s="10"/>
      <c r="J549" s="7"/>
      <c r="K549" s="7">
        <v>43.2</v>
      </c>
      <c r="L549" s="7"/>
      <c r="M549" s="7">
        <f t="shared" si="78"/>
        <v>43.2</v>
      </c>
      <c r="N549" s="7">
        <v>54</v>
      </c>
      <c r="O549" s="7">
        <f t="shared" si="73"/>
        <v>-43.2</v>
      </c>
      <c r="P549" s="48">
        <v>21</v>
      </c>
    </row>
    <row r="550" spans="2:17" ht="15.75" x14ac:dyDescent="0.25">
      <c r="B550" s="2">
        <f t="shared" si="72"/>
        <v>0</v>
      </c>
      <c r="C550" s="5" t="s">
        <v>22</v>
      </c>
      <c r="D550" s="7"/>
      <c r="E550" s="7"/>
      <c r="F550" s="10"/>
      <c r="G550" s="10"/>
      <c r="H550" s="10"/>
      <c r="I550" s="10"/>
      <c r="J550" s="7">
        <v>309.60000000000002</v>
      </c>
      <c r="K550" s="7"/>
      <c r="L550" s="7"/>
      <c r="M550" s="7">
        <f t="shared" si="78"/>
        <v>309.60000000000002</v>
      </c>
      <c r="N550" s="7"/>
      <c r="O550" s="7">
        <f t="shared" si="73"/>
        <v>-309.60000000000002</v>
      </c>
      <c r="P550" s="48"/>
    </row>
    <row r="551" spans="2:17" ht="15.75" x14ac:dyDescent="0.25">
      <c r="B551" s="2">
        <v>0</v>
      </c>
      <c r="C551" s="5" t="s">
        <v>536</v>
      </c>
      <c r="D551" s="7"/>
      <c r="E551" s="7"/>
      <c r="F551" s="10"/>
      <c r="G551" s="10"/>
      <c r="H551" s="10"/>
      <c r="I551" s="10">
        <f>37.8+53.1</f>
        <v>90.9</v>
      </c>
      <c r="J551" s="7"/>
      <c r="K551" s="7"/>
      <c r="L551" s="7"/>
      <c r="M551" s="7">
        <f t="shared" si="78"/>
        <v>90.9</v>
      </c>
      <c r="N551" s="7">
        <v>90.9</v>
      </c>
      <c r="O551" s="7">
        <f t="shared" si="73"/>
        <v>0</v>
      </c>
      <c r="P551" s="48">
        <v>24</v>
      </c>
    </row>
    <row r="552" spans="2:17" ht="15.75" x14ac:dyDescent="0.25">
      <c r="B552" s="2">
        <f t="shared" ref="B552:B558" si="79">O487</f>
        <v>0</v>
      </c>
      <c r="C552" s="5" t="s">
        <v>523</v>
      </c>
      <c r="D552" s="7"/>
      <c r="E552" s="7"/>
      <c r="F552" s="10"/>
      <c r="G552" s="10"/>
      <c r="H552" s="10"/>
      <c r="I552" s="10"/>
      <c r="J552" s="7"/>
      <c r="K552" s="7"/>
      <c r="L552" s="7">
        <v>26</v>
      </c>
      <c r="M552" s="7">
        <f t="shared" si="78"/>
        <v>26</v>
      </c>
      <c r="N552" s="7"/>
      <c r="O552" s="7">
        <f t="shared" si="73"/>
        <v>-26</v>
      </c>
      <c r="P552" s="48"/>
    </row>
    <row r="553" spans="2:17" ht="15.75" x14ac:dyDescent="0.25">
      <c r="B553" s="2">
        <f t="shared" si="79"/>
        <v>0</v>
      </c>
      <c r="C553" s="5" t="s">
        <v>507</v>
      </c>
      <c r="D553" s="7"/>
      <c r="E553" s="7"/>
      <c r="F553" s="10"/>
      <c r="G553" s="10"/>
      <c r="H553" s="10"/>
      <c r="I553" s="10"/>
      <c r="J553" s="7"/>
      <c r="K553" s="7"/>
      <c r="L553" s="7"/>
      <c r="M553" s="7">
        <f t="shared" si="78"/>
        <v>0</v>
      </c>
      <c r="N553" s="7"/>
      <c r="O553" s="7">
        <f t="shared" si="73"/>
        <v>0</v>
      </c>
      <c r="P553" s="48"/>
    </row>
    <row r="554" spans="2:17" ht="15.75" x14ac:dyDescent="0.25">
      <c r="B554" s="2">
        <f t="shared" si="79"/>
        <v>21.6</v>
      </c>
      <c r="C554" s="5" t="s">
        <v>519</v>
      </c>
      <c r="D554" s="7">
        <v>21.6</v>
      </c>
      <c r="E554" s="7"/>
      <c r="F554" s="10"/>
      <c r="G554" s="10"/>
      <c r="H554" s="10">
        <v>21.6</v>
      </c>
      <c r="I554" s="10"/>
      <c r="J554" s="7"/>
      <c r="K554" s="7">
        <v>36</v>
      </c>
      <c r="L554" s="7"/>
      <c r="M554" s="7">
        <f t="shared" si="78"/>
        <v>79.2</v>
      </c>
      <c r="N554" s="7">
        <f>21.6+21.6+21.6</f>
        <v>64.800000000000011</v>
      </c>
      <c r="O554" s="7">
        <f t="shared" si="73"/>
        <v>7.2000000000000028</v>
      </c>
      <c r="P554" s="48" t="s">
        <v>540</v>
      </c>
    </row>
    <row r="555" spans="2:17" ht="15.75" x14ac:dyDescent="0.25">
      <c r="B555" s="2">
        <f t="shared" si="79"/>
        <v>-73.8</v>
      </c>
      <c r="C555" s="5" t="s">
        <v>518</v>
      </c>
      <c r="D555" s="7"/>
      <c r="E555" s="7"/>
      <c r="F555" s="10"/>
      <c r="G555" s="10"/>
      <c r="H555" s="10"/>
      <c r="I555" s="10"/>
      <c r="J555" s="7"/>
      <c r="K555" s="7"/>
      <c r="L555" s="7"/>
      <c r="M555" s="7">
        <f t="shared" si="78"/>
        <v>0</v>
      </c>
      <c r="N555" s="7"/>
      <c r="O555" s="7">
        <f t="shared" si="73"/>
        <v>-73.8</v>
      </c>
      <c r="P555" s="48"/>
    </row>
    <row r="556" spans="2:17" ht="15.75" x14ac:dyDescent="0.25">
      <c r="B556" s="2">
        <f t="shared" si="79"/>
        <v>-104</v>
      </c>
      <c r="C556" s="5" t="s">
        <v>135</v>
      </c>
      <c r="D556" s="7"/>
      <c r="E556" s="7"/>
      <c r="F556" s="10">
        <v>26</v>
      </c>
      <c r="G556" s="10"/>
      <c r="H556" s="10"/>
      <c r="I556" s="10"/>
      <c r="J556" s="7">
        <v>26</v>
      </c>
      <c r="K556" s="7"/>
      <c r="L556" s="7"/>
      <c r="M556" s="7">
        <f t="shared" si="78"/>
        <v>52</v>
      </c>
      <c r="N556" s="7">
        <v>26</v>
      </c>
      <c r="O556" s="7">
        <f>N556+B556-M556</f>
        <v>-130</v>
      </c>
      <c r="P556" s="48">
        <v>1</v>
      </c>
      <c r="Q556" t="s">
        <v>531</v>
      </c>
    </row>
    <row r="557" spans="2:17" ht="15.75" x14ac:dyDescent="0.25">
      <c r="B557" s="2">
        <f t="shared" si="79"/>
        <v>4.1999999999999993</v>
      </c>
      <c r="C557" s="5" t="s">
        <v>120</v>
      </c>
      <c r="D557" s="7"/>
      <c r="E557" s="7"/>
      <c r="F557" s="10"/>
      <c r="G557" s="10"/>
      <c r="H557" s="10"/>
      <c r="I557" s="10"/>
      <c r="J557" s="7"/>
      <c r="K557" s="7"/>
      <c r="L557" s="7"/>
      <c r="M557" s="7">
        <f t="shared" si="78"/>
        <v>0</v>
      </c>
      <c r="N557" s="7"/>
      <c r="O557" s="7">
        <f>N557+B557-M557</f>
        <v>4.1999999999999993</v>
      </c>
      <c r="P557" s="48"/>
    </row>
    <row r="558" spans="2:17" ht="15.75" x14ac:dyDescent="0.25">
      <c r="B558" s="2">
        <f t="shared" si="79"/>
        <v>-5082.9500000000007</v>
      </c>
      <c r="C558" s="6" t="s">
        <v>104</v>
      </c>
      <c r="D558" s="7">
        <f t="shared" ref="D558" si="80">SUM(D498:D556)</f>
        <v>89.5</v>
      </c>
      <c r="E558" s="7">
        <f>SUM(E498:E556)</f>
        <v>95.6</v>
      </c>
      <c r="F558" s="7">
        <f t="shared" ref="F558" si="81">SUM(F498:F556)</f>
        <v>92.6</v>
      </c>
      <c r="G558" s="7">
        <f>SUM(G498:G556)</f>
        <v>97.000000000000014</v>
      </c>
      <c r="H558" s="7">
        <f t="shared" ref="H558" si="82">SUM(H498:H556)</f>
        <v>85.300000000000011</v>
      </c>
      <c r="I558" s="7">
        <f>SUM(I498:I557)</f>
        <v>431.20000000000005</v>
      </c>
      <c r="J558" s="7">
        <f>SUM(J498:J557)</f>
        <v>618</v>
      </c>
      <c r="K558" s="7">
        <f>SUM(K498:K557)</f>
        <v>393.09999999999997</v>
      </c>
      <c r="L558" s="7">
        <f t="shared" ref="L558" si="83">SUM(L498:L556)</f>
        <v>346.6</v>
      </c>
      <c r="M558" s="7">
        <f>SUM(M498:M557)</f>
        <v>2248.9</v>
      </c>
      <c r="N558" s="15">
        <f>SUM(N498:N557)</f>
        <v>2059.2799999999997</v>
      </c>
      <c r="O558" s="7">
        <f>SUM(O498:O557)</f>
        <v>-5272.5700000000006</v>
      </c>
      <c r="P558" s="43"/>
    </row>
    <row r="559" spans="2:17" x14ac:dyDescent="0.25">
      <c r="M559" s="13">
        <f>SUM(D558:L558)</f>
        <v>2248.9</v>
      </c>
    </row>
    <row r="561" spans="2:21" ht="15.75" x14ac:dyDescent="0.25">
      <c r="B561" s="57" t="s">
        <v>530</v>
      </c>
      <c r="C561" s="59"/>
      <c r="D561" s="27">
        <v>77</v>
      </c>
      <c r="E561" s="27">
        <v>78</v>
      </c>
      <c r="F561" s="27">
        <v>79</v>
      </c>
      <c r="G561" s="27">
        <v>80</v>
      </c>
      <c r="H561" s="27">
        <v>81</v>
      </c>
      <c r="I561" s="27">
        <v>82</v>
      </c>
      <c r="J561" s="27">
        <v>83</v>
      </c>
      <c r="K561" s="27">
        <v>84</v>
      </c>
      <c r="L561" s="27">
        <v>85</v>
      </c>
      <c r="M561" s="57" t="s">
        <v>68</v>
      </c>
      <c r="N561" s="61" t="s">
        <v>137</v>
      </c>
      <c r="O561" s="57" t="s">
        <v>541</v>
      </c>
    </row>
    <row r="562" spans="2:21" ht="15.75" x14ac:dyDescent="0.25">
      <c r="B562" s="58"/>
      <c r="C562" s="60"/>
      <c r="D562" s="26">
        <v>3</v>
      </c>
      <c r="E562" s="26">
        <v>7</v>
      </c>
      <c r="F562" s="26">
        <v>10</v>
      </c>
      <c r="G562" s="26">
        <v>14</v>
      </c>
      <c r="H562" s="26">
        <v>17</v>
      </c>
      <c r="I562" s="26">
        <v>21</v>
      </c>
      <c r="J562" s="26">
        <v>24</v>
      </c>
      <c r="K562" s="26">
        <v>28</v>
      </c>
      <c r="L562" s="26">
        <v>31</v>
      </c>
      <c r="M562" s="58"/>
      <c r="N562" s="62"/>
      <c r="O562" s="58"/>
      <c r="P562" s="7"/>
    </row>
    <row r="563" spans="2:21" ht="15.75" x14ac:dyDescent="0.25">
      <c r="B563" s="2">
        <f>O498</f>
        <v>0</v>
      </c>
      <c r="C563" s="5" t="s">
        <v>123</v>
      </c>
      <c r="D563" s="6"/>
      <c r="E563" s="6"/>
      <c r="F563" s="6"/>
      <c r="G563" s="6"/>
      <c r="H563" s="6"/>
      <c r="I563" s="6"/>
      <c r="J563" s="6"/>
      <c r="K563" s="6"/>
      <c r="L563" s="6"/>
      <c r="M563" s="7">
        <f>SUM(D563:L563)</f>
        <v>0</v>
      </c>
      <c r="N563" s="7"/>
      <c r="O563" s="7">
        <f>N563+B563-M563</f>
        <v>0</v>
      </c>
      <c r="P563" s="7"/>
    </row>
    <row r="564" spans="2:21" ht="15.75" x14ac:dyDescent="0.25">
      <c r="B564" s="2">
        <f t="shared" ref="B564:B623" si="84">O499</f>
        <v>-6</v>
      </c>
      <c r="C564" s="5" t="s">
        <v>125</v>
      </c>
      <c r="D564" s="6"/>
      <c r="E564" s="7"/>
      <c r="F564" s="6"/>
      <c r="G564" s="7"/>
      <c r="H564" s="7"/>
      <c r="I564" s="6"/>
      <c r="J564" s="7"/>
      <c r="K564" s="7"/>
      <c r="L564" s="7"/>
      <c r="M564" s="7">
        <f>SUM(D564:L564)</f>
        <v>0</v>
      </c>
      <c r="N564" s="7"/>
      <c r="O564" s="7">
        <f t="shared" ref="O564:O620" si="85">N564+B564-M564</f>
        <v>-6</v>
      </c>
      <c r="P564" s="48"/>
    </row>
    <row r="565" spans="2:21" ht="15.75" x14ac:dyDescent="0.25">
      <c r="B565" s="2">
        <f t="shared" si="84"/>
        <v>-26.000000000000057</v>
      </c>
      <c r="C565" s="5" t="s">
        <v>194</v>
      </c>
      <c r="D565" s="7"/>
      <c r="E565" s="7"/>
      <c r="F565" s="7">
        <v>9</v>
      </c>
      <c r="G565" s="7"/>
      <c r="H565" s="7">
        <v>26</v>
      </c>
      <c r="I565" s="7"/>
      <c r="J565" s="7">
        <f>26+13.5</f>
        <v>39.5</v>
      </c>
      <c r="K565" s="15"/>
      <c r="L565" s="7"/>
      <c r="M565" s="7">
        <f>SUM(D565:L565)</f>
        <v>74.5</v>
      </c>
      <c r="N565" s="7"/>
      <c r="O565" s="7">
        <f t="shared" si="85"/>
        <v>-100.50000000000006</v>
      </c>
      <c r="P565" s="38"/>
    </row>
    <row r="566" spans="2:21" ht="15.75" x14ac:dyDescent="0.25">
      <c r="B566" s="2">
        <f t="shared" si="84"/>
        <v>-26</v>
      </c>
      <c r="C566" s="5" t="s">
        <v>2</v>
      </c>
      <c r="D566" s="6"/>
      <c r="E566" s="7"/>
      <c r="F566" s="6"/>
      <c r="G566" s="7"/>
      <c r="H566" s="7"/>
      <c r="I566" s="7"/>
      <c r="J566" s="7"/>
      <c r="K566" s="7"/>
      <c r="L566" s="7"/>
      <c r="M566" s="7">
        <f>SUM(D566:L566)</f>
        <v>0</v>
      </c>
      <c r="N566" s="7"/>
      <c r="O566" s="7">
        <f t="shared" si="85"/>
        <v>-26</v>
      </c>
      <c r="P566" s="38"/>
    </row>
    <row r="567" spans="2:21" ht="15.75" x14ac:dyDescent="0.25">
      <c r="B567" s="2">
        <f t="shared" si="84"/>
        <v>0</v>
      </c>
      <c r="C567" s="5" t="s">
        <v>129</v>
      </c>
      <c r="D567" s="6"/>
      <c r="E567" s="7"/>
      <c r="F567" s="6"/>
      <c r="G567" s="6"/>
      <c r="H567" s="6"/>
      <c r="I567" s="7"/>
      <c r="J567" s="6"/>
      <c r="K567" s="7"/>
      <c r="L567" s="7"/>
      <c r="M567" s="7">
        <f t="shared" ref="M567:M585" si="86">SUM(D567:L567)</f>
        <v>0</v>
      </c>
      <c r="N567" s="7"/>
      <c r="O567" s="7">
        <f t="shared" si="85"/>
        <v>0</v>
      </c>
      <c r="P567" s="48"/>
    </row>
    <row r="568" spans="2:21" ht="15.75" x14ac:dyDescent="0.25">
      <c r="B568" s="2">
        <f t="shared" si="84"/>
        <v>-25</v>
      </c>
      <c r="C568" s="5" t="s">
        <v>195</v>
      </c>
      <c r="D568" s="6"/>
      <c r="E568" s="7"/>
      <c r="F568" s="6"/>
      <c r="G568" s="6"/>
      <c r="H568" s="6"/>
      <c r="I568" s="7"/>
      <c r="J568" s="7"/>
      <c r="K568" s="7"/>
      <c r="L568" s="7"/>
      <c r="M568" s="7">
        <f t="shared" si="86"/>
        <v>0</v>
      </c>
      <c r="N568" s="7"/>
      <c r="O568" s="7">
        <f t="shared" si="85"/>
        <v>-25</v>
      </c>
      <c r="P568" s="48"/>
    </row>
    <row r="569" spans="2:21" ht="15.75" x14ac:dyDescent="0.25">
      <c r="B569" s="2">
        <f t="shared" si="84"/>
        <v>20</v>
      </c>
      <c r="C569" s="5" t="s">
        <v>128</v>
      </c>
      <c r="D569" s="7">
        <v>26</v>
      </c>
      <c r="E569" s="7"/>
      <c r="F569" s="7"/>
      <c r="G569" s="7"/>
      <c r="H569" s="7"/>
      <c r="I569" s="7"/>
      <c r="J569" s="7"/>
      <c r="K569" s="7"/>
      <c r="L569" s="7"/>
      <c r="M569" s="7">
        <f t="shared" si="86"/>
        <v>26</v>
      </c>
      <c r="N569" s="7">
        <v>26</v>
      </c>
      <c r="O569" s="7">
        <f t="shared" si="85"/>
        <v>20</v>
      </c>
      <c r="P569" s="48">
        <v>14</v>
      </c>
    </row>
    <row r="570" spans="2:21" ht="15.75" x14ac:dyDescent="0.25">
      <c r="B570" s="2">
        <f t="shared" si="84"/>
        <v>-285.2</v>
      </c>
      <c r="C570" s="5" t="s">
        <v>127</v>
      </c>
      <c r="D570" s="6"/>
      <c r="E570" s="7"/>
      <c r="F570" s="7"/>
      <c r="G570" s="7"/>
      <c r="H570" s="7"/>
      <c r="I570" s="7"/>
      <c r="J570" s="6"/>
      <c r="K570" s="7"/>
      <c r="L570" s="7"/>
      <c r="M570" s="7">
        <f t="shared" si="86"/>
        <v>0</v>
      </c>
      <c r="N570" s="7"/>
      <c r="O570" s="54">
        <f t="shared" si="85"/>
        <v>-285.2</v>
      </c>
      <c r="P570" s="48"/>
    </row>
    <row r="571" spans="2:21" ht="15.75" x14ac:dyDescent="0.25">
      <c r="B571" s="2">
        <f t="shared" si="84"/>
        <v>0</v>
      </c>
      <c r="C571" s="5" t="s">
        <v>126</v>
      </c>
      <c r="D571" s="6"/>
      <c r="E571" s="7"/>
      <c r="F571" s="6"/>
      <c r="G571" s="6"/>
      <c r="H571" s="6"/>
      <c r="I571" s="7"/>
      <c r="J571" s="6"/>
      <c r="K571" s="7"/>
      <c r="L571" s="7"/>
      <c r="M571" s="7">
        <f t="shared" si="86"/>
        <v>0</v>
      </c>
      <c r="N571" s="7"/>
      <c r="O571" s="7">
        <f t="shared" si="85"/>
        <v>0</v>
      </c>
      <c r="P571" s="48"/>
    </row>
    <row r="572" spans="2:21" ht="15.75" x14ac:dyDescent="0.25">
      <c r="B572" s="2">
        <f t="shared" si="84"/>
        <v>-528.20000000000005</v>
      </c>
      <c r="C572" s="5" t="s">
        <v>130</v>
      </c>
      <c r="D572" s="7"/>
      <c r="E572" s="7"/>
      <c r="F572" s="7"/>
      <c r="G572" s="7"/>
      <c r="H572" s="7"/>
      <c r="I572" s="7"/>
      <c r="J572" s="6"/>
      <c r="K572" s="7"/>
      <c r="L572" s="7"/>
      <c r="M572" s="7">
        <f t="shared" si="86"/>
        <v>0</v>
      </c>
      <c r="N572" s="7"/>
      <c r="O572" s="54">
        <f t="shared" si="85"/>
        <v>-528.20000000000005</v>
      </c>
      <c r="P572" s="48"/>
    </row>
    <row r="573" spans="2:21" ht="15.75" x14ac:dyDescent="0.25">
      <c r="B573" s="2">
        <f t="shared" si="84"/>
        <v>-236</v>
      </c>
      <c r="C573" s="5" t="s">
        <v>131</v>
      </c>
      <c r="D573" s="7"/>
      <c r="E573" s="7"/>
      <c r="F573" s="7"/>
      <c r="G573" s="7"/>
      <c r="H573" s="7"/>
      <c r="I573" s="7"/>
      <c r="J573" s="7"/>
      <c r="K573" s="7"/>
      <c r="L573" s="7"/>
      <c r="M573" s="7">
        <f t="shared" si="86"/>
        <v>0</v>
      </c>
      <c r="N573" s="7"/>
      <c r="O573" s="7">
        <f t="shared" si="85"/>
        <v>-236</v>
      </c>
      <c r="P573" s="48"/>
      <c r="S573">
        <v>438.8</v>
      </c>
      <c r="T573">
        <v>10</v>
      </c>
      <c r="U573">
        <v>36</v>
      </c>
    </row>
    <row r="574" spans="2:21" ht="15.75" x14ac:dyDescent="0.25">
      <c r="B574" s="2">
        <f t="shared" si="84"/>
        <v>-58.63</v>
      </c>
      <c r="C574" s="5" t="s">
        <v>525</v>
      </c>
      <c r="D574" s="7"/>
      <c r="E574" s="7"/>
      <c r="F574" s="7"/>
      <c r="G574" s="7"/>
      <c r="H574" s="7"/>
      <c r="I574" s="7"/>
      <c r="J574" s="7"/>
      <c r="K574" s="7"/>
      <c r="L574" s="7"/>
      <c r="M574" s="7">
        <f t="shared" si="86"/>
        <v>0</v>
      </c>
      <c r="N574" s="7">
        <v>58.63</v>
      </c>
      <c r="O574" s="7">
        <f t="shared" si="85"/>
        <v>0</v>
      </c>
      <c r="P574" s="48">
        <v>23</v>
      </c>
      <c r="S574">
        <v>2284.02</v>
      </c>
      <c r="T574">
        <v>21</v>
      </c>
      <c r="U574">
        <v>14</v>
      </c>
    </row>
    <row r="575" spans="2:21" ht="15.75" x14ac:dyDescent="0.25">
      <c r="B575" s="2">
        <f t="shared" si="84"/>
        <v>-130</v>
      </c>
      <c r="C575" s="5" t="s">
        <v>132</v>
      </c>
      <c r="D575" s="7"/>
      <c r="E575" s="7"/>
      <c r="F575" s="7"/>
      <c r="G575" s="7">
        <v>51</v>
      </c>
      <c r="H575" s="7"/>
      <c r="I575" s="7"/>
      <c r="J575" s="7"/>
      <c r="K575" s="7"/>
      <c r="L575" s="7"/>
      <c r="M575" s="7">
        <f t="shared" si="86"/>
        <v>51</v>
      </c>
      <c r="N575" s="7"/>
      <c r="O575" s="7">
        <f t="shared" si="85"/>
        <v>-181</v>
      </c>
      <c r="P575" s="48"/>
      <c r="S575">
        <v>683</v>
      </c>
      <c r="T575">
        <v>36</v>
      </c>
      <c r="U575">
        <v>10.5</v>
      </c>
    </row>
    <row r="576" spans="2:21" ht="15.75" x14ac:dyDescent="0.25">
      <c r="B576" s="2">
        <f t="shared" si="84"/>
        <v>-325.69999999999993</v>
      </c>
      <c r="C576" s="5" t="s">
        <v>9</v>
      </c>
      <c r="D576" s="6"/>
      <c r="E576" s="7"/>
      <c r="F576" s="7"/>
      <c r="G576" s="7"/>
      <c r="H576" s="7"/>
      <c r="I576" s="6"/>
      <c r="J576" s="7"/>
      <c r="K576" s="7"/>
      <c r="L576" s="7">
        <v>52</v>
      </c>
      <c r="M576" s="7">
        <f t="shared" si="86"/>
        <v>52</v>
      </c>
      <c r="N576" s="7">
        <v>325.7</v>
      </c>
      <c r="O576" s="55">
        <f t="shared" si="85"/>
        <v>-51.999999999999943</v>
      </c>
      <c r="P576" s="48">
        <v>22</v>
      </c>
      <c r="S576">
        <v>676.8</v>
      </c>
      <c r="U576">
        <v>28</v>
      </c>
    </row>
    <row r="577" spans="2:21" ht="15.75" x14ac:dyDescent="0.25">
      <c r="B577" s="2">
        <f t="shared" si="84"/>
        <v>15</v>
      </c>
      <c r="C577" s="5" t="s">
        <v>133</v>
      </c>
      <c r="D577" s="7">
        <v>25</v>
      </c>
      <c r="E577" s="7"/>
      <c r="F577" s="7"/>
      <c r="G577" s="7">
        <v>26</v>
      </c>
      <c r="H577" s="7"/>
      <c r="I577" s="7"/>
      <c r="J577" s="7"/>
      <c r="K577" s="7"/>
      <c r="L577" s="7"/>
      <c r="M577" s="7">
        <f t="shared" si="86"/>
        <v>51</v>
      </c>
      <c r="N577" s="8"/>
      <c r="O577" s="7">
        <f t="shared" si="85"/>
        <v>-36</v>
      </c>
      <c r="P577" s="48"/>
      <c r="S577">
        <v>676.8</v>
      </c>
      <c r="T577">
        <v>34</v>
      </c>
      <c r="U577">
        <v>27</v>
      </c>
    </row>
    <row r="578" spans="2:21" ht="15.75" x14ac:dyDescent="0.25">
      <c r="B578" s="2">
        <f t="shared" si="84"/>
        <v>-110.2</v>
      </c>
      <c r="C578" s="5" t="s">
        <v>96</v>
      </c>
      <c r="D578" s="7"/>
      <c r="E578" s="7">
        <f>12.6+26</f>
        <v>38.6</v>
      </c>
      <c r="F578" s="7"/>
      <c r="G578" s="7"/>
      <c r="H578" s="7">
        <v>25</v>
      </c>
      <c r="I578" s="7"/>
      <c r="J578" s="7">
        <v>300</v>
      </c>
      <c r="K578" s="7"/>
      <c r="L578" s="7"/>
      <c r="M578" s="7">
        <f t="shared" si="86"/>
        <v>363.6</v>
      </c>
      <c r="N578" s="7">
        <f>72+300</f>
        <v>372</v>
      </c>
      <c r="O578" s="7">
        <f t="shared" si="85"/>
        <v>-101.80000000000001</v>
      </c>
      <c r="P578" s="48" t="s">
        <v>543</v>
      </c>
      <c r="S578">
        <v>343.4</v>
      </c>
      <c r="T578">
        <v>54</v>
      </c>
      <c r="U578">
        <v>36</v>
      </c>
    </row>
    <row r="579" spans="2:21" ht="15.75" x14ac:dyDescent="0.25">
      <c r="B579" s="2">
        <f t="shared" si="84"/>
        <v>0</v>
      </c>
      <c r="C579" s="5" t="s">
        <v>134</v>
      </c>
      <c r="D579" s="7"/>
      <c r="E579" s="7"/>
      <c r="F579" s="6"/>
      <c r="G579" s="7"/>
      <c r="H579" s="7"/>
      <c r="I579" s="7">
        <v>26</v>
      </c>
      <c r="J579" s="7"/>
      <c r="K579" s="7"/>
      <c r="L579" s="7"/>
      <c r="M579" s="7">
        <f t="shared" si="86"/>
        <v>26</v>
      </c>
      <c r="N579" s="7"/>
      <c r="O579" s="7">
        <f t="shared" si="85"/>
        <v>-26</v>
      </c>
      <c r="P579" s="48"/>
      <c r="S579">
        <v>301.89999999999998</v>
      </c>
      <c r="T579">
        <v>28.8</v>
      </c>
      <c r="U579">
        <v>157.6</v>
      </c>
    </row>
    <row r="580" spans="2:21" ht="15.75" x14ac:dyDescent="0.25">
      <c r="B580" s="2">
        <f t="shared" si="84"/>
        <v>26.100000000000009</v>
      </c>
      <c r="C580" s="5" t="s">
        <v>99</v>
      </c>
      <c r="D580" s="7"/>
      <c r="E580" s="7"/>
      <c r="F580" s="6"/>
      <c r="G580" s="7"/>
      <c r="H580" s="7"/>
      <c r="I580" s="7"/>
      <c r="J580" s="6"/>
      <c r="K580" s="6"/>
      <c r="L580" s="7"/>
      <c r="M580" s="7">
        <f t="shared" si="86"/>
        <v>0</v>
      </c>
      <c r="N580" s="7"/>
      <c r="O580" s="7">
        <f t="shared" si="85"/>
        <v>26.100000000000009</v>
      </c>
      <c r="P580" s="48"/>
      <c r="S580">
        <v>745.5</v>
      </c>
      <c r="T580">
        <v>43.2</v>
      </c>
      <c r="U580">
        <v>162</v>
      </c>
    </row>
    <row r="581" spans="2:21" ht="15.75" x14ac:dyDescent="0.25">
      <c r="B581" s="2">
        <f t="shared" si="84"/>
        <v>-92.309999999999988</v>
      </c>
      <c r="C581" s="5" t="s">
        <v>53</v>
      </c>
      <c r="D581" s="7"/>
      <c r="E581" s="7"/>
      <c r="F581" s="7"/>
      <c r="G581" s="7"/>
      <c r="H581" s="7"/>
      <c r="I581" s="7"/>
      <c r="J581" s="7"/>
      <c r="K581" s="7"/>
      <c r="L581" s="7"/>
      <c r="M581" s="7">
        <f t="shared" si="86"/>
        <v>0</v>
      </c>
      <c r="N581" s="7"/>
      <c r="O581" s="7">
        <f t="shared" si="85"/>
        <v>-92.309999999999988</v>
      </c>
      <c r="P581" s="48"/>
      <c r="S581">
        <v>479.3</v>
      </c>
      <c r="T581">
        <v>18</v>
      </c>
      <c r="U581">
        <v>91.8</v>
      </c>
    </row>
    <row r="582" spans="2:21" ht="15.75" x14ac:dyDescent="0.25">
      <c r="B582" s="2">
        <f t="shared" si="84"/>
        <v>-176.29999999999995</v>
      </c>
      <c r="C582" s="5" t="s">
        <v>33</v>
      </c>
      <c r="D582" s="7"/>
      <c r="E582" s="7">
        <v>17.100000000000001</v>
      </c>
      <c r="F582" s="7">
        <v>10.8</v>
      </c>
      <c r="G582" s="7"/>
      <c r="H582" s="7"/>
      <c r="I582" s="7"/>
      <c r="J582" s="56"/>
      <c r="K582" s="7">
        <v>48.6</v>
      </c>
      <c r="L582" s="7">
        <v>250</v>
      </c>
      <c r="M582" s="7">
        <f t="shared" si="86"/>
        <v>326.5</v>
      </c>
      <c r="N582" s="7">
        <f>43.1+10.8+50</f>
        <v>103.9</v>
      </c>
      <c r="O582" s="7">
        <f t="shared" si="85"/>
        <v>-398.9</v>
      </c>
      <c r="P582" s="48" t="s">
        <v>551</v>
      </c>
      <c r="S582">
        <v>473.5</v>
      </c>
      <c r="T582">
        <v>325</v>
      </c>
      <c r="U582">
        <v>3.6</v>
      </c>
    </row>
    <row r="583" spans="2:21" ht="15.75" x14ac:dyDescent="0.25">
      <c r="B583" s="2">
        <f t="shared" si="84"/>
        <v>-25.7</v>
      </c>
      <c r="C583" s="5" t="s">
        <v>480</v>
      </c>
      <c r="D583" s="7"/>
      <c r="E583" s="7"/>
      <c r="F583" s="7"/>
      <c r="G583" s="7"/>
      <c r="H583" s="7"/>
      <c r="I583" s="7"/>
      <c r="J583" s="7"/>
      <c r="K583" s="7"/>
      <c r="L583" s="7"/>
      <c r="M583" s="7">
        <f t="shared" si="86"/>
        <v>0</v>
      </c>
      <c r="N583" s="7">
        <v>25.7</v>
      </c>
      <c r="O583" s="7">
        <f t="shared" si="85"/>
        <v>0</v>
      </c>
      <c r="P583" s="48">
        <v>6</v>
      </c>
      <c r="T583">
        <v>52</v>
      </c>
      <c r="U583">
        <v>68</v>
      </c>
    </row>
    <row r="584" spans="2:21" ht="15.75" x14ac:dyDescent="0.25">
      <c r="B584" s="2">
        <f t="shared" si="84"/>
        <v>-99.699999999999989</v>
      </c>
      <c r="C584" s="5" t="s">
        <v>23</v>
      </c>
      <c r="D584" s="7">
        <v>24.3</v>
      </c>
      <c r="E584" s="7"/>
      <c r="F584" s="10"/>
      <c r="G584" s="10"/>
      <c r="H584" s="10"/>
      <c r="I584" s="10"/>
      <c r="J584" s="7"/>
      <c r="K584" s="7"/>
      <c r="L584" s="7"/>
      <c r="M584" s="7">
        <f t="shared" si="86"/>
        <v>24.3</v>
      </c>
      <c r="N584" s="7">
        <f>24.3</f>
        <v>24.3</v>
      </c>
      <c r="O584" s="7">
        <f t="shared" si="85"/>
        <v>-99.699999999999989</v>
      </c>
      <c r="P584" s="48">
        <v>16</v>
      </c>
      <c r="T584">
        <v>13.5</v>
      </c>
      <c r="U584">
        <v>48.6</v>
      </c>
    </row>
    <row r="585" spans="2:21" ht="15.75" x14ac:dyDescent="0.25">
      <c r="B585" s="2">
        <f t="shared" si="84"/>
        <v>-188.8</v>
      </c>
      <c r="C585" s="5" t="s">
        <v>24</v>
      </c>
      <c r="D585" s="7">
        <v>30</v>
      </c>
      <c r="E585" s="7"/>
      <c r="F585" s="10"/>
      <c r="G585" s="10"/>
      <c r="H585" s="10"/>
      <c r="I585" s="10"/>
      <c r="J585" s="7"/>
      <c r="K585" s="7"/>
      <c r="L585" s="7"/>
      <c r="M585" s="7">
        <f t="shared" si="86"/>
        <v>30</v>
      </c>
      <c r="N585" s="7">
        <f>26+111.6+56</f>
        <v>193.6</v>
      </c>
      <c r="O585" s="7">
        <f t="shared" si="85"/>
        <v>-25.200000000000017</v>
      </c>
      <c r="P585" s="48" t="s">
        <v>555</v>
      </c>
      <c r="Q585" t="s">
        <v>544</v>
      </c>
      <c r="S585">
        <f>SUM(S573:S582)</f>
        <v>7103.0199999999995</v>
      </c>
      <c r="T585">
        <v>26</v>
      </c>
    </row>
    <row r="586" spans="2:21" ht="15.75" x14ac:dyDescent="0.25">
      <c r="B586" s="2">
        <f t="shared" si="84"/>
        <v>0</v>
      </c>
      <c r="C586" s="5" t="s">
        <v>513</v>
      </c>
      <c r="D586" s="7"/>
      <c r="E586" s="7"/>
      <c r="F586" s="10"/>
      <c r="G586" s="10"/>
      <c r="H586" s="10"/>
      <c r="I586" s="10"/>
      <c r="J586" s="7"/>
      <c r="K586" s="18">
        <v>9</v>
      </c>
      <c r="L586" s="7"/>
      <c r="M586" s="7">
        <f>SUM(D586:L586)</f>
        <v>9</v>
      </c>
      <c r="N586" s="7"/>
      <c r="O586" s="7">
        <f t="shared" si="85"/>
        <v>-9</v>
      </c>
      <c r="P586" s="48"/>
      <c r="T586">
        <v>15.3</v>
      </c>
    </row>
    <row r="587" spans="2:21" ht="15.75" x14ac:dyDescent="0.25">
      <c r="B587" s="2">
        <f t="shared" si="84"/>
        <v>0</v>
      </c>
      <c r="C587" s="5" t="s">
        <v>25</v>
      </c>
      <c r="D587" s="7"/>
      <c r="E587" s="7"/>
      <c r="F587" s="10"/>
      <c r="G587" s="10">
        <v>27</v>
      </c>
      <c r="H587" s="10"/>
      <c r="I587" s="10"/>
      <c r="J587" s="7"/>
      <c r="K587" s="7"/>
      <c r="L587" s="7">
        <v>40</v>
      </c>
      <c r="M587" s="7">
        <f>SUM(D587:L587)</f>
        <v>67</v>
      </c>
      <c r="N587" s="7">
        <v>27</v>
      </c>
      <c r="O587" s="7">
        <f t="shared" si="85"/>
        <v>-40</v>
      </c>
      <c r="P587" s="48">
        <v>22</v>
      </c>
    </row>
    <row r="588" spans="2:21" ht="15.75" x14ac:dyDescent="0.25">
      <c r="B588" s="2">
        <f t="shared" si="84"/>
        <v>19.800000000000015</v>
      </c>
      <c r="C588" s="5" t="s">
        <v>27</v>
      </c>
      <c r="D588" s="7"/>
      <c r="E588" s="7"/>
      <c r="F588" s="10"/>
      <c r="G588" s="10"/>
      <c r="H588" s="10"/>
      <c r="I588" s="10"/>
      <c r="J588" s="7"/>
      <c r="K588" s="7"/>
      <c r="L588" s="7"/>
      <c r="M588" s="7">
        <f>SUM(D588:L588)</f>
        <v>0</v>
      </c>
      <c r="N588" s="7"/>
      <c r="O588" s="7">
        <f t="shared" si="85"/>
        <v>19.800000000000015</v>
      </c>
      <c r="P588" s="48"/>
      <c r="T588">
        <f>SUM(T573:T586)</f>
        <v>676.8</v>
      </c>
      <c r="U588">
        <f>SUM(U573:U586)</f>
        <v>683.1</v>
      </c>
    </row>
    <row r="589" spans="2:21" ht="15.75" x14ac:dyDescent="0.25">
      <c r="B589" s="2">
        <f t="shared" si="84"/>
        <v>-53.94</v>
      </c>
      <c r="C589" s="5" t="s">
        <v>29</v>
      </c>
      <c r="D589" s="7"/>
      <c r="E589" s="7"/>
      <c r="F589" s="10"/>
      <c r="G589" s="10"/>
      <c r="H589" s="10"/>
      <c r="I589" s="10"/>
      <c r="J589" s="7"/>
      <c r="K589" s="7"/>
      <c r="L589" s="7"/>
      <c r="M589" s="7">
        <f t="shared" ref="M589:M590" si="87">SUM(D589:L589)</f>
        <v>0</v>
      </c>
      <c r="N589" s="7"/>
      <c r="O589" s="7">
        <f t="shared" si="85"/>
        <v>-53.94</v>
      </c>
      <c r="P589" s="48"/>
      <c r="Q589" t="s">
        <v>545</v>
      </c>
    </row>
    <row r="590" spans="2:21" ht="15.75" x14ac:dyDescent="0.25">
      <c r="B590" s="2">
        <f t="shared" si="84"/>
        <v>-114.70000000000005</v>
      </c>
      <c r="C590" s="5" t="s">
        <v>30</v>
      </c>
      <c r="D590" s="7"/>
      <c r="E590" s="7"/>
      <c r="F590" s="10"/>
      <c r="G590" s="10"/>
      <c r="H590" s="10"/>
      <c r="I590" s="10"/>
      <c r="J590" s="7"/>
      <c r="K590" s="7"/>
      <c r="L590" s="7"/>
      <c r="M590" s="7">
        <f t="shared" si="87"/>
        <v>0</v>
      </c>
      <c r="N590" s="7"/>
      <c r="O590" s="7">
        <f t="shared" si="85"/>
        <v>-114.70000000000005</v>
      </c>
      <c r="P590" s="48"/>
    </row>
    <row r="591" spans="2:21" ht="15.75" x14ac:dyDescent="0.25">
      <c r="B591" s="2">
        <f t="shared" si="84"/>
        <v>0</v>
      </c>
      <c r="C591" s="5" t="s">
        <v>356</v>
      </c>
      <c r="D591" s="7"/>
      <c r="E591" s="7"/>
      <c r="F591" s="10"/>
      <c r="G591" s="10"/>
      <c r="H591" s="10"/>
      <c r="I591" s="10"/>
      <c r="J591" s="7"/>
      <c r="K591" s="7"/>
      <c r="L591" s="7"/>
      <c r="M591" s="7">
        <f>SUM(D591:L591)</f>
        <v>0</v>
      </c>
      <c r="N591" s="7"/>
      <c r="O591" s="7">
        <f t="shared" si="85"/>
        <v>0</v>
      </c>
      <c r="P591" s="48"/>
    </row>
    <row r="592" spans="2:21" ht="15.75" x14ac:dyDescent="0.25">
      <c r="B592" s="2">
        <f t="shared" si="84"/>
        <v>-3.6999999999999886</v>
      </c>
      <c r="C592" s="5" t="s">
        <v>529</v>
      </c>
      <c r="D592" s="7"/>
      <c r="E592" s="7"/>
      <c r="F592" s="10"/>
      <c r="G592" s="10">
        <v>30</v>
      </c>
      <c r="H592" s="10"/>
      <c r="I592" s="53">
        <v>14.4</v>
      </c>
      <c r="J592" s="7"/>
      <c r="K592" s="7"/>
      <c r="L592" s="7"/>
      <c r="M592" s="7">
        <f t="shared" ref="M592:M605" si="88">SUM(D592:L592)</f>
        <v>44.4</v>
      </c>
      <c r="N592" s="7">
        <f>46.7+25+30</f>
        <v>101.7</v>
      </c>
      <c r="O592" s="7">
        <f t="shared" si="85"/>
        <v>53.600000000000016</v>
      </c>
      <c r="P592" s="48" t="s">
        <v>542</v>
      </c>
    </row>
    <row r="593" spans="2:17" ht="15.75" x14ac:dyDescent="0.25">
      <c r="B593" s="2">
        <f t="shared" si="84"/>
        <v>-52.8</v>
      </c>
      <c r="C593" s="5" t="s">
        <v>41</v>
      </c>
      <c r="D593" s="6"/>
      <c r="E593" s="7"/>
      <c r="F593" s="10"/>
      <c r="G593" s="10"/>
      <c r="H593" s="10"/>
      <c r="I593" s="10"/>
      <c r="J593" s="7"/>
      <c r="K593" s="7"/>
      <c r="L593" s="7"/>
      <c r="M593" s="7">
        <f t="shared" si="88"/>
        <v>0</v>
      </c>
      <c r="N593" s="7"/>
      <c r="O593" s="7">
        <f t="shared" si="85"/>
        <v>-52.8</v>
      </c>
      <c r="P593" s="48"/>
    </row>
    <row r="594" spans="2:17" ht="15.75" x14ac:dyDescent="0.25">
      <c r="B594" s="2">
        <f t="shared" si="84"/>
        <v>-26</v>
      </c>
      <c r="C594" s="5" t="s">
        <v>102</v>
      </c>
      <c r="D594" s="7">
        <v>30</v>
      </c>
      <c r="E594" s="7">
        <v>52</v>
      </c>
      <c r="F594" s="10"/>
      <c r="G594" s="10"/>
      <c r="H594" s="10"/>
      <c r="I594" s="10"/>
      <c r="J594" s="7"/>
      <c r="K594" s="7"/>
      <c r="L594" s="7"/>
      <c r="M594" s="7">
        <f t="shared" si="88"/>
        <v>82</v>
      </c>
      <c r="N594" s="7">
        <f>26+26+82</f>
        <v>134</v>
      </c>
      <c r="O594" s="7">
        <f t="shared" si="85"/>
        <v>26</v>
      </c>
      <c r="P594" s="48">
        <v>7</v>
      </c>
      <c r="Q594" t="s">
        <v>554</v>
      </c>
    </row>
    <row r="595" spans="2:17" ht="15.75" x14ac:dyDescent="0.25">
      <c r="B595" s="2">
        <f t="shared" si="84"/>
        <v>-112.5</v>
      </c>
      <c r="C595" s="5" t="s">
        <v>45</v>
      </c>
      <c r="D595" s="7"/>
      <c r="E595" s="7"/>
      <c r="F595" s="10"/>
      <c r="G595" s="10"/>
      <c r="H595" s="10"/>
      <c r="I595" s="10"/>
      <c r="J595" s="7"/>
      <c r="K595" s="7"/>
      <c r="L595" s="7"/>
      <c r="M595" s="7">
        <f t="shared" si="88"/>
        <v>0</v>
      </c>
      <c r="N595" s="7"/>
      <c r="O595" s="7">
        <f t="shared" si="85"/>
        <v>-112.5</v>
      </c>
      <c r="P595" s="48"/>
    </row>
    <row r="596" spans="2:17" ht="15.75" x14ac:dyDescent="0.25">
      <c r="B596" s="2">
        <f t="shared" si="84"/>
        <v>-94.5</v>
      </c>
      <c r="C596" s="5" t="s">
        <v>46</v>
      </c>
      <c r="D596" s="7"/>
      <c r="E596" s="7"/>
      <c r="F596" s="10"/>
      <c r="G596" s="10"/>
      <c r="H596" s="10"/>
      <c r="I596" s="10"/>
      <c r="J596" s="7"/>
      <c r="K596" s="7"/>
      <c r="L596" s="7"/>
      <c r="M596" s="7">
        <f t="shared" si="88"/>
        <v>0</v>
      </c>
      <c r="N596" s="7"/>
      <c r="O596" s="7">
        <f t="shared" si="85"/>
        <v>-94.5</v>
      </c>
      <c r="P596" s="48"/>
    </row>
    <row r="597" spans="2:17" ht="15.75" x14ac:dyDescent="0.25">
      <c r="B597" s="2">
        <f t="shared" si="84"/>
        <v>-1</v>
      </c>
      <c r="C597" s="5" t="s">
        <v>79</v>
      </c>
      <c r="D597" s="7"/>
      <c r="E597" s="7"/>
      <c r="F597" s="10">
        <v>18</v>
      </c>
      <c r="G597" s="10"/>
      <c r="H597" s="10"/>
      <c r="I597" s="10"/>
      <c r="J597" s="7"/>
      <c r="K597" s="7"/>
      <c r="L597" s="7"/>
      <c r="M597" s="7">
        <f t="shared" si="88"/>
        <v>18</v>
      </c>
      <c r="N597" s="7"/>
      <c r="O597" s="7">
        <f t="shared" si="85"/>
        <v>-19</v>
      </c>
      <c r="P597" s="48"/>
    </row>
    <row r="598" spans="2:17" ht="15.75" x14ac:dyDescent="0.25">
      <c r="B598" s="2">
        <f t="shared" si="84"/>
        <v>1</v>
      </c>
      <c r="C598" s="5" t="s">
        <v>261</v>
      </c>
      <c r="D598" s="7"/>
      <c r="E598" s="6"/>
      <c r="F598" s="10"/>
      <c r="G598" s="10"/>
      <c r="H598" s="10"/>
      <c r="I598" s="10"/>
      <c r="J598" s="7"/>
      <c r="K598" s="7"/>
      <c r="L598" s="7"/>
      <c r="M598" s="7">
        <f t="shared" si="88"/>
        <v>0</v>
      </c>
      <c r="N598" s="7"/>
      <c r="O598" s="7">
        <f t="shared" si="85"/>
        <v>1</v>
      </c>
      <c r="P598" s="48"/>
    </row>
    <row r="599" spans="2:17" ht="15.75" x14ac:dyDescent="0.25">
      <c r="B599" s="2">
        <f t="shared" si="84"/>
        <v>-1586.9999999999995</v>
      </c>
      <c r="C599" s="5" t="s">
        <v>103</v>
      </c>
      <c r="D599" s="6">
        <v>14.4</v>
      </c>
      <c r="E599" s="7">
        <v>82.8</v>
      </c>
      <c r="F599" s="10"/>
      <c r="G599" s="10"/>
      <c r="H599" s="10"/>
      <c r="I599" s="10"/>
      <c r="J599" s="7"/>
      <c r="K599" s="7">
        <v>157.5</v>
      </c>
      <c r="L599" s="7"/>
      <c r="M599" s="7">
        <f t="shared" si="88"/>
        <v>254.7</v>
      </c>
      <c r="N599" s="7">
        <f>200+200+100</f>
        <v>500</v>
      </c>
      <c r="O599" s="7">
        <f t="shared" si="85"/>
        <v>-1341.6999999999996</v>
      </c>
      <c r="P599" s="48" t="s">
        <v>550</v>
      </c>
    </row>
    <row r="600" spans="2:17" ht="15.75" x14ac:dyDescent="0.25">
      <c r="B600" s="2">
        <f t="shared" si="84"/>
        <v>0</v>
      </c>
      <c r="C600" s="5" t="s">
        <v>211</v>
      </c>
      <c r="D600" s="6"/>
      <c r="E600" s="7"/>
      <c r="F600" s="47"/>
      <c r="G600" s="10"/>
      <c r="H600" s="10"/>
      <c r="I600" s="10"/>
      <c r="J600" s="7"/>
      <c r="K600" s="7"/>
      <c r="L600" s="7"/>
      <c r="M600" s="7">
        <f t="shared" si="88"/>
        <v>0</v>
      </c>
      <c r="N600" s="7"/>
      <c r="O600" s="7">
        <f t="shared" si="85"/>
        <v>0</v>
      </c>
      <c r="P600" s="48"/>
    </row>
    <row r="601" spans="2:17" ht="15.75" x14ac:dyDescent="0.25">
      <c r="B601" s="2">
        <f t="shared" si="84"/>
        <v>0</v>
      </c>
      <c r="C601" s="5" t="s">
        <v>139</v>
      </c>
      <c r="D601" s="7">
        <v>20</v>
      </c>
      <c r="E601" s="7"/>
      <c r="F601" s="47"/>
      <c r="G601" s="10"/>
      <c r="H601" s="10">
        <v>78</v>
      </c>
      <c r="I601" s="10"/>
      <c r="J601" s="7"/>
      <c r="K601" s="7"/>
      <c r="L601" s="7"/>
      <c r="M601" s="7">
        <f t="shared" si="88"/>
        <v>98</v>
      </c>
      <c r="N601" s="7">
        <v>20</v>
      </c>
      <c r="O601" s="7">
        <f t="shared" si="85"/>
        <v>-78</v>
      </c>
      <c r="P601" s="48">
        <v>15</v>
      </c>
    </row>
    <row r="602" spans="2:17" ht="15.75" x14ac:dyDescent="0.25">
      <c r="B602" s="2">
        <f t="shared" si="84"/>
        <v>-167</v>
      </c>
      <c r="C602" s="5" t="s">
        <v>31</v>
      </c>
      <c r="D602" s="7"/>
      <c r="E602" s="7">
        <v>20</v>
      </c>
      <c r="F602" s="10"/>
      <c r="G602" s="10">
        <v>50</v>
      </c>
      <c r="H602" s="10"/>
      <c r="I602" s="10"/>
      <c r="J602" s="7">
        <v>25</v>
      </c>
      <c r="K602" s="7"/>
      <c r="L602" s="7"/>
      <c r="M602" s="7">
        <f t="shared" si="88"/>
        <v>95</v>
      </c>
      <c r="N602" s="7">
        <f>152+70</f>
        <v>222</v>
      </c>
      <c r="O602" s="7">
        <f t="shared" si="85"/>
        <v>-40</v>
      </c>
      <c r="P602" s="48" t="s">
        <v>547</v>
      </c>
    </row>
    <row r="603" spans="2:17" ht="15.75" x14ac:dyDescent="0.25">
      <c r="B603" s="2">
        <f t="shared" si="84"/>
        <v>0</v>
      </c>
      <c r="C603" s="5" t="s">
        <v>37</v>
      </c>
      <c r="D603" s="7"/>
      <c r="E603" s="7">
        <v>26</v>
      </c>
      <c r="F603" s="10"/>
      <c r="G603" s="10"/>
      <c r="H603" s="10"/>
      <c r="I603" s="10"/>
      <c r="J603" s="7"/>
      <c r="K603" s="7"/>
      <c r="L603" s="7"/>
      <c r="M603" s="7">
        <f t="shared" si="88"/>
        <v>26</v>
      </c>
      <c r="N603" s="7">
        <v>26</v>
      </c>
      <c r="O603" s="7">
        <f t="shared" si="85"/>
        <v>0</v>
      </c>
      <c r="P603" s="48">
        <v>30</v>
      </c>
    </row>
    <row r="604" spans="2:17" ht="15.75" x14ac:dyDescent="0.25">
      <c r="B604" s="2">
        <f t="shared" si="84"/>
        <v>0</v>
      </c>
      <c r="C604" s="5" t="s">
        <v>105</v>
      </c>
      <c r="D604" s="7"/>
      <c r="E604" s="7"/>
      <c r="F604" s="10"/>
      <c r="G604" s="10"/>
      <c r="H604" s="10"/>
      <c r="I604" s="10"/>
      <c r="J604" s="7"/>
      <c r="K604" s="7"/>
      <c r="L604" s="7"/>
      <c r="M604" s="7">
        <f t="shared" si="88"/>
        <v>0</v>
      </c>
      <c r="N604" s="7"/>
      <c r="O604" s="7">
        <f t="shared" si="85"/>
        <v>0</v>
      </c>
      <c r="P604" s="48"/>
    </row>
    <row r="605" spans="2:17" ht="15.75" x14ac:dyDescent="0.25">
      <c r="B605" s="2">
        <f t="shared" si="84"/>
        <v>0</v>
      </c>
      <c r="C605" s="5" t="s">
        <v>19</v>
      </c>
      <c r="D605" s="7"/>
      <c r="E605" s="7"/>
      <c r="F605" s="10"/>
      <c r="G605" s="10"/>
      <c r="H605" s="10"/>
      <c r="I605" s="10"/>
      <c r="J605" s="7"/>
      <c r="K605" s="7"/>
      <c r="L605" s="7"/>
      <c r="M605" s="7">
        <f t="shared" si="88"/>
        <v>0</v>
      </c>
      <c r="N605" s="7"/>
      <c r="O605" s="7">
        <f t="shared" si="85"/>
        <v>0</v>
      </c>
      <c r="P605" s="48"/>
    </row>
    <row r="606" spans="2:17" ht="15.75" x14ac:dyDescent="0.25">
      <c r="B606" s="2">
        <f t="shared" si="84"/>
        <v>7</v>
      </c>
      <c r="C606" s="5" t="s">
        <v>136</v>
      </c>
      <c r="D606" s="7"/>
      <c r="E606" s="7"/>
      <c r="F606" s="10"/>
      <c r="G606" s="10"/>
      <c r="H606" s="10"/>
      <c r="I606" s="10"/>
      <c r="J606" s="7"/>
      <c r="K606" s="7"/>
      <c r="L606" s="7"/>
      <c r="M606" s="7">
        <f>SUM(D606:L606)</f>
        <v>0</v>
      </c>
      <c r="N606" s="7"/>
      <c r="O606" s="8">
        <f t="shared" si="85"/>
        <v>7</v>
      </c>
      <c r="P606" s="48"/>
    </row>
    <row r="607" spans="2:17" ht="15.75" x14ac:dyDescent="0.25">
      <c r="B607" s="2">
        <f t="shared" si="84"/>
        <v>-70</v>
      </c>
      <c r="C607" s="5" t="s">
        <v>111</v>
      </c>
      <c r="D607" s="6"/>
      <c r="E607" s="7"/>
      <c r="F607" s="10"/>
      <c r="G607" s="10"/>
      <c r="H607" s="10"/>
      <c r="I607" s="10"/>
      <c r="J607" s="7"/>
      <c r="K607" s="7"/>
      <c r="L607" s="7"/>
      <c r="M607" s="7">
        <f t="shared" ref="M607:M610" si="89">SUM(D607:L607)</f>
        <v>0</v>
      </c>
      <c r="N607" s="7"/>
      <c r="O607" s="7">
        <f t="shared" si="85"/>
        <v>-70</v>
      </c>
      <c r="P607" s="48"/>
    </row>
    <row r="608" spans="2:17" ht="15.75" x14ac:dyDescent="0.25">
      <c r="B608" s="2">
        <f t="shared" si="84"/>
        <v>-51</v>
      </c>
      <c r="C608" s="5" t="s">
        <v>428</v>
      </c>
      <c r="D608" s="6"/>
      <c r="E608" s="7"/>
      <c r="F608" s="10"/>
      <c r="G608" s="10"/>
      <c r="H608" s="10"/>
      <c r="I608" s="10"/>
      <c r="J608" s="7">
        <v>15.3</v>
      </c>
      <c r="K608" s="7"/>
      <c r="L608" s="7"/>
      <c r="M608" s="7">
        <f t="shared" si="89"/>
        <v>15.3</v>
      </c>
      <c r="N608" s="7">
        <v>15.3</v>
      </c>
      <c r="O608" s="7">
        <f t="shared" si="85"/>
        <v>-51</v>
      </c>
      <c r="P608" s="48">
        <v>29</v>
      </c>
      <c r="Q608" t="s">
        <v>545</v>
      </c>
    </row>
    <row r="609" spans="2:17" ht="15.75" x14ac:dyDescent="0.25">
      <c r="B609" s="2">
        <f t="shared" si="84"/>
        <v>0</v>
      </c>
      <c r="C609" s="5" t="s">
        <v>115</v>
      </c>
      <c r="D609" s="6"/>
      <c r="E609" s="7"/>
      <c r="F609" s="10"/>
      <c r="G609" s="10">
        <v>9.9</v>
      </c>
      <c r="H609" s="10"/>
      <c r="I609" s="10"/>
      <c r="J609" s="7"/>
      <c r="K609" s="7"/>
      <c r="L609" s="7"/>
      <c r="M609" s="7">
        <f t="shared" si="89"/>
        <v>9.9</v>
      </c>
      <c r="N609" s="7"/>
      <c r="O609" s="7">
        <f t="shared" si="85"/>
        <v>-9.9</v>
      </c>
      <c r="P609" s="48"/>
    </row>
    <row r="610" spans="2:17" ht="15.75" x14ac:dyDescent="0.25">
      <c r="B610" s="2">
        <f t="shared" si="84"/>
        <v>-26</v>
      </c>
      <c r="C610" s="5" t="s">
        <v>252</v>
      </c>
      <c r="D610" s="7">
        <v>26</v>
      </c>
      <c r="E610" s="7"/>
      <c r="F610" s="10"/>
      <c r="G610" s="10"/>
      <c r="H610" s="10"/>
      <c r="I610" s="10"/>
      <c r="J610" s="7"/>
      <c r="K610" s="7"/>
      <c r="L610" s="7"/>
      <c r="M610" s="7">
        <f t="shared" si="89"/>
        <v>26</v>
      </c>
      <c r="N610" s="7">
        <v>52</v>
      </c>
      <c r="O610" s="7">
        <f t="shared" si="85"/>
        <v>0</v>
      </c>
      <c r="P610" s="48">
        <v>26</v>
      </c>
    </row>
    <row r="611" spans="2:17" ht="15.75" x14ac:dyDescent="0.25">
      <c r="B611" s="2">
        <f t="shared" si="84"/>
        <v>0</v>
      </c>
      <c r="C611" s="5" t="s">
        <v>548</v>
      </c>
      <c r="D611" s="7"/>
      <c r="E611" s="7"/>
      <c r="F611" s="10"/>
      <c r="G611" s="10"/>
      <c r="H611" s="10"/>
      <c r="I611" s="10"/>
      <c r="J611" s="7">
        <v>26</v>
      </c>
      <c r="K611" s="7"/>
      <c r="L611" s="7"/>
      <c r="M611" s="7">
        <f>SUM(D611:L611)</f>
        <v>26</v>
      </c>
      <c r="N611" s="7">
        <v>26</v>
      </c>
      <c r="O611" s="7">
        <f t="shared" si="85"/>
        <v>0</v>
      </c>
      <c r="P611" s="48">
        <v>26</v>
      </c>
    </row>
    <row r="612" spans="2:17" ht="15.75" x14ac:dyDescent="0.25">
      <c r="B612" s="2">
        <f t="shared" si="84"/>
        <v>-90.39</v>
      </c>
      <c r="C612" s="5" t="s">
        <v>20</v>
      </c>
      <c r="D612" s="7"/>
      <c r="E612" s="7"/>
      <c r="F612" s="10"/>
      <c r="G612" s="10"/>
      <c r="H612" s="10"/>
      <c r="I612" s="10"/>
      <c r="J612" s="7"/>
      <c r="K612" s="7"/>
      <c r="L612" s="7"/>
      <c r="M612" s="7">
        <f t="shared" ref="M612:M622" si="90">SUM(D612:L612)</f>
        <v>0</v>
      </c>
      <c r="N612" s="7"/>
      <c r="O612" s="7">
        <f t="shared" si="85"/>
        <v>-90.39</v>
      </c>
      <c r="P612" s="48"/>
      <c r="Q612" t="s">
        <v>545</v>
      </c>
    </row>
    <row r="613" spans="2:17" ht="15.75" x14ac:dyDescent="0.25">
      <c r="B613" s="2">
        <f t="shared" si="84"/>
        <v>0</v>
      </c>
      <c r="C613" s="5" t="s">
        <v>233</v>
      </c>
      <c r="D613" s="7"/>
      <c r="E613" s="7"/>
      <c r="F613" s="10"/>
      <c r="G613" s="10"/>
      <c r="H613" s="10"/>
      <c r="I613" s="10"/>
      <c r="J613" s="7"/>
      <c r="K613" s="7"/>
      <c r="L613" s="7"/>
      <c r="M613" s="7">
        <f t="shared" si="90"/>
        <v>0</v>
      </c>
      <c r="N613" s="7"/>
      <c r="O613" s="7">
        <f t="shared" si="85"/>
        <v>0</v>
      </c>
      <c r="P613" s="48"/>
    </row>
    <row r="614" spans="2:17" ht="15.75" x14ac:dyDescent="0.25">
      <c r="B614" s="2">
        <f t="shared" si="84"/>
        <v>-43.2</v>
      </c>
      <c r="C614" s="5" t="s">
        <v>13</v>
      </c>
      <c r="D614" s="7"/>
      <c r="E614" s="7"/>
      <c r="F614" s="10"/>
      <c r="G614" s="10"/>
      <c r="H614" s="10"/>
      <c r="I614" s="10"/>
      <c r="J614" s="7"/>
      <c r="K614" s="7"/>
      <c r="L614" s="7">
        <v>54</v>
      </c>
      <c r="M614" s="7">
        <f t="shared" si="90"/>
        <v>54</v>
      </c>
      <c r="N614" s="7">
        <v>43.2</v>
      </c>
      <c r="O614" s="7">
        <f t="shared" si="85"/>
        <v>-54</v>
      </c>
      <c r="P614" s="48">
        <v>22</v>
      </c>
    </row>
    <row r="615" spans="2:17" ht="15.75" x14ac:dyDescent="0.25">
      <c r="B615" s="2">
        <f t="shared" si="84"/>
        <v>-309.60000000000002</v>
      </c>
      <c r="C615" s="5" t="s">
        <v>22</v>
      </c>
      <c r="D615" s="7"/>
      <c r="E615" s="7"/>
      <c r="F615" s="10"/>
      <c r="G615" s="10"/>
      <c r="H615" s="10"/>
      <c r="I615" s="10"/>
      <c r="J615" s="7"/>
      <c r="K615" s="7"/>
      <c r="L615" s="7"/>
      <c r="M615" s="7">
        <f t="shared" si="90"/>
        <v>0</v>
      </c>
      <c r="N615" s="7">
        <v>309.60000000000002</v>
      </c>
      <c r="O615" s="7">
        <f t="shared" si="85"/>
        <v>0</v>
      </c>
      <c r="P615" s="48">
        <v>2</v>
      </c>
    </row>
    <row r="616" spans="2:17" ht="15.75" x14ac:dyDescent="0.25">
      <c r="B616" s="2">
        <f t="shared" si="84"/>
        <v>0</v>
      </c>
      <c r="C616" s="5" t="s">
        <v>536</v>
      </c>
      <c r="D616" s="7"/>
      <c r="E616" s="7"/>
      <c r="F616" s="10"/>
      <c r="G616" s="10"/>
      <c r="H616" s="10"/>
      <c r="I616" s="10"/>
      <c r="J616" s="7"/>
      <c r="K616" s="7"/>
      <c r="L616" s="7"/>
      <c r="M616" s="7">
        <f t="shared" si="90"/>
        <v>0</v>
      </c>
      <c r="N616" s="7"/>
      <c r="O616" s="7">
        <f t="shared" si="85"/>
        <v>0</v>
      </c>
      <c r="P616" s="48"/>
    </row>
    <row r="617" spans="2:17" ht="15.75" x14ac:dyDescent="0.25">
      <c r="B617" s="2">
        <f t="shared" si="84"/>
        <v>-26</v>
      </c>
      <c r="C617" s="5" t="s">
        <v>523</v>
      </c>
      <c r="D617" s="7"/>
      <c r="E617" s="7">
        <v>26</v>
      </c>
      <c r="F617" s="10"/>
      <c r="G617" s="10"/>
      <c r="H617" s="10"/>
      <c r="I617" s="10"/>
      <c r="J617" s="7"/>
      <c r="K617" s="7"/>
      <c r="L617" s="7"/>
      <c r="M617" s="7">
        <f t="shared" si="90"/>
        <v>26</v>
      </c>
      <c r="N617" s="7">
        <v>26</v>
      </c>
      <c r="O617" s="7">
        <f t="shared" si="85"/>
        <v>-26</v>
      </c>
      <c r="P617" s="48">
        <v>14</v>
      </c>
    </row>
    <row r="618" spans="2:17" ht="15.75" x14ac:dyDescent="0.25">
      <c r="B618" s="2">
        <f t="shared" si="84"/>
        <v>0</v>
      </c>
      <c r="C618" s="5" t="s">
        <v>549</v>
      </c>
      <c r="D618" s="7"/>
      <c r="E618" s="7"/>
      <c r="F618" s="10"/>
      <c r="G618" s="10"/>
      <c r="H618" s="10"/>
      <c r="I618" s="10"/>
      <c r="J618" s="7">
        <v>26</v>
      </c>
      <c r="K618" s="7"/>
      <c r="L618" s="7"/>
      <c r="M618" s="7">
        <f t="shared" si="90"/>
        <v>26</v>
      </c>
      <c r="N618" s="7"/>
      <c r="O618" s="7">
        <f t="shared" si="85"/>
        <v>-26</v>
      </c>
      <c r="P618" s="48"/>
    </row>
    <row r="619" spans="2:17" ht="15.75" x14ac:dyDescent="0.25">
      <c r="B619" s="2">
        <f t="shared" si="84"/>
        <v>7.2000000000000028</v>
      </c>
      <c r="C619" s="5" t="s">
        <v>519</v>
      </c>
      <c r="D619" s="7">
        <v>36</v>
      </c>
      <c r="E619" s="7"/>
      <c r="F619" s="10">
        <v>36</v>
      </c>
      <c r="G619" s="10"/>
      <c r="H619" s="10"/>
      <c r="I619" s="10">
        <v>36</v>
      </c>
      <c r="J619" s="7"/>
      <c r="K619" s="7"/>
      <c r="L619" s="7">
        <v>36</v>
      </c>
      <c r="M619" s="7">
        <f t="shared" si="90"/>
        <v>144</v>
      </c>
      <c r="N619" s="7">
        <f>48.2+36</f>
        <v>84.2</v>
      </c>
      <c r="O619" s="7">
        <f t="shared" si="85"/>
        <v>-52.599999999999994</v>
      </c>
      <c r="P619" s="48" t="s">
        <v>546</v>
      </c>
    </row>
    <row r="620" spans="2:17" ht="15.75" x14ac:dyDescent="0.25">
      <c r="B620" s="2">
        <f t="shared" si="84"/>
        <v>-73.8</v>
      </c>
      <c r="C620" s="5" t="s">
        <v>518</v>
      </c>
      <c r="D620" s="7"/>
      <c r="E620" s="7"/>
      <c r="F620" s="10"/>
      <c r="G620" s="10"/>
      <c r="H620" s="10"/>
      <c r="I620" s="10"/>
      <c r="J620" s="7"/>
      <c r="K620" s="7"/>
      <c r="L620" s="7"/>
      <c r="M620" s="7">
        <f t="shared" si="90"/>
        <v>0</v>
      </c>
      <c r="N620" s="7"/>
      <c r="O620" s="7">
        <f t="shared" si="85"/>
        <v>-73.8</v>
      </c>
      <c r="P620" s="48"/>
    </row>
    <row r="621" spans="2:17" ht="15.75" x14ac:dyDescent="0.25">
      <c r="B621" s="2">
        <f t="shared" si="84"/>
        <v>-130</v>
      </c>
      <c r="C621" s="5" t="s">
        <v>135</v>
      </c>
      <c r="D621" s="7"/>
      <c r="E621" s="7"/>
      <c r="F621" s="10"/>
      <c r="G621" s="10"/>
      <c r="H621" s="10"/>
      <c r="I621" s="10"/>
      <c r="J621" s="7"/>
      <c r="K621" s="7"/>
      <c r="L621" s="7"/>
      <c r="M621" s="7">
        <f t="shared" si="90"/>
        <v>0</v>
      </c>
      <c r="N621" s="7">
        <v>104</v>
      </c>
      <c r="O621" s="7">
        <f>N621+B621-M621</f>
        <v>-26</v>
      </c>
      <c r="P621" s="48">
        <v>30</v>
      </c>
      <c r="Q621" t="s">
        <v>552</v>
      </c>
    </row>
    <row r="622" spans="2:17" ht="15.75" x14ac:dyDescent="0.25">
      <c r="B622" s="2">
        <f t="shared" si="84"/>
        <v>4.1999999999999993</v>
      </c>
      <c r="C622" s="5" t="s">
        <v>120</v>
      </c>
      <c r="D622" s="7"/>
      <c r="E622" s="7"/>
      <c r="F622" s="10"/>
      <c r="G622" s="10"/>
      <c r="H622" s="10"/>
      <c r="I622" s="10"/>
      <c r="J622" s="7"/>
      <c r="K622" s="7"/>
      <c r="L622" s="7"/>
      <c r="M622" s="7">
        <f t="shared" si="90"/>
        <v>0</v>
      </c>
      <c r="N622" s="7"/>
      <c r="O622" s="7">
        <f>N622+B622-M622</f>
        <v>4.1999999999999993</v>
      </c>
      <c r="P622" s="48"/>
    </row>
    <row r="623" spans="2:17" ht="15.75" x14ac:dyDescent="0.25">
      <c r="B623" s="2">
        <f t="shared" si="84"/>
        <v>-5272.5700000000006</v>
      </c>
      <c r="C623" s="6" t="s">
        <v>104</v>
      </c>
      <c r="D623" s="7">
        <f t="shared" ref="D623" si="91">SUM(D563:D621)</f>
        <v>231.70000000000002</v>
      </c>
      <c r="E623" s="7">
        <f>SUM(E563:E621)</f>
        <v>262.5</v>
      </c>
      <c r="F623" s="7">
        <f t="shared" ref="F623" si="92">SUM(F563:F621)</f>
        <v>73.8</v>
      </c>
      <c r="G623" s="7">
        <f>SUM(G563:G621)</f>
        <v>193.9</v>
      </c>
      <c r="H623" s="7">
        <f t="shared" ref="H623" si="93">SUM(H563:H621)</f>
        <v>129</v>
      </c>
      <c r="I623" s="7">
        <f>SUM(I563:I622)</f>
        <v>76.400000000000006</v>
      </c>
      <c r="J623" s="7">
        <f>SUM(J563:J622)</f>
        <v>431.8</v>
      </c>
      <c r="K623" s="7">
        <f>SUM(K563:K622)</f>
        <v>215.1</v>
      </c>
      <c r="L623" s="7">
        <f t="shared" ref="L623" si="94">SUM(L563:L621)</f>
        <v>432</v>
      </c>
      <c r="M623" s="7">
        <f>SUM(M563:M622)</f>
        <v>2046.2000000000003</v>
      </c>
      <c r="N623" s="15">
        <f>SUM(N563:N622)</f>
        <v>2820.8299999999995</v>
      </c>
      <c r="O623" s="7">
        <f>SUM(O563:O622)</f>
        <v>-4497.9399999999996</v>
      </c>
      <c r="P623" s="43"/>
    </row>
    <row r="626" spans="2:16" ht="15.75" x14ac:dyDescent="0.25">
      <c r="B626" s="57" t="s">
        <v>541</v>
      </c>
      <c r="C626" s="59"/>
      <c r="D626" s="27">
        <v>86</v>
      </c>
      <c r="E626" s="27">
        <v>87</v>
      </c>
      <c r="F626" s="27">
        <v>88</v>
      </c>
      <c r="G626" s="27">
        <v>89</v>
      </c>
      <c r="H626" s="27">
        <v>90</v>
      </c>
      <c r="I626" s="27">
        <v>91</v>
      </c>
      <c r="J626" s="27">
        <v>92</v>
      </c>
      <c r="K626" s="27">
        <v>93</v>
      </c>
      <c r="L626" s="27"/>
      <c r="M626" s="57" t="s">
        <v>68</v>
      </c>
      <c r="N626" s="61" t="s">
        <v>137</v>
      </c>
      <c r="O626" s="57" t="s">
        <v>553</v>
      </c>
    </row>
    <row r="627" spans="2:16" ht="15.75" x14ac:dyDescent="0.25">
      <c r="B627" s="58"/>
      <c r="C627" s="60"/>
      <c r="D627" s="26">
        <v>4</v>
      </c>
      <c r="E627" s="26">
        <v>7</v>
      </c>
      <c r="F627" s="26">
        <v>11</v>
      </c>
      <c r="G627" s="26">
        <v>14</v>
      </c>
      <c r="H627" s="26">
        <v>18</v>
      </c>
      <c r="I627" s="26">
        <v>21</v>
      </c>
      <c r="J627" s="26">
        <v>25</v>
      </c>
      <c r="K627" s="26">
        <v>28</v>
      </c>
      <c r="L627" s="26"/>
      <c r="M627" s="58"/>
      <c r="N627" s="62"/>
      <c r="O627" s="58"/>
      <c r="P627" s="7"/>
    </row>
    <row r="628" spans="2:16" ht="15.75" x14ac:dyDescent="0.25">
      <c r="B628" s="2">
        <f>O563</f>
        <v>0</v>
      </c>
      <c r="C628" s="5" t="s">
        <v>123</v>
      </c>
      <c r="D628" s="6"/>
      <c r="E628" s="6"/>
      <c r="F628" s="6"/>
      <c r="G628" s="6"/>
      <c r="H628" s="6"/>
      <c r="I628" s="6"/>
      <c r="J628" s="6"/>
      <c r="K628" s="6"/>
      <c r="L628" s="6"/>
      <c r="M628" s="7">
        <f>SUM(D628:L628)</f>
        <v>0</v>
      </c>
      <c r="N628" s="7"/>
      <c r="O628" s="7">
        <f>N628+B628-M628</f>
        <v>0</v>
      </c>
      <c r="P628" s="7"/>
    </row>
    <row r="629" spans="2:16" ht="15.75" x14ac:dyDescent="0.25">
      <c r="B629" s="2">
        <f t="shared" ref="B629:B679" si="95">O564</f>
        <v>-6</v>
      </c>
      <c r="C629" s="5" t="s">
        <v>125</v>
      </c>
      <c r="D629" s="6"/>
      <c r="E629" s="7"/>
      <c r="F629" s="6"/>
      <c r="G629" s="7">
        <v>20</v>
      </c>
      <c r="H629" s="7"/>
      <c r="I629" s="6"/>
      <c r="J629" s="7"/>
      <c r="K629" s="7"/>
      <c r="L629" s="7"/>
      <c r="M629" s="7">
        <f>SUM(D629:L629)</f>
        <v>20</v>
      </c>
      <c r="N629" s="7">
        <v>20</v>
      </c>
      <c r="O629" s="7">
        <f t="shared" ref="O629:O683" si="96">N629+B629-M629</f>
        <v>-6</v>
      </c>
      <c r="P629" s="48">
        <v>24</v>
      </c>
    </row>
    <row r="630" spans="2:16" ht="15.75" x14ac:dyDescent="0.25">
      <c r="B630" s="2">
        <f t="shared" si="95"/>
        <v>-100.50000000000006</v>
      </c>
      <c r="C630" s="5" t="s">
        <v>194</v>
      </c>
      <c r="D630" s="7"/>
      <c r="E630" s="7"/>
      <c r="F630" s="7"/>
      <c r="G630" s="7">
        <v>100</v>
      </c>
      <c r="H630" s="7"/>
      <c r="I630" s="7"/>
      <c r="J630" s="7"/>
      <c r="K630" s="15"/>
      <c r="L630" s="7"/>
      <c r="M630" s="7">
        <f>SUM(D630:L630)</f>
        <v>100</v>
      </c>
      <c r="N630" s="7"/>
      <c r="O630" s="7">
        <f t="shared" si="96"/>
        <v>-200.50000000000006</v>
      </c>
      <c r="P630" s="38"/>
    </row>
    <row r="631" spans="2:16" ht="15.75" x14ac:dyDescent="0.25">
      <c r="B631" s="2">
        <f t="shared" si="95"/>
        <v>-26</v>
      </c>
      <c r="C631" s="5" t="s">
        <v>2</v>
      </c>
      <c r="D631" s="6"/>
      <c r="E631" s="7"/>
      <c r="F631" s="6"/>
      <c r="G631" s="7">
        <v>30</v>
      </c>
      <c r="H631" s="7"/>
      <c r="I631" s="7"/>
      <c r="J631" s="7"/>
      <c r="K631" s="7"/>
      <c r="L631" s="7"/>
      <c r="M631" s="7">
        <f>SUM(D631:L631)</f>
        <v>30</v>
      </c>
      <c r="N631" s="7">
        <v>56</v>
      </c>
      <c r="O631" s="7">
        <f t="shared" si="96"/>
        <v>0</v>
      </c>
      <c r="P631" s="38">
        <v>12</v>
      </c>
    </row>
    <row r="632" spans="2:16" ht="15.75" x14ac:dyDescent="0.25">
      <c r="B632" s="2">
        <f t="shared" si="95"/>
        <v>0</v>
      </c>
      <c r="C632" s="5" t="s">
        <v>129</v>
      </c>
      <c r="D632" s="6"/>
      <c r="E632" s="7"/>
      <c r="F632" s="6"/>
      <c r="G632" s="6"/>
      <c r="H632" s="6"/>
      <c r="I632" s="7"/>
      <c r="J632" s="6"/>
      <c r="K632" s="7"/>
      <c r="L632" s="7"/>
      <c r="M632" s="7">
        <f t="shared" ref="M632:M650" si="97">SUM(D632:L632)</f>
        <v>0</v>
      </c>
      <c r="N632" s="7"/>
      <c r="O632" s="7">
        <f t="shared" si="96"/>
        <v>0</v>
      </c>
      <c r="P632" s="48"/>
    </row>
    <row r="633" spans="2:16" ht="15.75" x14ac:dyDescent="0.25">
      <c r="B633" s="2">
        <f t="shared" si="95"/>
        <v>-25</v>
      </c>
      <c r="C633" s="5" t="s">
        <v>195</v>
      </c>
      <c r="D633" s="6"/>
      <c r="E633" s="7"/>
      <c r="F633" s="6"/>
      <c r="G633" s="6"/>
      <c r="H633" s="6"/>
      <c r="I633" s="7"/>
      <c r="J633" s="7"/>
      <c r="K633" s="7"/>
      <c r="L633" s="7"/>
      <c r="M633" s="7">
        <f t="shared" si="97"/>
        <v>0</v>
      </c>
      <c r="N633" s="7"/>
      <c r="O633" s="7">
        <f t="shared" si="96"/>
        <v>-25</v>
      </c>
      <c r="P633" s="48"/>
    </row>
    <row r="634" spans="2:16" ht="15.75" x14ac:dyDescent="0.25">
      <c r="B634" s="2">
        <f t="shared" si="95"/>
        <v>20</v>
      </c>
      <c r="C634" s="5" t="s">
        <v>128</v>
      </c>
      <c r="D634" s="7">
        <v>26</v>
      </c>
      <c r="E634" s="7"/>
      <c r="F634" s="7"/>
      <c r="G634" s="7">
        <v>20</v>
      </c>
      <c r="H634" s="7"/>
      <c r="I634" s="7"/>
      <c r="J634" s="7"/>
      <c r="K634" s="7"/>
      <c r="L634" s="7"/>
      <c r="M634" s="7">
        <f t="shared" si="97"/>
        <v>46</v>
      </c>
      <c r="N634" s="7"/>
      <c r="O634" s="7">
        <f t="shared" si="96"/>
        <v>-26</v>
      </c>
      <c r="P634" s="48"/>
    </row>
    <row r="635" spans="2:16" ht="15.75" x14ac:dyDescent="0.25">
      <c r="B635" s="2">
        <f t="shared" si="95"/>
        <v>-285.2</v>
      </c>
      <c r="C635" s="5" t="s">
        <v>127</v>
      </c>
      <c r="D635" s="6"/>
      <c r="E635" s="7"/>
      <c r="F635" s="7"/>
      <c r="G635" s="7"/>
      <c r="H635" s="7"/>
      <c r="I635" s="7"/>
      <c r="J635" s="6"/>
      <c r="K635" s="7"/>
      <c r="L635" s="7"/>
      <c r="M635" s="7">
        <f t="shared" si="97"/>
        <v>0</v>
      </c>
      <c r="N635" s="7"/>
      <c r="O635" s="54">
        <f t="shared" si="96"/>
        <v>-285.2</v>
      </c>
      <c r="P635" s="48"/>
    </row>
    <row r="636" spans="2:16" ht="15.75" x14ac:dyDescent="0.25">
      <c r="B636" s="2">
        <f t="shared" si="95"/>
        <v>0</v>
      </c>
      <c r="C636" s="5" t="s">
        <v>126</v>
      </c>
      <c r="D636" s="6"/>
      <c r="E636" s="7"/>
      <c r="F636" s="6"/>
      <c r="G636" s="6"/>
      <c r="H636" s="6"/>
      <c r="I636" s="7"/>
      <c r="J636" s="6"/>
      <c r="K636" s="7"/>
      <c r="L636" s="7"/>
      <c r="M636" s="7">
        <f t="shared" si="97"/>
        <v>0</v>
      </c>
      <c r="N636" s="7"/>
      <c r="O636" s="7">
        <f t="shared" si="96"/>
        <v>0</v>
      </c>
      <c r="P636" s="48"/>
    </row>
    <row r="637" spans="2:16" ht="15.75" x14ac:dyDescent="0.25">
      <c r="B637" s="2">
        <f t="shared" si="95"/>
        <v>-528.20000000000005</v>
      </c>
      <c r="C637" s="5" t="s">
        <v>130</v>
      </c>
      <c r="D637" s="7"/>
      <c r="E637" s="7"/>
      <c r="F637" s="7"/>
      <c r="G637" s="7"/>
      <c r="H637" s="7"/>
      <c r="I637" s="7"/>
      <c r="J637" s="6"/>
      <c r="K637" s="7"/>
      <c r="L637" s="7"/>
      <c r="M637" s="7">
        <f t="shared" si="97"/>
        <v>0</v>
      </c>
      <c r="N637" s="7"/>
      <c r="O637" s="54">
        <f t="shared" si="96"/>
        <v>-528.20000000000005</v>
      </c>
      <c r="P637" s="48"/>
    </row>
    <row r="638" spans="2:16" ht="15.75" x14ac:dyDescent="0.25">
      <c r="B638" s="2">
        <f t="shared" si="95"/>
        <v>-236</v>
      </c>
      <c r="C638" s="5" t="s">
        <v>131</v>
      </c>
      <c r="D638" s="7"/>
      <c r="E638" s="7">
        <v>19.8</v>
      </c>
      <c r="F638" s="7"/>
      <c r="G638" s="7"/>
      <c r="H638" s="7"/>
      <c r="I638" s="7"/>
      <c r="J638" s="7"/>
      <c r="K638" s="7"/>
      <c r="L638" s="7"/>
      <c r="M638" s="7">
        <f t="shared" si="97"/>
        <v>19.8</v>
      </c>
      <c r="N638" s="7"/>
      <c r="O638" s="7">
        <f t="shared" si="96"/>
        <v>-255.8</v>
      </c>
      <c r="P638" s="48"/>
    </row>
    <row r="639" spans="2:16" ht="15.75" x14ac:dyDescent="0.25">
      <c r="B639" s="2">
        <f t="shared" si="95"/>
        <v>0</v>
      </c>
      <c r="C639" s="5" t="s">
        <v>525</v>
      </c>
      <c r="D639" s="7"/>
      <c r="E639" s="7"/>
      <c r="F639" s="7"/>
      <c r="G639" s="7"/>
      <c r="H639" s="7"/>
      <c r="I639" s="7"/>
      <c r="J639" s="7"/>
      <c r="K639" s="7"/>
      <c r="L639" s="7"/>
      <c r="M639" s="7">
        <f t="shared" si="97"/>
        <v>0</v>
      </c>
      <c r="N639" s="7"/>
      <c r="O639" s="7">
        <f t="shared" si="96"/>
        <v>0</v>
      </c>
      <c r="P639" s="48"/>
    </row>
    <row r="640" spans="2:16" ht="15.75" x14ac:dyDescent="0.25">
      <c r="B640" s="2">
        <f t="shared" si="95"/>
        <v>-181</v>
      </c>
      <c r="C640" s="5" t="s">
        <v>132</v>
      </c>
      <c r="D640" s="7">
        <v>26</v>
      </c>
      <c r="E640" s="7"/>
      <c r="F640" s="7">
        <v>26</v>
      </c>
      <c r="G640" s="7">
        <v>46</v>
      </c>
      <c r="H640" s="7">
        <v>26</v>
      </c>
      <c r="I640" s="7"/>
      <c r="J640" s="7"/>
      <c r="K640" s="7">
        <v>78</v>
      </c>
      <c r="L640" s="7"/>
      <c r="M640" s="7">
        <f t="shared" si="97"/>
        <v>202</v>
      </c>
      <c r="N640" s="7">
        <v>331</v>
      </c>
      <c r="O640" s="7">
        <f t="shared" si="96"/>
        <v>-52</v>
      </c>
      <c r="P640" s="48">
        <v>25</v>
      </c>
    </row>
    <row r="641" spans="2:17" ht="15.75" x14ac:dyDescent="0.25">
      <c r="B641" s="2">
        <f t="shared" si="95"/>
        <v>-51.999999999999943</v>
      </c>
      <c r="C641" s="5" t="s">
        <v>9</v>
      </c>
      <c r="D641" s="6"/>
      <c r="E641" s="7"/>
      <c r="F641" s="7"/>
      <c r="G641" s="7">
        <v>25</v>
      </c>
      <c r="H641" s="7"/>
      <c r="I641" s="6"/>
      <c r="J641" s="7"/>
      <c r="K641" s="7"/>
      <c r="L641" s="7"/>
      <c r="M641" s="7">
        <f t="shared" si="97"/>
        <v>25</v>
      </c>
      <c r="N641" s="7">
        <v>77</v>
      </c>
      <c r="O641" s="7">
        <f t="shared" si="96"/>
        <v>5.6843418860808015E-14</v>
      </c>
      <c r="P641" s="48">
        <v>23</v>
      </c>
    </row>
    <row r="642" spans="2:17" ht="15.75" x14ac:dyDescent="0.25">
      <c r="B642" s="2">
        <f t="shared" si="95"/>
        <v>-36</v>
      </c>
      <c r="C642" s="5" t="s">
        <v>133</v>
      </c>
      <c r="D642" s="7"/>
      <c r="E642" s="7"/>
      <c r="F642" s="7"/>
      <c r="G642" s="7">
        <v>20</v>
      </c>
      <c r="H642" s="7"/>
      <c r="I642" s="7"/>
      <c r="J642" s="7"/>
      <c r="K642" s="7"/>
      <c r="L642" s="7"/>
      <c r="M642" s="7">
        <f t="shared" si="97"/>
        <v>20</v>
      </c>
      <c r="N642" s="8"/>
      <c r="O642" s="7">
        <f t="shared" si="96"/>
        <v>-56</v>
      </c>
      <c r="P642" s="48"/>
    </row>
    <row r="643" spans="2:17" ht="15.75" x14ac:dyDescent="0.25">
      <c r="B643" s="2">
        <f t="shared" si="95"/>
        <v>-101.80000000000001</v>
      </c>
      <c r="C643" s="5" t="s">
        <v>96</v>
      </c>
      <c r="D643" s="7"/>
      <c r="E643" s="7"/>
      <c r="F643" s="7"/>
      <c r="G643" s="7"/>
      <c r="H643" s="7"/>
      <c r="I643" s="7"/>
      <c r="J643" s="7"/>
      <c r="K643" s="7"/>
      <c r="L643" s="7"/>
      <c r="M643" s="7">
        <f t="shared" si="97"/>
        <v>0</v>
      </c>
      <c r="N643" s="7"/>
      <c r="O643" s="7">
        <f t="shared" si="96"/>
        <v>-101.80000000000001</v>
      </c>
      <c r="P643" s="48"/>
    </row>
    <row r="644" spans="2:17" ht="15.75" x14ac:dyDescent="0.25">
      <c r="B644" s="2">
        <f t="shared" si="95"/>
        <v>-26</v>
      </c>
      <c r="C644" s="5" t="s">
        <v>134</v>
      </c>
      <c r="D644" s="7"/>
      <c r="E644" s="7"/>
      <c r="F644" s="6"/>
      <c r="G644" s="7">
        <v>25</v>
      </c>
      <c r="H644" s="7"/>
      <c r="I644" s="7"/>
      <c r="J644" s="7"/>
      <c r="K644" s="7"/>
      <c r="L644" s="7"/>
      <c r="M644" s="7">
        <f t="shared" si="97"/>
        <v>25</v>
      </c>
      <c r="N644" s="7"/>
      <c r="O644" s="7">
        <f t="shared" si="96"/>
        <v>-51</v>
      </c>
      <c r="P644" s="48"/>
    </row>
    <row r="645" spans="2:17" ht="15.75" x14ac:dyDescent="0.25">
      <c r="B645" s="2">
        <f t="shared" si="95"/>
        <v>26.100000000000009</v>
      </c>
      <c r="C645" s="5" t="s">
        <v>99</v>
      </c>
      <c r="D645" s="7"/>
      <c r="E645" s="7"/>
      <c r="F645" s="6"/>
      <c r="G645" s="7"/>
      <c r="H645" s="7"/>
      <c r="I645" s="7"/>
      <c r="J645" s="6"/>
      <c r="K645" s="6"/>
      <c r="L645" s="7"/>
      <c r="M645" s="7">
        <f t="shared" si="97"/>
        <v>0</v>
      </c>
      <c r="N645" s="7"/>
      <c r="O645" s="7">
        <f t="shared" si="96"/>
        <v>26.100000000000009</v>
      </c>
      <c r="P645" s="48"/>
    </row>
    <row r="646" spans="2:17" ht="15.75" x14ac:dyDescent="0.25">
      <c r="B646" s="2">
        <f t="shared" si="95"/>
        <v>-92.309999999999988</v>
      </c>
      <c r="C646" s="5" t="s">
        <v>53</v>
      </c>
      <c r="D646" s="7"/>
      <c r="E646" s="7"/>
      <c r="F646" s="7"/>
      <c r="G646" s="7"/>
      <c r="H646" s="7"/>
      <c r="I646" s="7"/>
      <c r="J646" s="7"/>
      <c r="K646" s="7"/>
      <c r="L646" s="7"/>
      <c r="M646" s="7">
        <f t="shared" si="97"/>
        <v>0</v>
      </c>
      <c r="N646" s="7"/>
      <c r="O646" s="7">
        <f t="shared" si="96"/>
        <v>-92.309999999999988</v>
      </c>
      <c r="P646" s="48"/>
    </row>
    <row r="647" spans="2:17" ht="15.75" x14ac:dyDescent="0.25">
      <c r="B647" s="2">
        <f t="shared" si="95"/>
        <v>-398.9</v>
      </c>
      <c r="C647" s="5" t="s">
        <v>33</v>
      </c>
      <c r="D647" s="7">
        <v>17.100000000000001</v>
      </c>
      <c r="E647" s="7"/>
      <c r="F647" s="7">
        <v>60.8</v>
      </c>
      <c r="G647" s="7"/>
      <c r="H647" s="7"/>
      <c r="I647" s="7">
        <v>27.9</v>
      </c>
      <c r="J647" s="7"/>
      <c r="K647" s="7">
        <v>55.8</v>
      </c>
      <c r="L647" s="7"/>
      <c r="M647" s="7">
        <f t="shared" si="97"/>
        <v>161.60000000000002</v>
      </c>
      <c r="N647" s="7">
        <f>315.7+60.8</f>
        <v>376.5</v>
      </c>
      <c r="O647" s="7">
        <f t="shared" si="96"/>
        <v>-184</v>
      </c>
      <c r="P647" s="48" t="s">
        <v>557</v>
      </c>
      <c r="Q647">
        <v>561.577</v>
      </c>
    </row>
    <row r="648" spans="2:17" ht="15.75" x14ac:dyDescent="0.25">
      <c r="B648" s="2">
        <f t="shared" si="95"/>
        <v>0</v>
      </c>
      <c r="C648" s="5" t="s">
        <v>480</v>
      </c>
      <c r="D648" s="7"/>
      <c r="E648" s="7"/>
      <c r="F648" s="7"/>
      <c r="G648" s="7"/>
      <c r="H648" s="7"/>
      <c r="I648" s="7"/>
      <c r="J648" s="7"/>
      <c r="K648" s="7"/>
      <c r="L648" s="7"/>
      <c r="M648" s="7">
        <f t="shared" si="97"/>
        <v>0</v>
      </c>
      <c r="N648" s="7"/>
      <c r="O648" s="7">
        <f t="shared" si="96"/>
        <v>0</v>
      </c>
      <c r="P648" s="48"/>
    </row>
    <row r="649" spans="2:17" ht="15.75" x14ac:dyDescent="0.25">
      <c r="B649" s="2">
        <f t="shared" si="95"/>
        <v>-99.699999999999989</v>
      </c>
      <c r="C649" s="5" t="s">
        <v>23</v>
      </c>
      <c r="D649" s="7"/>
      <c r="E649" s="7"/>
      <c r="F649" s="10"/>
      <c r="G649" s="10"/>
      <c r="H649" s="10"/>
      <c r="I649" s="10"/>
      <c r="J649" s="7"/>
      <c r="K649" s="7"/>
      <c r="L649" s="7"/>
      <c r="M649" s="7">
        <f t="shared" si="97"/>
        <v>0</v>
      </c>
      <c r="N649" s="7"/>
      <c r="O649" s="7">
        <f t="shared" si="96"/>
        <v>-99.699999999999989</v>
      </c>
      <c r="P649" s="48"/>
    </row>
    <row r="650" spans="2:17" ht="15.75" x14ac:dyDescent="0.25">
      <c r="B650" s="2">
        <f t="shared" si="95"/>
        <v>-25.200000000000017</v>
      </c>
      <c r="C650" s="5" t="s">
        <v>24</v>
      </c>
      <c r="D650" s="7"/>
      <c r="E650" s="7">
        <v>26</v>
      </c>
      <c r="F650" s="10"/>
      <c r="G650" s="10"/>
      <c r="H650" s="10"/>
      <c r="I650" s="10"/>
      <c r="J650" s="7"/>
      <c r="K650" s="7"/>
      <c r="L650" s="7"/>
      <c r="M650" s="7">
        <f t="shared" si="97"/>
        <v>26</v>
      </c>
      <c r="N650" s="7">
        <v>26</v>
      </c>
      <c r="O650" s="7">
        <f t="shared" si="96"/>
        <v>-25.200000000000017</v>
      </c>
      <c r="P650" s="48">
        <v>13</v>
      </c>
    </row>
    <row r="651" spans="2:17" ht="15.75" x14ac:dyDescent="0.25">
      <c r="B651" s="2">
        <f t="shared" si="95"/>
        <v>-9</v>
      </c>
      <c r="C651" s="5" t="s">
        <v>513</v>
      </c>
      <c r="D651" s="7"/>
      <c r="E651" s="7"/>
      <c r="F651" s="7">
        <v>23</v>
      </c>
      <c r="G651" s="10"/>
      <c r="H651" s="10"/>
      <c r="I651" s="10"/>
      <c r="J651" s="7">
        <v>89.6</v>
      </c>
      <c r="K651" s="7"/>
      <c r="L651" s="7"/>
      <c r="M651" s="7">
        <f>SUM(D651:L651)</f>
        <v>112.6</v>
      </c>
      <c r="N651" s="7">
        <v>32</v>
      </c>
      <c r="O651" s="7">
        <f t="shared" si="96"/>
        <v>-89.6</v>
      </c>
      <c r="P651" s="48">
        <v>12</v>
      </c>
    </row>
    <row r="652" spans="2:17" ht="15.75" x14ac:dyDescent="0.25">
      <c r="B652" s="2">
        <f t="shared" si="95"/>
        <v>-40</v>
      </c>
      <c r="C652" s="5" t="s">
        <v>25</v>
      </c>
      <c r="D652" s="7"/>
      <c r="E652" s="7"/>
      <c r="F652" s="10"/>
      <c r="G652" s="10"/>
      <c r="H652" s="10"/>
      <c r="I652" s="10"/>
      <c r="J652" s="7"/>
      <c r="K652" s="7"/>
      <c r="L652" s="7"/>
      <c r="M652" s="7">
        <f>SUM(D652:L652)</f>
        <v>0</v>
      </c>
      <c r="N652" s="7">
        <v>40</v>
      </c>
      <c r="O652" s="7">
        <f t="shared" si="96"/>
        <v>0</v>
      </c>
      <c r="P652" s="48">
        <v>27</v>
      </c>
    </row>
    <row r="653" spans="2:17" ht="15.75" x14ac:dyDescent="0.25">
      <c r="B653" s="2">
        <f t="shared" si="95"/>
        <v>19.800000000000015</v>
      </c>
      <c r="C653" s="5" t="s">
        <v>27</v>
      </c>
      <c r="D653" s="7"/>
      <c r="E653" s="7"/>
      <c r="F653" s="10"/>
      <c r="G653" s="10"/>
      <c r="H653" s="10"/>
      <c r="I653" s="10"/>
      <c r="J653" s="7"/>
      <c r="K653" s="7">
        <v>64.8</v>
      </c>
      <c r="L653" s="7"/>
      <c r="M653" s="7">
        <f>SUM(D653:L653)</f>
        <v>64.8</v>
      </c>
      <c r="N653" s="7"/>
      <c r="O653" s="7">
        <f t="shared" si="96"/>
        <v>-44.999999999999986</v>
      </c>
      <c r="P653" s="48"/>
    </row>
    <row r="654" spans="2:17" ht="15.75" x14ac:dyDescent="0.25">
      <c r="B654" s="2">
        <f t="shared" si="95"/>
        <v>-53.94</v>
      </c>
      <c r="C654" s="5" t="s">
        <v>29</v>
      </c>
      <c r="D654" s="7"/>
      <c r="E654" s="7"/>
      <c r="F654" s="10"/>
      <c r="G654" s="10"/>
      <c r="H654" s="10"/>
      <c r="I654" s="10"/>
      <c r="J654" s="7"/>
      <c r="K654" s="7"/>
      <c r="L654" s="7"/>
      <c r="M654" s="7">
        <f t="shared" ref="M654:M655" si="98">SUM(D654:L654)</f>
        <v>0</v>
      </c>
      <c r="N654" s="7"/>
      <c r="O654" s="7">
        <f t="shared" si="96"/>
        <v>-53.94</v>
      </c>
      <c r="P654" s="48"/>
    </row>
    <row r="655" spans="2:17" ht="15.75" x14ac:dyDescent="0.25">
      <c r="B655" s="2">
        <f t="shared" si="95"/>
        <v>-114.70000000000005</v>
      </c>
      <c r="C655" s="5" t="s">
        <v>30</v>
      </c>
      <c r="D655" s="7"/>
      <c r="E655" s="7"/>
      <c r="F655" s="10"/>
      <c r="G655" s="10"/>
      <c r="H655" s="10"/>
      <c r="I655" s="10"/>
      <c r="J655" s="7"/>
      <c r="K655" s="7"/>
      <c r="L655" s="7"/>
      <c r="M655" s="7">
        <f t="shared" si="98"/>
        <v>0</v>
      </c>
      <c r="N655" s="7">
        <v>50.5</v>
      </c>
      <c r="O655" s="7">
        <f t="shared" si="96"/>
        <v>-64.200000000000045</v>
      </c>
      <c r="P655" s="48">
        <v>13</v>
      </c>
    </row>
    <row r="656" spans="2:17" ht="15.75" x14ac:dyDescent="0.25">
      <c r="B656" s="2">
        <f t="shared" si="95"/>
        <v>0</v>
      </c>
      <c r="C656" s="5" t="s">
        <v>356</v>
      </c>
      <c r="D656" s="7"/>
      <c r="E656" s="7"/>
      <c r="F656" s="10">
        <v>439</v>
      </c>
      <c r="G656" s="10"/>
      <c r="H656" s="10"/>
      <c r="I656" s="10"/>
      <c r="J656" s="7"/>
      <c r="K656" s="7"/>
      <c r="L656" s="7"/>
      <c r="M656" s="7">
        <f>SUM(D656:L656)</f>
        <v>439</v>
      </c>
      <c r="N656" s="7">
        <v>439</v>
      </c>
      <c r="O656" s="7">
        <f t="shared" si="96"/>
        <v>0</v>
      </c>
      <c r="P656" s="48">
        <v>19</v>
      </c>
    </row>
    <row r="657" spans="2:16" ht="15.75" x14ac:dyDescent="0.25">
      <c r="B657" s="2">
        <f t="shared" si="95"/>
        <v>53.600000000000016</v>
      </c>
      <c r="C657" s="5" t="s">
        <v>529</v>
      </c>
      <c r="D657" s="7"/>
      <c r="E657" s="7"/>
      <c r="F657" s="10"/>
      <c r="G657" s="10">
        <v>26</v>
      </c>
      <c r="H657" s="10"/>
      <c r="I657" s="10"/>
      <c r="J657" s="7">
        <v>21.2</v>
      </c>
      <c r="K657" s="7"/>
      <c r="L657" s="7"/>
      <c r="M657" s="7">
        <f t="shared" ref="M657:M670" si="99">SUM(D657:L657)</f>
        <v>47.2</v>
      </c>
      <c r="N657" s="7"/>
      <c r="O657" s="7">
        <f t="shared" si="96"/>
        <v>6.4000000000000128</v>
      </c>
      <c r="P657" s="48"/>
    </row>
    <row r="658" spans="2:16" ht="15.75" x14ac:dyDescent="0.25">
      <c r="B658" s="2">
        <f t="shared" si="95"/>
        <v>-52.8</v>
      </c>
      <c r="C658" s="5" t="s">
        <v>41</v>
      </c>
      <c r="D658" s="6"/>
      <c r="E658" s="7"/>
      <c r="F658" s="10"/>
      <c r="G658" s="10"/>
      <c r="H658" s="10"/>
      <c r="I658" s="10"/>
      <c r="J658" s="7"/>
      <c r="K658" s="7"/>
      <c r="L658" s="7"/>
      <c r="M658" s="7">
        <f t="shared" si="99"/>
        <v>0</v>
      </c>
      <c r="N658" s="7"/>
      <c r="O658" s="7">
        <f t="shared" si="96"/>
        <v>-52.8</v>
      </c>
      <c r="P658" s="48"/>
    </row>
    <row r="659" spans="2:16" ht="15.75" x14ac:dyDescent="0.25">
      <c r="B659" s="2">
        <f t="shared" si="95"/>
        <v>26</v>
      </c>
      <c r="C659" s="5" t="s">
        <v>102</v>
      </c>
      <c r="D659" s="7"/>
      <c r="E659" s="7"/>
      <c r="F659" s="10"/>
      <c r="G659" s="10"/>
      <c r="H659" s="10"/>
      <c r="I659" s="10"/>
      <c r="J659" s="7"/>
      <c r="K659" s="7"/>
      <c r="L659" s="7"/>
      <c r="M659" s="7">
        <f t="shared" si="99"/>
        <v>0</v>
      </c>
      <c r="N659" s="7"/>
      <c r="O659" s="7">
        <f t="shared" si="96"/>
        <v>26</v>
      </c>
      <c r="P659" s="48"/>
    </row>
    <row r="660" spans="2:16" ht="15.75" x14ac:dyDescent="0.25">
      <c r="B660" s="2">
        <f t="shared" si="95"/>
        <v>-112.5</v>
      </c>
      <c r="C660" s="5" t="s">
        <v>45</v>
      </c>
      <c r="D660" s="7"/>
      <c r="E660" s="7"/>
      <c r="F660" s="10"/>
      <c r="G660" s="10"/>
      <c r="H660" s="10"/>
      <c r="I660" s="10">
        <v>26</v>
      </c>
      <c r="J660" s="7"/>
      <c r="K660" s="7"/>
      <c r="L660" s="7"/>
      <c r="M660" s="7">
        <f t="shared" si="99"/>
        <v>26</v>
      </c>
      <c r="N660" s="7"/>
      <c r="O660" s="7">
        <f t="shared" si="96"/>
        <v>-138.5</v>
      </c>
      <c r="P660" s="48"/>
    </row>
    <row r="661" spans="2:16" ht="15.75" x14ac:dyDescent="0.25">
      <c r="B661" s="2">
        <f t="shared" si="95"/>
        <v>-94.5</v>
      </c>
      <c r="C661" s="5" t="s">
        <v>46</v>
      </c>
      <c r="D661" s="7"/>
      <c r="E661" s="7"/>
      <c r="F661" s="10"/>
      <c r="G661" s="10"/>
      <c r="H661" s="10"/>
      <c r="I661" s="10"/>
      <c r="J661" s="7"/>
      <c r="K661" s="7"/>
      <c r="L661" s="7"/>
      <c r="M661" s="7">
        <f t="shared" si="99"/>
        <v>0</v>
      </c>
      <c r="N661" s="7"/>
      <c r="O661" s="7">
        <f t="shared" si="96"/>
        <v>-94.5</v>
      </c>
      <c r="P661" s="48"/>
    </row>
    <row r="662" spans="2:16" ht="15.75" x14ac:dyDescent="0.25">
      <c r="B662" s="2">
        <f t="shared" si="95"/>
        <v>-19</v>
      </c>
      <c r="C662" s="5" t="s">
        <v>79</v>
      </c>
      <c r="D662" s="7"/>
      <c r="E662" s="7"/>
      <c r="F662" s="10"/>
      <c r="G662" s="10"/>
      <c r="H662" s="10"/>
      <c r="I662" s="10"/>
      <c r="J662" s="7"/>
      <c r="K662" s="7"/>
      <c r="L662" s="7"/>
      <c r="M662" s="7">
        <f t="shared" si="99"/>
        <v>0</v>
      </c>
      <c r="N662" s="7"/>
      <c r="O662" s="7">
        <f t="shared" si="96"/>
        <v>-19</v>
      </c>
      <c r="P662" s="48"/>
    </row>
    <row r="663" spans="2:16" ht="15.75" x14ac:dyDescent="0.25">
      <c r="B663" s="2">
        <f t="shared" si="95"/>
        <v>1</v>
      </c>
      <c r="C663" s="5" t="s">
        <v>261</v>
      </c>
      <c r="D663" s="7"/>
      <c r="E663" s="6"/>
      <c r="F663" s="10"/>
      <c r="G663" s="10"/>
      <c r="H663" s="10"/>
      <c r="I663" s="10"/>
      <c r="J663" s="7"/>
      <c r="K663" s="7"/>
      <c r="L663" s="7"/>
      <c r="M663" s="7">
        <f t="shared" si="99"/>
        <v>0</v>
      </c>
      <c r="N663" s="7"/>
      <c r="O663" s="7">
        <f t="shared" si="96"/>
        <v>1</v>
      </c>
      <c r="P663" s="48"/>
    </row>
    <row r="664" spans="2:16" ht="15.75" x14ac:dyDescent="0.25">
      <c r="B664" s="2">
        <f t="shared" si="95"/>
        <v>-1341.6999999999996</v>
      </c>
      <c r="C664" s="5" t="s">
        <v>103</v>
      </c>
      <c r="D664" s="6">
        <v>69.8</v>
      </c>
      <c r="E664" s="7"/>
      <c r="F664" s="10">
        <v>152.6</v>
      </c>
      <c r="G664" s="10"/>
      <c r="H664" s="10"/>
      <c r="I664" s="10">
        <v>33.799999999999997</v>
      </c>
      <c r="J664" s="7"/>
      <c r="K664" s="7"/>
      <c r="L664" s="7"/>
      <c r="M664" s="7">
        <f t="shared" si="99"/>
        <v>256.2</v>
      </c>
      <c r="N664" s="7">
        <f>200+200+140</f>
        <v>540</v>
      </c>
      <c r="O664" s="7">
        <f t="shared" si="96"/>
        <v>-1057.8999999999996</v>
      </c>
      <c r="P664" s="48" t="s">
        <v>560</v>
      </c>
    </row>
    <row r="665" spans="2:16" ht="15.75" x14ac:dyDescent="0.25">
      <c r="B665" s="2">
        <f t="shared" si="95"/>
        <v>0</v>
      </c>
      <c r="C665" s="5" t="s">
        <v>211</v>
      </c>
      <c r="D665" s="6"/>
      <c r="E665" s="7"/>
      <c r="F665" s="47"/>
      <c r="G665" s="10"/>
      <c r="H665" s="10"/>
      <c r="I665" s="10"/>
      <c r="J665" s="7"/>
      <c r="K665" s="7"/>
      <c r="L665" s="7"/>
      <c r="M665" s="7">
        <f t="shared" si="99"/>
        <v>0</v>
      </c>
      <c r="N665" s="7"/>
      <c r="O665" s="7">
        <f t="shared" si="96"/>
        <v>0</v>
      </c>
      <c r="P665" s="48"/>
    </row>
    <row r="666" spans="2:16" ht="15.75" x14ac:dyDescent="0.25">
      <c r="B666" s="2">
        <f t="shared" si="95"/>
        <v>-78</v>
      </c>
      <c r="C666" s="5" t="s">
        <v>139</v>
      </c>
      <c r="D666" s="7">
        <v>26</v>
      </c>
      <c r="E666" s="7"/>
      <c r="F666" s="47"/>
      <c r="G666" s="10"/>
      <c r="H666" s="10"/>
      <c r="I666" s="10"/>
      <c r="J666" s="7"/>
      <c r="K666" s="7"/>
      <c r="L666" s="7"/>
      <c r="M666" s="7">
        <f t="shared" si="99"/>
        <v>26</v>
      </c>
      <c r="N666" s="7">
        <v>104</v>
      </c>
      <c r="O666" s="7">
        <f t="shared" si="96"/>
        <v>0</v>
      </c>
      <c r="P666" s="48">
        <v>13</v>
      </c>
    </row>
    <row r="667" spans="2:16" ht="15.75" x14ac:dyDescent="0.25">
      <c r="B667" s="2">
        <f t="shared" si="95"/>
        <v>-40</v>
      </c>
      <c r="C667" s="5" t="s">
        <v>31</v>
      </c>
      <c r="D667" s="7"/>
      <c r="E667" s="7">
        <v>30</v>
      </c>
      <c r="F667" s="10"/>
      <c r="G667" s="10">
        <v>25</v>
      </c>
      <c r="H667" s="10">
        <v>26</v>
      </c>
      <c r="I667" s="10">
        <v>26</v>
      </c>
      <c r="J667" s="7"/>
      <c r="K667" s="7"/>
      <c r="L667" s="7"/>
      <c r="M667" s="7">
        <f t="shared" si="99"/>
        <v>107</v>
      </c>
      <c r="N667" s="7">
        <f>55+25+52</f>
        <v>132</v>
      </c>
      <c r="O667" s="7">
        <f t="shared" si="96"/>
        <v>-15</v>
      </c>
      <c r="P667" s="48" t="s">
        <v>561</v>
      </c>
    </row>
    <row r="668" spans="2:16" ht="15.75" x14ac:dyDescent="0.25">
      <c r="B668" s="2">
        <f t="shared" si="95"/>
        <v>0</v>
      </c>
      <c r="C668" s="5" t="s">
        <v>37</v>
      </c>
      <c r="D668" s="7"/>
      <c r="E668" s="7"/>
      <c r="F668" s="10"/>
      <c r="G668" s="10"/>
      <c r="H668" s="10"/>
      <c r="I668" s="10"/>
      <c r="J668" s="7"/>
      <c r="K668" s="7"/>
      <c r="L668" s="7"/>
      <c r="M668" s="7">
        <f t="shared" si="99"/>
        <v>0</v>
      </c>
      <c r="N668" s="7"/>
      <c r="O668" s="7">
        <f t="shared" si="96"/>
        <v>0</v>
      </c>
      <c r="P668" s="48"/>
    </row>
    <row r="669" spans="2:16" ht="15.75" x14ac:dyDescent="0.25">
      <c r="B669" s="2">
        <f t="shared" si="95"/>
        <v>0</v>
      </c>
      <c r="C669" s="5" t="s">
        <v>105</v>
      </c>
      <c r="D669" s="7"/>
      <c r="E669" s="7"/>
      <c r="F669" s="10"/>
      <c r="G669" s="10"/>
      <c r="H669" s="10"/>
      <c r="I669" s="10"/>
      <c r="J669" s="7"/>
      <c r="K669" s="7"/>
      <c r="L669" s="7"/>
      <c r="M669" s="7">
        <f t="shared" si="99"/>
        <v>0</v>
      </c>
      <c r="N669" s="7"/>
      <c r="O669" s="7">
        <f t="shared" si="96"/>
        <v>0</v>
      </c>
      <c r="P669" s="48"/>
    </row>
    <row r="670" spans="2:16" ht="15.75" x14ac:dyDescent="0.25">
      <c r="B670" s="2">
        <f t="shared" si="95"/>
        <v>0</v>
      </c>
      <c r="C670" s="5" t="s">
        <v>19</v>
      </c>
      <c r="D670" s="7"/>
      <c r="E670" s="7">
        <v>14.4</v>
      </c>
      <c r="F670" s="10"/>
      <c r="G670" s="10"/>
      <c r="H670" s="10"/>
      <c r="I670" s="10"/>
      <c r="J670" s="7"/>
      <c r="K670" s="7"/>
      <c r="L670" s="7"/>
      <c r="M670" s="7">
        <f t="shared" si="99"/>
        <v>14.4</v>
      </c>
      <c r="N670" s="7">
        <v>14.4</v>
      </c>
      <c r="O670" s="7">
        <f t="shared" si="96"/>
        <v>0</v>
      </c>
      <c r="P670" s="48">
        <v>16</v>
      </c>
    </row>
    <row r="671" spans="2:16" ht="15.75" x14ac:dyDescent="0.25">
      <c r="B671" s="2">
        <f t="shared" si="95"/>
        <v>7</v>
      </c>
      <c r="C671" s="5" t="s">
        <v>136</v>
      </c>
      <c r="D671" s="7"/>
      <c r="E671" s="7"/>
      <c r="F671" s="10"/>
      <c r="G671" s="10"/>
      <c r="H671" s="10"/>
      <c r="I671" s="10"/>
      <c r="J671" s="7"/>
      <c r="K671" s="7"/>
      <c r="L671" s="7"/>
      <c r="M671" s="7">
        <f>SUM(D671:L671)</f>
        <v>0</v>
      </c>
      <c r="N671" s="7"/>
      <c r="O671" s="8">
        <f t="shared" si="96"/>
        <v>7</v>
      </c>
      <c r="P671" s="48"/>
    </row>
    <row r="672" spans="2:16" ht="15.75" x14ac:dyDescent="0.25">
      <c r="B672" s="2">
        <f t="shared" si="95"/>
        <v>-70</v>
      </c>
      <c r="C672" s="5" t="s">
        <v>111</v>
      </c>
      <c r="D672" s="6"/>
      <c r="E672" s="7"/>
      <c r="F672" s="10"/>
      <c r="G672" s="10"/>
      <c r="H672" s="10"/>
      <c r="I672" s="10"/>
      <c r="J672" s="7"/>
      <c r="K672" s="7"/>
      <c r="L672" s="7"/>
      <c r="M672" s="7">
        <f t="shared" ref="M672:M675" si="100">SUM(D672:L672)</f>
        <v>0</v>
      </c>
      <c r="N672" s="7"/>
      <c r="O672" s="7">
        <f t="shared" si="96"/>
        <v>-70</v>
      </c>
      <c r="P672" s="48"/>
    </row>
    <row r="673" spans="2:16" ht="15.75" x14ac:dyDescent="0.25">
      <c r="B673" s="2">
        <f t="shared" si="95"/>
        <v>-51</v>
      </c>
      <c r="C673" s="5" t="s">
        <v>428</v>
      </c>
      <c r="D673" s="6"/>
      <c r="E673" s="7"/>
      <c r="F673" s="10"/>
      <c r="G673" s="10"/>
      <c r="H673" s="10">
        <v>52</v>
      </c>
      <c r="I673" s="10"/>
      <c r="J673" s="7"/>
      <c r="K673" s="7"/>
      <c r="L673" s="7"/>
      <c r="M673" s="7">
        <f t="shared" si="100"/>
        <v>52</v>
      </c>
      <c r="N673" s="7"/>
      <c r="O673" s="7">
        <f t="shared" si="96"/>
        <v>-103</v>
      </c>
      <c r="P673" s="48"/>
    </row>
    <row r="674" spans="2:16" ht="15.75" x14ac:dyDescent="0.25">
      <c r="B674" s="2">
        <f t="shared" si="95"/>
        <v>-9.9</v>
      </c>
      <c r="C674" s="5" t="s">
        <v>115</v>
      </c>
      <c r="D674" s="6"/>
      <c r="E674" s="7"/>
      <c r="F674" s="10"/>
      <c r="G674" s="10"/>
      <c r="H674" s="10"/>
      <c r="I674" s="10"/>
      <c r="J674" s="7"/>
      <c r="K674" s="7"/>
      <c r="L674" s="7"/>
      <c r="M674" s="7">
        <f t="shared" si="100"/>
        <v>0</v>
      </c>
      <c r="N674" s="7">
        <v>9.9</v>
      </c>
      <c r="O674" s="7">
        <f t="shared" si="96"/>
        <v>0</v>
      </c>
      <c r="P674" s="48">
        <v>12</v>
      </c>
    </row>
    <row r="675" spans="2:16" ht="15.75" x14ac:dyDescent="0.25">
      <c r="B675" s="2">
        <f t="shared" si="95"/>
        <v>0</v>
      </c>
      <c r="C675" s="5" t="s">
        <v>252</v>
      </c>
      <c r="D675" s="7"/>
      <c r="E675" s="7"/>
      <c r="F675" s="10"/>
      <c r="G675" s="10"/>
      <c r="H675" s="10"/>
      <c r="I675" s="10"/>
      <c r="J675" s="7"/>
      <c r="K675" s="7"/>
      <c r="L675" s="7"/>
      <c r="M675" s="7">
        <f t="shared" si="100"/>
        <v>0</v>
      </c>
      <c r="N675" s="7"/>
      <c r="O675" s="7">
        <f t="shared" si="96"/>
        <v>0</v>
      </c>
      <c r="P675" s="48"/>
    </row>
    <row r="676" spans="2:16" ht="15.75" x14ac:dyDescent="0.25">
      <c r="B676" s="2">
        <f t="shared" si="95"/>
        <v>0</v>
      </c>
      <c r="C676" s="5" t="s">
        <v>556</v>
      </c>
      <c r="D676" s="7">
        <v>15.8</v>
      </c>
      <c r="E676" s="7"/>
      <c r="F676" s="10"/>
      <c r="G676" s="10"/>
      <c r="H676" s="10"/>
      <c r="I676" s="10"/>
      <c r="J676" s="7"/>
      <c r="K676" s="7"/>
      <c r="L676" s="7"/>
      <c r="M676" s="7">
        <f>SUM(D676:L676)</f>
        <v>15.8</v>
      </c>
      <c r="N676" s="7">
        <v>15.8</v>
      </c>
      <c r="O676" s="7">
        <f t="shared" si="96"/>
        <v>0</v>
      </c>
      <c r="P676" s="48">
        <v>16</v>
      </c>
    </row>
    <row r="677" spans="2:16" ht="15.75" x14ac:dyDescent="0.25">
      <c r="B677" s="2">
        <f t="shared" si="95"/>
        <v>-90.39</v>
      </c>
      <c r="C677" s="5" t="s">
        <v>20</v>
      </c>
      <c r="D677" s="7"/>
      <c r="E677" s="7"/>
      <c r="F677" s="10"/>
      <c r="G677" s="10"/>
      <c r="H677" s="10"/>
      <c r="I677" s="10"/>
      <c r="J677" s="7"/>
      <c r="K677" s="7"/>
      <c r="L677" s="7"/>
      <c r="M677" s="7">
        <f t="shared" ref="M677:M685" si="101">SUM(D677:L677)</f>
        <v>0</v>
      </c>
      <c r="N677" s="7">
        <v>90.39</v>
      </c>
      <c r="O677" s="7">
        <f t="shared" si="96"/>
        <v>0</v>
      </c>
      <c r="P677" s="48">
        <v>4</v>
      </c>
    </row>
    <row r="678" spans="2:16" ht="15.75" x14ac:dyDescent="0.25">
      <c r="B678" s="2">
        <f t="shared" si="95"/>
        <v>0</v>
      </c>
      <c r="C678" s="5" t="s">
        <v>559</v>
      </c>
      <c r="D678" s="7"/>
      <c r="E678" s="7"/>
      <c r="F678" s="10"/>
      <c r="G678" s="10"/>
      <c r="H678" s="10"/>
      <c r="I678" s="10"/>
      <c r="J678" s="7"/>
      <c r="K678" s="7"/>
      <c r="L678" s="7"/>
      <c r="M678" s="7">
        <f t="shared" si="101"/>
        <v>0</v>
      </c>
      <c r="N678" s="7">
        <v>67.099999999999994</v>
      </c>
      <c r="O678" s="7">
        <f t="shared" si="96"/>
        <v>67.099999999999994</v>
      </c>
      <c r="P678" s="48">
        <v>25</v>
      </c>
    </row>
    <row r="679" spans="2:16" ht="15.75" x14ac:dyDescent="0.25">
      <c r="B679" s="2">
        <f t="shared" si="95"/>
        <v>-54</v>
      </c>
      <c r="C679" s="5" t="s">
        <v>13</v>
      </c>
      <c r="D679" s="7"/>
      <c r="E679" s="7"/>
      <c r="F679" s="10"/>
      <c r="G679" s="10"/>
      <c r="H679" s="10"/>
      <c r="I679" s="10"/>
      <c r="J679" s="7"/>
      <c r="K679" s="7"/>
      <c r="L679" s="7"/>
      <c r="M679" s="7">
        <f t="shared" si="101"/>
        <v>0</v>
      </c>
      <c r="N679" s="7">
        <v>54</v>
      </c>
      <c r="O679" s="7">
        <f t="shared" si="96"/>
        <v>0</v>
      </c>
      <c r="P679" s="48">
        <v>18</v>
      </c>
    </row>
    <row r="680" spans="2:16" ht="15.75" x14ac:dyDescent="0.25">
      <c r="B680" s="2">
        <f t="shared" ref="B680:B686" si="102">O617</f>
        <v>-26</v>
      </c>
      <c r="C680" s="5" t="s">
        <v>523</v>
      </c>
      <c r="D680" s="7"/>
      <c r="E680" s="7"/>
      <c r="F680" s="10"/>
      <c r="G680" s="10"/>
      <c r="H680" s="10"/>
      <c r="I680" s="10"/>
      <c r="J680" s="7"/>
      <c r="K680" s="7"/>
      <c r="L680" s="7"/>
      <c r="M680" s="7">
        <f t="shared" si="101"/>
        <v>0</v>
      </c>
      <c r="N680" s="7"/>
      <c r="O680" s="7">
        <f t="shared" si="96"/>
        <v>-26</v>
      </c>
      <c r="P680" s="48"/>
    </row>
    <row r="681" spans="2:16" ht="15.75" x14ac:dyDescent="0.25">
      <c r="B681" s="2">
        <f t="shared" si="102"/>
        <v>-26</v>
      </c>
      <c r="C681" s="5" t="s">
        <v>549</v>
      </c>
      <c r="D681" s="7"/>
      <c r="E681" s="7"/>
      <c r="F681" s="10"/>
      <c r="G681" s="10"/>
      <c r="H681" s="10"/>
      <c r="I681" s="10"/>
      <c r="J681" s="7"/>
      <c r="K681" s="7"/>
      <c r="L681" s="7"/>
      <c r="M681" s="7">
        <f t="shared" si="101"/>
        <v>0</v>
      </c>
      <c r="N681" s="7">
        <v>26</v>
      </c>
      <c r="O681" s="7">
        <f t="shared" si="96"/>
        <v>0</v>
      </c>
      <c r="P681" s="48">
        <v>5</v>
      </c>
    </row>
    <row r="682" spans="2:16" ht="15.75" x14ac:dyDescent="0.25">
      <c r="B682" s="2">
        <f t="shared" si="102"/>
        <v>-52.599999999999994</v>
      </c>
      <c r="C682" s="5" t="s">
        <v>519</v>
      </c>
      <c r="D682" s="7"/>
      <c r="E682" s="7">
        <v>36</v>
      </c>
      <c r="F682" s="10"/>
      <c r="G682" s="10">
        <v>54</v>
      </c>
      <c r="H682" s="10"/>
      <c r="I682" s="10"/>
      <c r="J682" s="7"/>
      <c r="K682" s="7"/>
      <c r="L682" s="7"/>
      <c r="M682" s="7">
        <f t="shared" si="101"/>
        <v>90</v>
      </c>
      <c r="N682" s="7">
        <f>36+100</f>
        <v>136</v>
      </c>
      <c r="O682" s="7">
        <f t="shared" si="96"/>
        <v>-6.5999999999999943</v>
      </c>
      <c r="P682" s="48" t="s">
        <v>558</v>
      </c>
    </row>
    <row r="683" spans="2:16" ht="15.75" x14ac:dyDescent="0.25">
      <c r="B683" s="2">
        <f t="shared" si="102"/>
        <v>-73.8</v>
      </c>
      <c r="C683" s="5" t="s">
        <v>518</v>
      </c>
      <c r="D683" s="7"/>
      <c r="E683" s="7"/>
      <c r="F683" s="10"/>
      <c r="G683" s="10"/>
      <c r="H683" s="10"/>
      <c r="I683" s="10"/>
      <c r="J683" s="7"/>
      <c r="K683" s="7"/>
      <c r="L683" s="7"/>
      <c r="M683" s="7">
        <f t="shared" si="101"/>
        <v>0</v>
      </c>
      <c r="N683" s="7"/>
      <c r="O683" s="7">
        <f t="shared" si="96"/>
        <v>-73.8</v>
      </c>
      <c r="P683" s="48"/>
    </row>
    <row r="684" spans="2:16" ht="15.75" x14ac:dyDescent="0.25">
      <c r="B684" s="2">
        <f t="shared" si="102"/>
        <v>-26</v>
      </c>
      <c r="C684" s="5" t="s">
        <v>135</v>
      </c>
      <c r="D684" s="7"/>
      <c r="E684" s="7"/>
      <c r="F684" s="10"/>
      <c r="G684" s="10"/>
      <c r="H684" s="10"/>
      <c r="I684" s="10"/>
      <c r="J684" s="7"/>
      <c r="K684" s="7"/>
      <c r="L684" s="7"/>
      <c r="M684" s="7">
        <f t="shared" si="101"/>
        <v>0</v>
      </c>
      <c r="N684" s="7"/>
      <c r="O684" s="7">
        <f>N684+B684-M684</f>
        <v>-26</v>
      </c>
      <c r="P684" s="48"/>
    </row>
    <row r="685" spans="2:16" ht="15.75" x14ac:dyDescent="0.25">
      <c r="B685" s="2">
        <f t="shared" si="102"/>
        <v>4.1999999999999993</v>
      </c>
      <c r="C685" s="5" t="s">
        <v>120</v>
      </c>
      <c r="D685" s="7"/>
      <c r="E685" s="7"/>
      <c r="F685" s="10"/>
      <c r="G685" s="10"/>
      <c r="H685" s="10"/>
      <c r="I685" s="10"/>
      <c r="J685" s="7"/>
      <c r="K685" s="7"/>
      <c r="L685" s="7"/>
      <c r="M685" s="7">
        <f t="shared" si="101"/>
        <v>0</v>
      </c>
      <c r="N685" s="7"/>
      <c r="O685" s="7">
        <f>N685+B685-M685</f>
        <v>4.1999999999999993</v>
      </c>
      <c r="P685" s="48"/>
    </row>
    <row r="686" spans="2:16" ht="15.75" x14ac:dyDescent="0.25">
      <c r="B686" s="2">
        <f t="shared" si="102"/>
        <v>-4497.9399999999996</v>
      </c>
      <c r="C686" s="6" t="s">
        <v>104</v>
      </c>
      <c r="D686" s="7">
        <f t="shared" ref="D686" si="103">SUM(D628:D684)</f>
        <v>180.7</v>
      </c>
      <c r="E686" s="7">
        <f>SUM(E628:E684)</f>
        <v>126.2</v>
      </c>
      <c r="F686" s="7">
        <f t="shared" ref="F686" si="104">SUM(F628:F684)</f>
        <v>701.4</v>
      </c>
      <c r="G686" s="7">
        <f>SUM(G628:G684)</f>
        <v>391</v>
      </c>
      <c r="H686" s="7">
        <f t="shared" ref="H686" si="105">SUM(H628:H684)</f>
        <v>104</v>
      </c>
      <c r="I686" s="7">
        <f>SUM(I628:I685)</f>
        <v>113.69999999999999</v>
      </c>
      <c r="J686" s="7">
        <f>SUM(J628:J685)</f>
        <v>110.8</v>
      </c>
      <c r="K686" s="7">
        <f>SUM(K628:K685)</f>
        <v>198.60000000000002</v>
      </c>
      <c r="L686" s="7">
        <f t="shared" ref="L686" si="106">SUM(L628:L684)</f>
        <v>0</v>
      </c>
      <c r="M686" s="7">
        <f>SUM(M628:M685)</f>
        <v>1926.4000000000003</v>
      </c>
      <c r="N686" s="15">
        <f>SUM(N628:N685)</f>
        <v>2637.59</v>
      </c>
      <c r="O686" s="7">
        <f>SUM(O628:O685)</f>
        <v>-3786.7500000000005</v>
      </c>
      <c r="P686" s="43"/>
    </row>
    <row r="689" spans="2:16" ht="15.75" x14ac:dyDescent="0.25">
      <c r="B689" s="57" t="s">
        <v>553</v>
      </c>
      <c r="C689" s="59" t="s">
        <v>84</v>
      </c>
      <c r="D689" s="27">
        <v>94</v>
      </c>
      <c r="E689" s="27">
        <v>95</v>
      </c>
      <c r="F689" s="27">
        <v>96</v>
      </c>
      <c r="G689" s="27">
        <v>97</v>
      </c>
      <c r="H689" s="27">
        <v>98</v>
      </c>
      <c r="I689" s="27">
        <v>99</v>
      </c>
      <c r="J689" s="27">
        <v>100</v>
      </c>
      <c r="K689" s="27">
        <v>101</v>
      </c>
      <c r="L689" s="27">
        <v>102</v>
      </c>
      <c r="M689" s="57" t="s">
        <v>68</v>
      </c>
      <c r="N689" s="61" t="s">
        <v>137</v>
      </c>
      <c r="O689" s="57" t="s">
        <v>562</v>
      </c>
    </row>
    <row r="690" spans="2:16" ht="15.75" x14ac:dyDescent="0.25">
      <c r="B690" s="58"/>
      <c r="C690" s="60"/>
      <c r="D690" s="26">
        <v>2</v>
      </c>
      <c r="E690" s="26">
        <v>5</v>
      </c>
      <c r="F690" s="26">
        <v>9</v>
      </c>
      <c r="G690" s="26">
        <v>12</v>
      </c>
      <c r="H690" s="26">
        <v>16</v>
      </c>
      <c r="I690" s="26">
        <v>19</v>
      </c>
      <c r="J690" s="26">
        <v>23</v>
      </c>
      <c r="K690" s="26">
        <v>26</v>
      </c>
      <c r="L690" s="26">
        <v>30</v>
      </c>
      <c r="M690" s="58"/>
      <c r="N690" s="62"/>
      <c r="O690" s="58"/>
      <c r="P690" s="7"/>
    </row>
    <row r="691" spans="2:16" ht="15.75" x14ac:dyDescent="0.25">
      <c r="B691" s="2">
        <f>O628</f>
        <v>0</v>
      </c>
      <c r="C691" s="5" t="s">
        <v>123</v>
      </c>
      <c r="D691" s="6"/>
      <c r="E691" s="6"/>
      <c r="F691" s="6"/>
      <c r="G691" s="6"/>
      <c r="H691" s="6"/>
      <c r="I691" s="6"/>
      <c r="J691" s="6"/>
      <c r="K691" s="6"/>
      <c r="L691" s="6"/>
      <c r="M691" s="7">
        <f>SUM(D691:L691)</f>
        <v>0</v>
      </c>
      <c r="N691" s="7"/>
      <c r="O691" s="7">
        <f>N691+B691-M691</f>
        <v>0</v>
      </c>
      <c r="P691" s="7"/>
    </row>
    <row r="692" spans="2:16" ht="15.75" x14ac:dyDescent="0.25">
      <c r="B692" s="2">
        <f t="shared" ref="B692:B749" si="107">O629</f>
        <v>-6</v>
      </c>
      <c r="C692" s="5" t="s">
        <v>125</v>
      </c>
      <c r="D692" s="6"/>
      <c r="E692" s="7"/>
      <c r="F692" s="6"/>
      <c r="G692" s="7"/>
      <c r="H692" s="7"/>
      <c r="I692" s="6"/>
      <c r="J692" s="7"/>
      <c r="K692" s="7"/>
      <c r="L692" s="7"/>
      <c r="M692" s="7">
        <f>SUM(D692:L692)</f>
        <v>0</v>
      </c>
      <c r="N692" s="7"/>
      <c r="O692" s="7">
        <f t="shared" ref="O692:O746" si="108">N692+B692-M692</f>
        <v>-6</v>
      </c>
      <c r="P692" s="48"/>
    </row>
    <row r="693" spans="2:16" ht="15.75" x14ac:dyDescent="0.25">
      <c r="B693" s="2">
        <f t="shared" si="107"/>
        <v>-200.50000000000006</v>
      </c>
      <c r="C693" s="5" t="s">
        <v>194</v>
      </c>
      <c r="D693" s="7"/>
      <c r="E693" s="7"/>
      <c r="F693" s="7"/>
      <c r="G693" s="7"/>
      <c r="H693" s="7"/>
      <c r="I693" s="7"/>
      <c r="J693" s="7"/>
      <c r="K693" s="15"/>
      <c r="L693" s="7"/>
      <c r="M693" s="7">
        <f>SUM(D693:L693)</f>
        <v>0</v>
      </c>
      <c r="N693" s="7"/>
      <c r="O693" s="7">
        <f t="shared" si="108"/>
        <v>-200.50000000000006</v>
      </c>
      <c r="P693" s="38"/>
    </row>
    <row r="694" spans="2:16" ht="15.75" x14ac:dyDescent="0.25">
      <c r="B694" s="2">
        <f t="shared" si="107"/>
        <v>0</v>
      </c>
      <c r="C694" s="5" t="s">
        <v>2</v>
      </c>
      <c r="D694" s="6"/>
      <c r="E694" s="7"/>
      <c r="F694" s="6"/>
      <c r="G694" s="7"/>
      <c r="H694" s="7"/>
      <c r="I694" s="7"/>
      <c r="J694" s="7"/>
      <c r="K694" s="7"/>
      <c r="L694" s="7"/>
      <c r="M694" s="7">
        <f>SUM(D694:L694)</f>
        <v>0</v>
      </c>
      <c r="N694" s="7"/>
      <c r="O694" s="7">
        <f t="shared" si="108"/>
        <v>0</v>
      </c>
      <c r="P694" s="38"/>
    </row>
    <row r="695" spans="2:16" ht="15.75" x14ac:dyDescent="0.25">
      <c r="B695" s="2">
        <f t="shared" si="107"/>
        <v>0</v>
      </c>
      <c r="C695" s="5" t="s">
        <v>129</v>
      </c>
      <c r="D695" s="6"/>
      <c r="E695" s="7"/>
      <c r="F695" s="6"/>
      <c r="G695" s="6"/>
      <c r="H695" s="6"/>
      <c r="I695" s="7"/>
      <c r="J695" s="6"/>
      <c r="K695" s="7"/>
      <c r="L695" s="7"/>
      <c r="M695" s="7">
        <f t="shared" ref="M695:M713" si="109">SUM(D695:L695)</f>
        <v>0</v>
      </c>
      <c r="N695" s="7"/>
      <c r="O695" s="7">
        <f t="shared" si="108"/>
        <v>0</v>
      </c>
      <c r="P695" s="48"/>
    </row>
    <row r="696" spans="2:16" ht="15.75" x14ac:dyDescent="0.25">
      <c r="B696" s="2">
        <f t="shared" si="107"/>
        <v>-25</v>
      </c>
      <c r="C696" s="5" t="s">
        <v>195</v>
      </c>
      <c r="D696" s="6"/>
      <c r="E696" s="7"/>
      <c r="F696" s="6"/>
      <c r="G696" s="6"/>
      <c r="H696" s="6"/>
      <c r="I696" s="7"/>
      <c r="J696" s="7"/>
      <c r="K696" s="7"/>
      <c r="L696" s="7"/>
      <c r="M696" s="7">
        <f t="shared" si="109"/>
        <v>0</v>
      </c>
      <c r="N696" s="7"/>
      <c r="O696" s="7">
        <f t="shared" si="108"/>
        <v>-25</v>
      </c>
      <c r="P696" s="48"/>
    </row>
    <row r="697" spans="2:16" ht="15.75" x14ac:dyDescent="0.25">
      <c r="B697" s="2">
        <f t="shared" si="107"/>
        <v>-26</v>
      </c>
      <c r="C697" s="5" t="s">
        <v>128</v>
      </c>
      <c r="D697" s="7"/>
      <c r="E697" s="7"/>
      <c r="F697" s="7"/>
      <c r="G697" s="7"/>
      <c r="H697" s="7"/>
      <c r="I697" s="7"/>
      <c r="J697" s="7"/>
      <c r="K697" s="7"/>
      <c r="L697" s="7"/>
      <c r="M697" s="7">
        <f t="shared" si="109"/>
        <v>0</v>
      </c>
      <c r="N697" s="7">
        <v>46</v>
      </c>
      <c r="O697" s="7">
        <f t="shared" si="108"/>
        <v>20</v>
      </c>
      <c r="P697" s="48">
        <v>9</v>
      </c>
    </row>
    <row r="698" spans="2:16" ht="15.75" x14ac:dyDescent="0.25">
      <c r="B698" s="2">
        <f t="shared" si="107"/>
        <v>-285.2</v>
      </c>
      <c r="C698" s="5" t="s">
        <v>127</v>
      </c>
      <c r="D698" s="6"/>
      <c r="E698" s="7"/>
      <c r="F698" s="7"/>
      <c r="G698" s="7"/>
      <c r="H698" s="7"/>
      <c r="I698" s="7"/>
      <c r="J698" s="6"/>
      <c r="K698" s="7"/>
      <c r="L698" s="7"/>
      <c r="M698" s="7">
        <f t="shared" si="109"/>
        <v>0</v>
      </c>
      <c r="N698" s="7"/>
      <c r="O698" s="54">
        <f t="shared" si="108"/>
        <v>-285.2</v>
      </c>
      <c r="P698" s="48"/>
    </row>
    <row r="699" spans="2:16" ht="15.75" x14ac:dyDescent="0.25">
      <c r="B699" s="2">
        <f t="shared" si="107"/>
        <v>0</v>
      </c>
      <c r="C699" s="5"/>
      <c r="D699" s="6"/>
      <c r="E699" s="7"/>
      <c r="F699" s="6"/>
      <c r="G699" s="6"/>
      <c r="H699" s="6"/>
      <c r="I699" s="7"/>
      <c r="J699" s="6"/>
      <c r="K699" s="7"/>
      <c r="L699" s="7"/>
      <c r="M699" s="7">
        <f t="shared" si="109"/>
        <v>0</v>
      </c>
      <c r="N699" s="7"/>
      <c r="O699" s="7">
        <f t="shared" si="108"/>
        <v>0</v>
      </c>
      <c r="P699" s="48"/>
    </row>
    <row r="700" spans="2:16" ht="15.75" x14ac:dyDescent="0.25">
      <c r="B700" s="2">
        <f t="shared" si="107"/>
        <v>-528.20000000000005</v>
      </c>
      <c r="C700" s="5" t="s">
        <v>130</v>
      </c>
      <c r="D700" s="7"/>
      <c r="E700" s="7"/>
      <c r="F700" s="7"/>
      <c r="G700" s="7"/>
      <c r="H700" s="7"/>
      <c r="I700" s="7"/>
      <c r="J700" s="6"/>
      <c r="K700" s="7"/>
      <c r="L700" s="7"/>
      <c r="M700" s="7">
        <f t="shared" si="109"/>
        <v>0</v>
      </c>
      <c r="N700" s="7"/>
      <c r="O700" s="54">
        <f t="shared" si="108"/>
        <v>-528.20000000000005</v>
      </c>
      <c r="P700" s="48"/>
    </row>
    <row r="701" spans="2:16" ht="15.75" x14ac:dyDescent="0.25">
      <c r="B701" s="2">
        <f t="shared" si="107"/>
        <v>-255.8</v>
      </c>
      <c r="C701" s="5" t="s">
        <v>131</v>
      </c>
      <c r="D701" s="7"/>
      <c r="E701" s="7"/>
      <c r="F701" s="7"/>
      <c r="G701" s="7"/>
      <c r="H701" s="7"/>
      <c r="I701" s="7"/>
      <c r="J701" s="7"/>
      <c r="K701" s="7"/>
      <c r="L701" s="7"/>
      <c r="M701" s="7">
        <f t="shared" si="109"/>
        <v>0</v>
      </c>
      <c r="N701" s="7"/>
      <c r="O701" s="7">
        <f t="shared" si="108"/>
        <v>-255.8</v>
      </c>
      <c r="P701" s="48"/>
    </row>
    <row r="702" spans="2:16" ht="15.75" x14ac:dyDescent="0.25">
      <c r="B702" s="2">
        <f t="shared" si="107"/>
        <v>0</v>
      </c>
      <c r="C702" s="5"/>
      <c r="D702" s="7"/>
      <c r="E702" s="7"/>
      <c r="F702" s="7"/>
      <c r="G702" s="7"/>
      <c r="H702" s="7"/>
      <c r="I702" s="7"/>
      <c r="J702" s="7"/>
      <c r="K702" s="7"/>
      <c r="L702" s="7"/>
      <c r="M702" s="7">
        <f t="shared" si="109"/>
        <v>0</v>
      </c>
      <c r="N702" s="7"/>
      <c r="O702" s="7">
        <f t="shared" si="108"/>
        <v>0</v>
      </c>
      <c r="P702" s="48"/>
    </row>
    <row r="703" spans="2:16" ht="15.75" x14ac:dyDescent="0.25">
      <c r="B703" s="2">
        <f t="shared" si="107"/>
        <v>-52</v>
      </c>
      <c r="C703" s="5" t="s">
        <v>132</v>
      </c>
      <c r="D703" s="7">
        <v>26</v>
      </c>
      <c r="E703" s="7"/>
      <c r="F703" s="7"/>
      <c r="G703" s="7"/>
      <c r="H703" s="7"/>
      <c r="I703" s="7"/>
      <c r="J703" s="7"/>
      <c r="K703" s="7"/>
      <c r="L703" s="7"/>
      <c r="M703" s="7">
        <f t="shared" si="109"/>
        <v>26</v>
      </c>
      <c r="N703" s="7"/>
      <c r="O703" s="7">
        <f t="shared" si="108"/>
        <v>-78</v>
      </c>
      <c r="P703" s="48"/>
    </row>
    <row r="704" spans="2:16" ht="15.75" x14ac:dyDescent="0.25">
      <c r="B704" s="2">
        <f t="shared" si="107"/>
        <v>5.6843418860808015E-14</v>
      </c>
      <c r="C704" s="5" t="s">
        <v>9</v>
      </c>
      <c r="D704" s="6"/>
      <c r="E704" s="7"/>
      <c r="F704" s="7"/>
      <c r="G704" s="7"/>
      <c r="H704" s="7"/>
      <c r="I704" s="6"/>
      <c r="J704" s="7"/>
      <c r="K704" s="7"/>
      <c r="L704" s="7"/>
      <c r="M704" s="7">
        <f t="shared" si="109"/>
        <v>0</v>
      </c>
      <c r="N704" s="7"/>
      <c r="O704" s="7">
        <f t="shared" si="108"/>
        <v>5.6843418860808015E-14</v>
      </c>
      <c r="P704" s="48"/>
    </row>
    <row r="705" spans="2:16" ht="15.75" x14ac:dyDescent="0.25">
      <c r="B705" s="2">
        <f t="shared" si="107"/>
        <v>-56</v>
      </c>
      <c r="C705" s="5" t="s">
        <v>133</v>
      </c>
      <c r="D705" s="7"/>
      <c r="E705" s="7"/>
      <c r="F705" s="7"/>
      <c r="G705" s="7"/>
      <c r="H705" s="7"/>
      <c r="I705" s="7"/>
      <c r="J705" s="7"/>
      <c r="K705" s="7"/>
      <c r="L705" s="7"/>
      <c r="M705" s="7">
        <f t="shared" si="109"/>
        <v>0</v>
      </c>
      <c r="N705" s="8"/>
      <c r="O705" s="7">
        <f t="shared" si="108"/>
        <v>-56</v>
      </c>
      <c r="P705" s="48"/>
    </row>
    <row r="706" spans="2:16" ht="15.75" x14ac:dyDescent="0.25">
      <c r="B706" s="2">
        <f t="shared" si="107"/>
        <v>-101.80000000000001</v>
      </c>
      <c r="C706" s="5" t="s">
        <v>96</v>
      </c>
      <c r="D706" s="7"/>
      <c r="E706" s="7">
        <v>25</v>
      </c>
      <c r="F706" s="7"/>
      <c r="G706" s="7"/>
      <c r="H706" s="7"/>
      <c r="I706" s="7"/>
      <c r="J706" s="7"/>
      <c r="K706" s="7"/>
      <c r="L706" s="7"/>
      <c r="M706" s="7">
        <f t="shared" si="109"/>
        <v>25</v>
      </c>
      <c r="N706" s="7"/>
      <c r="O706" s="7">
        <f t="shared" si="108"/>
        <v>-126.80000000000001</v>
      </c>
      <c r="P706" s="48"/>
    </row>
    <row r="707" spans="2:16" ht="15.75" x14ac:dyDescent="0.25">
      <c r="B707" s="2">
        <f t="shared" si="107"/>
        <v>-51</v>
      </c>
      <c r="C707" s="5" t="s">
        <v>134</v>
      </c>
      <c r="D707" s="7"/>
      <c r="E707" s="7"/>
      <c r="F707" s="6"/>
      <c r="G707" s="7"/>
      <c r="H707" s="7"/>
      <c r="I707" s="7"/>
      <c r="J707" s="7"/>
      <c r="K707" s="7"/>
      <c r="L707" s="7"/>
      <c r="M707" s="7">
        <f t="shared" si="109"/>
        <v>0</v>
      </c>
      <c r="N707" s="7">
        <v>51</v>
      </c>
      <c r="O707" s="7">
        <f t="shared" si="108"/>
        <v>0</v>
      </c>
      <c r="P707" s="48">
        <v>9</v>
      </c>
    </row>
    <row r="708" spans="2:16" ht="15.75" x14ac:dyDescent="0.25">
      <c r="B708" s="2">
        <f t="shared" si="107"/>
        <v>26.100000000000009</v>
      </c>
      <c r="C708" s="5" t="s">
        <v>99</v>
      </c>
      <c r="D708" s="7"/>
      <c r="E708" s="7"/>
      <c r="F708" s="6"/>
      <c r="G708" s="7"/>
      <c r="H708" s="7"/>
      <c r="I708" s="7"/>
      <c r="J708" s="6"/>
      <c r="K708" s="6"/>
      <c r="L708" s="7"/>
      <c r="M708" s="7">
        <f t="shared" si="109"/>
        <v>0</v>
      </c>
      <c r="N708" s="7"/>
      <c r="O708" s="7">
        <f t="shared" si="108"/>
        <v>26.100000000000009</v>
      </c>
      <c r="P708" s="48"/>
    </row>
    <row r="709" spans="2:16" ht="15.75" x14ac:dyDescent="0.25">
      <c r="B709" s="2">
        <f t="shared" si="107"/>
        <v>-92.309999999999988</v>
      </c>
      <c r="C709" s="5" t="s">
        <v>53</v>
      </c>
      <c r="D709" s="7"/>
      <c r="E709" s="7"/>
      <c r="F709" s="7"/>
      <c r="G709" s="7"/>
      <c r="H709" s="7"/>
      <c r="I709" s="7"/>
      <c r="J709" s="7"/>
      <c r="K709" s="7"/>
      <c r="L709" s="7"/>
      <c r="M709" s="7">
        <f t="shared" si="109"/>
        <v>0</v>
      </c>
      <c r="N709" s="7"/>
      <c r="O709" s="7">
        <f t="shared" si="108"/>
        <v>-92.309999999999988</v>
      </c>
      <c r="P709" s="48"/>
    </row>
    <row r="710" spans="2:16" ht="15.75" x14ac:dyDescent="0.25">
      <c r="B710" s="2">
        <f t="shared" si="107"/>
        <v>-184</v>
      </c>
      <c r="C710" s="5" t="s">
        <v>33</v>
      </c>
      <c r="D710" s="7">
        <v>17.100000000000001</v>
      </c>
      <c r="E710" s="7">
        <v>26</v>
      </c>
      <c r="F710" s="56">
        <v>50</v>
      </c>
      <c r="G710" s="7"/>
      <c r="H710" s="7"/>
      <c r="I710" s="7"/>
      <c r="J710" s="7"/>
      <c r="K710" s="7"/>
      <c r="L710" s="7"/>
      <c r="M710" s="7">
        <f t="shared" si="109"/>
        <v>93.1</v>
      </c>
      <c r="N710" s="7"/>
      <c r="O710" s="7">
        <f t="shared" si="108"/>
        <v>-277.10000000000002</v>
      </c>
      <c r="P710" s="48"/>
    </row>
    <row r="711" spans="2:16" ht="15.75" x14ac:dyDescent="0.25">
      <c r="B711" s="2">
        <f t="shared" si="107"/>
        <v>0</v>
      </c>
      <c r="C711" s="5"/>
      <c r="D711" s="7"/>
      <c r="E711" s="7"/>
      <c r="F711" s="7"/>
      <c r="G711" s="7"/>
      <c r="H711" s="7"/>
      <c r="I711" s="7"/>
      <c r="J711" s="7"/>
      <c r="K711" s="7"/>
      <c r="L711" s="7"/>
      <c r="M711" s="7">
        <f t="shared" si="109"/>
        <v>0</v>
      </c>
      <c r="N711" s="7"/>
      <c r="O711" s="7">
        <f t="shared" si="108"/>
        <v>0</v>
      </c>
      <c r="P711" s="48"/>
    </row>
    <row r="712" spans="2:16" ht="15.75" x14ac:dyDescent="0.25">
      <c r="B712" s="2">
        <f t="shared" si="107"/>
        <v>-99.699999999999989</v>
      </c>
      <c r="C712" s="5" t="s">
        <v>23</v>
      </c>
      <c r="D712" s="7"/>
      <c r="E712" s="7"/>
      <c r="F712" s="10"/>
      <c r="G712" s="10"/>
      <c r="H712" s="10"/>
      <c r="I712" s="10"/>
      <c r="J712" s="7"/>
      <c r="K712" s="7"/>
      <c r="L712" s="7"/>
      <c r="M712" s="7">
        <f t="shared" si="109"/>
        <v>0</v>
      </c>
      <c r="N712" s="7"/>
      <c r="O712" s="7">
        <f t="shared" si="108"/>
        <v>-99.699999999999989</v>
      </c>
      <c r="P712" s="48"/>
    </row>
    <row r="713" spans="2:16" ht="15.75" x14ac:dyDescent="0.25">
      <c r="B713" s="2">
        <f t="shared" si="107"/>
        <v>-25.200000000000017</v>
      </c>
      <c r="C713" s="5" t="s">
        <v>24</v>
      </c>
      <c r="D713" s="7"/>
      <c r="E713" s="7"/>
      <c r="F713" s="10"/>
      <c r="G713" s="10"/>
      <c r="H713" s="10"/>
      <c r="I713" s="10"/>
      <c r="J713" s="7"/>
      <c r="K713" s="7"/>
      <c r="L713" s="7"/>
      <c r="M713" s="7">
        <f t="shared" si="109"/>
        <v>0</v>
      </c>
      <c r="N713" s="7"/>
      <c r="O713" s="7">
        <f t="shared" si="108"/>
        <v>-25.200000000000017</v>
      </c>
      <c r="P713" s="48"/>
    </row>
    <row r="714" spans="2:16" ht="15.75" x14ac:dyDescent="0.25">
      <c r="B714" s="2">
        <f t="shared" si="107"/>
        <v>-89.6</v>
      </c>
      <c r="C714" s="5" t="s">
        <v>513</v>
      </c>
      <c r="D714" s="7"/>
      <c r="E714" s="7"/>
      <c r="F714" s="7"/>
      <c r="G714" s="10"/>
      <c r="H714" s="10"/>
      <c r="I714" s="10"/>
      <c r="J714" s="7"/>
      <c r="K714" s="7"/>
      <c r="L714" s="7"/>
      <c r="M714" s="7">
        <f>SUM(D714:L714)</f>
        <v>0</v>
      </c>
      <c r="N714" s="7"/>
      <c r="O714" s="7">
        <f t="shared" si="108"/>
        <v>-89.6</v>
      </c>
      <c r="P714" s="48"/>
    </row>
    <row r="715" spans="2:16" ht="15.75" x14ac:dyDescent="0.25">
      <c r="B715" s="2">
        <f t="shared" si="107"/>
        <v>0</v>
      </c>
      <c r="C715" s="5"/>
      <c r="D715" s="7"/>
      <c r="E715" s="7"/>
      <c r="F715" s="10"/>
      <c r="G715" s="10"/>
      <c r="H715" s="10"/>
      <c r="I715" s="10"/>
      <c r="J715" s="7"/>
      <c r="K715" s="7"/>
      <c r="L715" s="7"/>
      <c r="M715" s="7">
        <f>SUM(D715:L715)</f>
        <v>0</v>
      </c>
      <c r="N715" s="7"/>
      <c r="O715" s="7">
        <f t="shared" si="108"/>
        <v>0</v>
      </c>
      <c r="P715" s="48"/>
    </row>
    <row r="716" spans="2:16" ht="15.75" x14ac:dyDescent="0.25">
      <c r="B716" s="2">
        <f t="shared" si="107"/>
        <v>-44.999999999999986</v>
      </c>
      <c r="C716" s="5" t="s">
        <v>27</v>
      </c>
      <c r="D716" s="7"/>
      <c r="E716" s="7"/>
      <c r="F716" s="10"/>
      <c r="G716" s="10"/>
      <c r="H716" s="10"/>
      <c r="I716" s="10"/>
      <c r="J716" s="7"/>
      <c r="K716" s="7"/>
      <c r="L716" s="7"/>
      <c r="M716" s="7">
        <f>SUM(D716:L716)</f>
        <v>0</v>
      </c>
      <c r="N716" s="7"/>
      <c r="O716" s="7">
        <f t="shared" si="108"/>
        <v>-44.999999999999986</v>
      </c>
      <c r="P716" s="48"/>
    </row>
    <row r="717" spans="2:16" ht="15.75" x14ac:dyDescent="0.25">
      <c r="B717" s="2">
        <f t="shared" si="107"/>
        <v>-53.94</v>
      </c>
      <c r="C717" s="5" t="s">
        <v>29</v>
      </c>
      <c r="D717" s="7"/>
      <c r="E717" s="7"/>
      <c r="F717" s="10"/>
      <c r="G717" s="10"/>
      <c r="H717" s="10"/>
      <c r="I717" s="10"/>
      <c r="J717" s="7"/>
      <c r="K717" s="7"/>
      <c r="L717" s="7"/>
      <c r="M717" s="7">
        <f t="shared" ref="M717:M718" si="110">SUM(D717:L717)</f>
        <v>0</v>
      </c>
      <c r="N717" s="7"/>
      <c r="O717" s="7">
        <f t="shared" si="108"/>
        <v>-53.94</v>
      </c>
      <c r="P717" s="48"/>
    </row>
    <row r="718" spans="2:16" ht="15.75" x14ac:dyDescent="0.25">
      <c r="B718" s="2">
        <f t="shared" si="107"/>
        <v>-64.200000000000045</v>
      </c>
      <c r="C718" s="5" t="s">
        <v>30</v>
      </c>
      <c r="D718" s="7"/>
      <c r="E718" s="7"/>
      <c r="F718" s="10"/>
      <c r="G718" s="10"/>
      <c r="H718" s="10"/>
      <c r="I718" s="10"/>
      <c r="J718" s="7"/>
      <c r="K718" s="7"/>
      <c r="L718" s="7"/>
      <c r="M718" s="7">
        <f t="shared" si="110"/>
        <v>0</v>
      </c>
      <c r="N718" s="7"/>
      <c r="O718" s="7">
        <f t="shared" si="108"/>
        <v>-64.200000000000045</v>
      </c>
      <c r="P718" s="48"/>
    </row>
    <row r="719" spans="2:16" ht="15.75" x14ac:dyDescent="0.25">
      <c r="B719" s="2">
        <f t="shared" si="107"/>
        <v>0</v>
      </c>
      <c r="C719" s="5"/>
      <c r="D719" s="7"/>
      <c r="E719" s="7"/>
      <c r="F719" s="10"/>
      <c r="G719" s="10"/>
      <c r="H719" s="10"/>
      <c r="I719" s="10"/>
      <c r="J719" s="7"/>
      <c r="K719" s="7"/>
      <c r="L719" s="7"/>
      <c r="M719" s="7">
        <f>SUM(D719:L719)</f>
        <v>0</v>
      </c>
      <c r="N719" s="7"/>
      <c r="O719" s="7">
        <f t="shared" si="108"/>
        <v>0</v>
      </c>
      <c r="P719" s="48"/>
    </row>
    <row r="720" spans="2:16" ht="15.75" x14ac:dyDescent="0.25">
      <c r="B720" s="2">
        <f t="shared" si="107"/>
        <v>6.4000000000000128</v>
      </c>
      <c r="C720" s="5" t="s">
        <v>529</v>
      </c>
      <c r="D720" s="7"/>
      <c r="E720" s="7"/>
      <c r="F720" s="10"/>
      <c r="G720" s="10"/>
      <c r="H720" s="10"/>
      <c r="I720" s="10"/>
      <c r="J720" s="7"/>
      <c r="K720" s="7"/>
      <c r="L720" s="7"/>
      <c r="M720" s="7">
        <f t="shared" ref="M720:M733" si="111">SUM(D720:L720)</f>
        <v>0</v>
      </c>
      <c r="N720" s="7"/>
      <c r="O720" s="7">
        <f t="shared" si="108"/>
        <v>6.4000000000000128</v>
      </c>
      <c r="P720" s="48"/>
    </row>
    <row r="721" spans="2:16" ht="15.75" x14ac:dyDescent="0.25">
      <c r="B721" s="2">
        <f t="shared" si="107"/>
        <v>-52.8</v>
      </c>
      <c r="C721" s="5" t="s">
        <v>41</v>
      </c>
      <c r="D721" s="6"/>
      <c r="E721" s="7"/>
      <c r="F721" s="10"/>
      <c r="G721" s="10"/>
      <c r="H721" s="10"/>
      <c r="I721" s="10"/>
      <c r="J721" s="7"/>
      <c r="K721" s="7"/>
      <c r="L721" s="7"/>
      <c r="M721" s="7">
        <f t="shared" si="111"/>
        <v>0</v>
      </c>
      <c r="N721" s="7"/>
      <c r="O721" s="7">
        <f t="shared" si="108"/>
        <v>-52.8</v>
      </c>
      <c r="P721" s="48"/>
    </row>
    <row r="722" spans="2:16" ht="15.75" x14ac:dyDescent="0.25">
      <c r="B722" s="2">
        <f t="shared" si="107"/>
        <v>26</v>
      </c>
      <c r="C722" s="5" t="s">
        <v>102</v>
      </c>
      <c r="D722" s="7"/>
      <c r="E722" s="7"/>
      <c r="F722" s="10"/>
      <c r="G722" s="10"/>
      <c r="H722" s="10"/>
      <c r="I722" s="10"/>
      <c r="J722" s="7"/>
      <c r="K722" s="7"/>
      <c r="L722" s="7"/>
      <c r="M722" s="7">
        <f t="shared" si="111"/>
        <v>0</v>
      </c>
      <c r="N722" s="7"/>
      <c r="O722" s="7">
        <f t="shared" si="108"/>
        <v>26</v>
      </c>
      <c r="P722" s="48"/>
    </row>
    <row r="723" spans="2:16" ht="15.75" x14ac:dyDescent="0.25">
      <c r="B723" s="2">
        <f t="shared" si="107"/>
        <v>-138.5</v>
      </c>
      <c r="C723" s="5" t="s">
        <v>45</v>
      </c>
      <c r="D723" s="7"/>
      <c r="E723" s="7"/>
      <c r="F723" s="10"/>
      <c r="G723" s="10"/>
      <c r="H723" s="10"/>
      <c r="I723" s="10"/>
      <c r="J723" s="7"/>
      <c r="K723" s="7"/>
      <c r="L723" s="7"/>
      <c r="M723" s="7">
        <f t="shared" si="111"/>
        <v>0</v>
      </c>
      <c r="N723" s="7"/>
      <c r="O723" s="7">
        <f t="shared" si="108"/>
        <v>-138.5</v>
      </c>
      <c r="P723" s="48"/>
    </row>
    <row r="724" spans="2:16" ht="15.75" x14ac:dyDescent="0.25">
      <c r="B724" s="2">
        <f t="shared" si="107"/>
        <v>-94.5</v>
      </c>
      <c r="C724" s="5" t="s">
        <v>46</v>
      </c>
      <c r="D724" s="7"/>
      <c r="E724" s="7"/>
      <c r="F724" s="10"/>
      <c r="G724" s="10"/>
      <c r="H724" s="10"/>
      <c r="I724" s="10"/>
      <c r="J724" s="7"/>
      <c r="K724" s="7"/>
      <c r="L724" s="7"/>
      <c r="M724" s="7">
        <f t="shared" si="111"/>
        <v>0</v>
      </c>
      <c r="N724" s="7"/>
      <c r="O724" s="7">
        <f t="shared" si="108"/>
        <v>-94.5</v>
      </c>
      <c r="P724" s="48"/>
    </row>
    <row r="725" spans="2:16" ht="15.75" x14ac:dyDescent="0.25">
      <c r="B725" s="2">
        <f t="shared" si="107"/>
        <v>-19</v>
      </c>
      <c r="C725" s="5" t="s">
        <v>79</v>
      </c>
      <c r="D725" s="7"/>
      <c r="E725" s="7"/>
      <c r="F725" s="10"/>
      <c r="G725" s="10"/>
      <c r="H725" s="10"/>
      <c r="I725" s="10"/>
      <c r="J725" s="7"/>
      <c r="K725" s="7"/>
      <c r="L725" s="7"/>
      <c r="M725" s="7">
        <f t="shared" si="111"/>
        <v>0</v>
      </c>
      <c r="N725" s="7"/>
      <c r="O725" s="7">
        <f t="shared" si="108"/>
        <v>-19</v>
      </c>
      <c r="P725" s="48"/>
    </row>
    <row r="726" spans="2:16" ht="15.75" x14ac:dyDescent="0.25">
      <c r="B726" s="2">
        <f t="shared" si="107"/>
        <v>1</v>
      </c>
      <c r="C726" s="5" t="s">
        <v>261</v>
      </c>
      <c r="D726" s="7"/>
      <c r="E726" s="6"/>
      <c r="F726" s="10"/>
      <c r="G726" s="10"/>
      <c r="H726" s="10"/>
      <c r="I726" s="10"/>
      <c r="J726" s="7"/>
      <c r="K726" s="7"/>
      <c r="L726" s="7"/>
      <c r="M726" s="7">
        <f t="shared" si="111"/>
        <v>0</v>
      </c>
      <c r="N726" s="7"/>
      <c r="O726" s="7">
        <f t="shared" si="108"/>
        <v>1</v>
      </c>
      <c r="P726" s="48"/>
    </row>
    <row r="727" spans="2:16" ht="15.75" x14ac:dyDescent="0.25">
      <c r="B727" s="2">
        <f t="shared" si="107"/>
        <v>-1057.8999999999996</v>
      </c>
      <c r="C727" s="5" t="s">
        <v>103</v>
      </c>
      <c r="D727" s="6"/>
      <c r="E727" s="7"/>
      <c r="F727" s="10"/>
      <c r="G727" s="10"/>
      <c r="H727" s="10"/>
      <c r="I727" s="10"/>
      <c r="J727" s="7"/>
      <c r="K727" s="7"/>
      <c r="L727" s="7"/>
      <c r="M727" s="7">
        <f t="shared" si="111"/>
        <v>0</v>
      </c>
      <c r="N727" s="7">
        <f>100+150</f>
        <v>250</v>
      </c>
      <c r="O727" s="7">
        <f t="shared" si="108"/>
        <v>-807.89999999999964</v>
      </c>
      <c r="P727" s="48" t="s">
        <v>563</v>
      </c>
    </row>
    <row r="728" spans="2:16" ht="15.75" x14ac:dyDescent="0.25">
      <c r="B728" s="2">
        <f t="shared" si="107"/>
        <v>0</v>
      </c>
      <c r="C728" s="5" t="s">
        <v>211</v>
      </c>
      <c r="D728" s="6"/>
      <c r="E728" s="7">
        <v>26</v>
      </c>
      <c r="F728" s="47"/>
      <c r="G728" s="10"/>
      <c r="H728" s="10"/>
      <c r="I728" s="10"/>
      <c r="J728" s="7"/>
      <c r="K728" s="7"/>
      <c r="L728" s="7"/>
      <c r="M728" s="7">
        <f t="shared" si="111"/>
        <v>26</v>
      </c>
      <c r="N728" s="7"/>
      <c r="O728" s="7">
        <f t="shared" si="108"/>
        <v>-26</v>
      </c>
      <c r="P728" s="48"/>
    </row>
    <row r="729" spans="2:16" ht="15.75" x14ac:dyDescent="0.25">
      <c r="B729" s="2">
        <f t="shared" si="107"/>
        <v>0</v>
      </c>
      <c r="C729" s="5" t="s">
        <v>139</v>
      </c>
      <c r="D729" s="7"/>
      <c r="E729" s="7">
        <v>52</v>
      </c>
      <c r="F729" s="47"/>
      <c r="G729" s="10"/>
      <c r="H729" s="10"/>
      <c r="I729" s="10"/>
      <c r="J729" s="7"/>
      <c r="K729" s="7"/>
      <c r="L729" s="7"/>
      <c r="M729" s="7">
        <f t="shared" si="111"/>
        <v>52</v>
      </c>
      <c r="N729" s="7"/>
      <c r="O729" s="7">
        <f t="shared" si="108"/>
        <v>-52</v>
      </c>
      <c r="P729" s="48"/>
    </row>
    <row r="730" spans="2:16" ht="15.75" x14ac:dyDescent="0.25">
      <c r="B730" s="2">
        <f t="shared" si="107"/>
        <v>-15</v>
      </c>
      <c r="C730" s="5" t="s">
        <v>31</v>
      </c>
      <c r="D730" s="7"/>
      <c r="E730" s="7"/>
      <c r="F730" s="10"/>
      <c r="G730" s="10"/>
      <c r="H730" s="10"/>
      <c r="I730" s="10"/>
      <c r="J730" s="7"/>
      <c r="K730" s="7"/>
      <c r="L730" s="7"/>
      <c r="M730" s="7">
        <f t="shared" si="111"/>
        <v>0</v>
      </c>
      <c r="N730" s="7"/>
      <c r="O730" s="7">
        <f t="shared" si="108"/>
        <v>-15</v>
      </c>
      <c r="P730" s="48"/>
    </row>
    <row r="731" spans="2:16" ht="15.75" x14ac:dyDescent="0.25">
      <c r="B731" s="2">
        <f t="shared" si="107"/>
        <v>0</v>
      </c>
      <c r="C731" s="5"/>
      <c r="D731" s="7"/>
      <c r="E731" s="7"/>
      <c r="F731" s="10"/>
      <c r="G731" s="10"/>
      <c r="H731" s="10"/>
      <c r="I731" s="10"/>
      <c r="J731" s="7"/>
      <c r="K731" s="7"/>
      <c r="L731" s="7"/>
      <c r="M731" s="7">
        <f t="shared" si="111"/>
        <v>0</v>
      </c>
      <c r="N731" s="7"/>
      <c r="O731" s="7">
        <f t="shared" si="108"/>
        <v>0</v>
      </c>
      <c r="P731" s="48"/>
    </row>
    <row r="732" spans="2:16" ht="15.75" x14ac:dyDescent="0.25">
      <c r="B732" s="2">
        <f t="shared" si="107"/>
        <v>0</v>
      </c>
      <c r="C732" s="5"/>
      <c r="D732" s="7"/>
      <c r="E732" s="7"/>
      <c r="F732" s="10"/>
      <c r="G732" s="10"/>
      <c r="H732" s="10"/>
      <c r="I732" s="10"/>
      <c r="J732" s="7"/>
      <c r="K732" s="7"/>
      <c r="L732" s="7"/>
      <c r="M732" s="7">
        <f t="shared" si="111"/>
        <v>0</v>
      </c>
      <c r="N732" s="7"/>
      <c r="O732" s="7">
        <f t="shared" si="108"/>
        <v>0</v>
      </c>
      <c r="P732" s="48"/>
    </row>
    <row r="733" spans="2:16" ht="15.75" x14ac:dyDescent="0.25">
      <c r="B733" s="2">
        <f t="shared" si="107"/>
        <v>0</v>
      </c>
      <c r="C733" s="5" t="s">
        <v>19</v>
      </c>
      <c r="D733" s="7"/>
      <c r="E733" s="7">
        <f>30+117</f>
        <v>147</v>
      </c>
      <c r="F733" s="10"/>
      <c r="G733" s="10"/>
      <c r="H733" s="10"/>
      <c r="I733" s="10"/>
      <c r="J733" s="7"/>
      <c r="K733" s="7"/>
      <c r="L733" s="7"/>
      <c r="M733" s="7">
        <f t="shared" si="111"/>
        <v>147</v>
      </c>
      <c r="N733" s="7">
        <v>117</v>
      </c>
      <c r="O733" s="7">
        <f t="shared" si="108"/>
        <v>-30</v>
      </c>
      <c r="P733" s="48">
        <v>3</v>
      </c>
    </row>
    <row r="734" spans="2:16" ht="15.75" x14ac:dyDescent="0.25">
      <c r="B734" s="2">
        <f t="shared" si="107"/>
        <v>7</v>
      </c>
      <c r="C734" s="5" t="s">
        <v>136</v>
      </c>
      <c r="D734" s="7"/>
      <c r="E734" s="7"/>
      <c r="F734" s="10"/>
      <c r="G734" s="10"/>
      <c r="H734" s="10"/>
      <c r="I734" s="10"/>
      <c r="J734" s="7"/>
      <c r="K734" s="7"/>
      <c r="L734" s="7"/>
      <c r="M734" s="7">
        <f>SUM(D734:L734)</f>
        <v>0</v>
      </c>
      <c r="N734" s="7"/>
      <c r="O734" s="8">
        <f t="shared" si="108"/>
        <v>7</v>
      </c>
      <c r="P734" s="48"/>
    </row>
    <row r="735" spans="2:16" ht="15.75" x14ac:dyDescent="0.25">
      <c r="B735" s="2">
        <f t="shared" si="107"/>
        <v>-70</v>
      </c>
      <c r="C735" s="5" t="s">
        <v>111</v>
      </c>
      <c r="D735" s="6"/>
      <c r="E735" s="7"/>
      <c r="F735" s="10"/>
      <c r="G735" s="10"/>
      <c r="H735" s="10"/>
      <c r="I735" s="10"/>
      <c r="J735" s="7"/>
      <c r="K735" s="7"/>
      <c r="L735" s="7"/>
      <c r="M735" s="7">
        <f t="shared" ref="M735:M738" si="112">SUM(D735:L735)</f>
        <v>0</v>
      </c>
      <c r="N735" s="7"/>
      <c r="O735" s="7">
        <f t="shared" si="108"/>
        <v>-70</v>
      </c>
      <c r="P735" s="48"/>
    </row>
    <row r="736" spans="2:16" ht="15.75" x14ac:dyDescent="0.25">
      <c r="B736" s="2">
        <f t="shared" si="107"/>
        <v>-103</v>
      </c>
      <c r="C736" s="5" t="s">
        <v>428</v>
      </c>
      <c r="D736" s="6"/>
      <c r="E736" s="7"/>
      <c r="F736" s="10"/>
      <c r="G736" s="10"/>
      <c r="H736" s="10"/>
      <c r="I736" s="10"/>
      <c r="J736" s="7"/>
      <c r="K736" s="7"/>
      <c r="L736" s="7"/>
      <c r="M736" s="7">
        <f t="shared" si="112"/>
        <v>0</v>
      </c>
      <c r="N736" s="7">
        <f>25+26+52</f>
        <v>103</v>
      </c>
      <c r="O736" s="7">
        <f t="shared" si="108"/>
        <v>0</v>
      </c>
      <c r="P736" s="48">
        <v>7</v>
      </c>
    </row>
    <row r="737" spans="2:16" ht="15.75" x14ac:dyDescent="0.25">
      <c r="B737" s="2">
        <f t="shared" si="107"/>
        <v>0</v>
      </c>
      <c r="C737" s="5" t="s">
        <v>115</v>
      </c>
      <c r="D737" s="6"/>
      <c r="E737" s="7"/>
      <c r="F737" s="10"/>
      <c r="G737" s="10"/>
      <c r="H737" s="10"/>
      <c r="I737" s="10"/>
      <c r="J737" s="7"/>
      <c r="K737" s="7"/>
      <c r="L737" s="7"/>
      <c r="M737" s="7">
        <f t="shared" si="112"/>
        <v>0</v>
      </c>
      <c r="N737" s="7"/>
      <c r="O737" s="7">
        <f t="shared" si="108"/>
        <v>0</v>
      </c>
      <c r="P737" s="48"/>
    </row>
    <row r="738" spans="2:16" ht="15.75" x14ac:dyDescent="0.25">
      <c r="B738" s="2">
        <f t="shared" si="107"/>
        <v>0</v>
      </c>
      <c r="C738" s="5"/>
      <c r="D738" s="7"/>
      <c r="E738" s="7"/>
      <c r="F738" s="10"/>
      <c r="G738" s="10"/>
      <c r="H738" s="10"/>
      <c r="I738" s="10"/>
      <c r="J738" s="7"/>
      <c r="K738" s="7"/>
      <c r="L738" s="7"/>
      <c r="M738" s="7">
        <f t="shared" si="112"/>
        <v>0</v>
      </c>
      <c r="N738" s="7"/>
      <c r="O738" s="7">
        <f t="shared" si="108"/>
        <v>0</v>
      </c>
      <c r="P738" s="48"/>
    </row>
    <row r="739" spans="2:16" ht="15.75" x14ac:dyDescent="0.25">
      <c r="B739" s="2">
        <f t="shared" si="107"/>
        <v>0</v>
      </c>
      <c r="C739" s="5"/>
      <c r="D739" s="7"/>
      <c r="E739" s="7"/>
      <c r="F739" s="10"/>
      <c r="G739" s="10"/>
      <c r="H739" s="10"/>
      <c r="I739" s="10"/>
      <c r="J739" s="7"/>
      <c r="K739" s="7"/>
      <c r="L739" s="7"/>
      <c r="M739" s="7">
        <f>SUM(D739:L739)</f>
        <v>0</v>
      </c>
      <c r="N739" s="7"/>
      <c r="O739" s="7">
        <f t="shared" si="108"/>
        <v>0</v>
      </c>
      <c r="P739" s="48"/>
    </row>
    <row r="740" spans="2:16" ht="15.75" x14ac:dyDescent="0.25">
      <c r="B740" s="2">
        <f t="shared" si="107"/>
        <v>0</v>
      </c>
      <c r="C740" s="5"/>
      <c r="D740" s="7"/>
      <c r="E740" s="7"/>
      <c r="F740" s="10"/>
      <c r="G740" s="10"/>
      <c r="H740" s="10"/>
      <c r="I740" s="10"/>
      <c r="J740" s="7"/>
      <c r="K740" s="7"/>
      <c r="L740" s="7"/>
      <c r="M740" s="7">
        <f t="shared" ref="M740:M748" si="113">SUM(D740:L740)</f>
        <v>0</v>
      </c>
      <c r="N740" s="7"/>
      <c r="O740" s="7">
        <f t="shared" si="108"/>
        <v>0</v>
      </c>
      <c r="P740" s="48"/>
    </row>
    <row r="741" spans="2:16" ht="15.75" x14ac:dyDescent="0.25">
      <c r="B741" s="2">
        <f t="shared" si="107"/>
        <v>67.099999999999994</v>
      </c>
      <c r="C741" s="5" t="s">
        <v>559</v>
      </c>
      <c r="D741" s="7">
        <v>67.099999999999994</v>
      </c>
      <c r="E741" s="7"/>
      <c r="F741" s="10"/>
      <c r="G741" s="10"/>
      <c r="H741" s="10"/>
      <c r="I741" s="10"/>
      <c r="J741" s="7"/>
      <c r="K741" s="7"/>
      <c r="L741" s="7"/>
      <c r="M741" s="7">
        <f t="shared" si="113"/>
        <v>67.099999999999994</v>
      </c>
      <c r="N741" s="7"/>
      <c r="O741" s="7">
        <f t="shared" si="108"/>
        <v>0</v>
      </c>
      <c r="P741" s="48"/>
    </row>
    <row r="742" spans="2:16" ht="15.75" x14ac:dyDescent="0.25">
      <c r="B742" s="2">
        <f t="shared" si="107"/>
        <v>0</v>
      </c>
      <c r="C742" s="5"/>
      <c r="D742" s="7"/>
      <c r="E742" s="7"/>
      <c r="F742" s="10"/>
      <c r="G742" s="10"/>
      <c r="H742" s="10"/>
      <c r="I742" s="10"/>
      <c r="J742" s="7"/>
      <c r="K742" s="7"/>
      <c r="L742" s="7"/>
      <c r="M742" s="7">
        <f t="shared" si="113"/>
        <v>0</v>
      </c>
      <c r="N742" s="7"/>
      <c r="O742" s="7">
        <f t="shared" si="108"/>
        <v>0</v>
      </c>
      <c r="P742" s="48"/>
    </row>
    <row r="743" spans="2:16" ht="15.75" x14ac:dyDescent="0.25">
      <c r="B743" s="2">
        <f t="shared" si="107"/>
        <v>-26</v>
      </c>
      <c r="C743" s="5" t="s">
        <v>523</v>
      </c>
      <c r="D743" s="7"/>
      <c r="E743" s="7"/>
      <c r="F743" s="10"/>
      <c r="G743" s="10"/>
      <c r="H743" s="10"/>
      <c r="I743" s="10"/>
      <c r="J743" s="7"/>
      <c r="K743" s="7"/>
      <c r="L743" s="7"/>
      <c r="M743" s="7">
        <f t="shared" si="113"/>
        <v>0</v>
      </c>
      <c r="N743" s="7"/>
      <c r="O743" s="7">
        <f t="shared" si="108"/>
        <v>-26</v>
      </c>
      <c r="P743" s="48"/>
    </row>
    <row r="744" spans="2:16" ht="15.75" x14ac:dyDescent="0.25">
      <c r="B744" s="2">
        <f t="shared" si="107"/>
        <v>0</v>
      </c>
      <c r="C744" s="5"/>
      <c r="D744" s="7"/>
      <c r="E744" s="7"/>
      <c r="F744" s="10"/>
      <c r="G744" s="10"/>
      <c r="H744" s="10"/>
      <c r="I744" s="10"/>
      <c r="J744" s="7"/>
      <c r="K744" s="7"/>
      <c r="L744" s="7"/>
      <c r="M744" s="7">
        <f t="shared" si="113"/>
        <v>0</v>
      </c>
      <c r="N744" s="7"/>
      <c r="O744" s="7">
        <f t="shared" si="108"/>
        <v>0</v>
      </c>
      <c r="P744" s="48"/>
    </row>
    <row r="745" spans="2:16" ht="15.75" x14ac:dyDescent="0.25">
      <c r="B745" s="2">
        <f t="shared" si="107"/>
        <v>-6.5999999999999943</v>
      </c>
      <c r="C745" s="5" t="s">
        <v>519</v>
      </c>
      <c r="D745" s="7">
        <v>54</v>
      </c>
      <c r="E745" s="7"/>
      <c r="F745" s="10"/>
      <c r="G745" s="10"/>
      <c r="H745" s="10"/>
      <c r="I745" s="10"/>
      <c r="J745" s="7"/>
      <c r="K745" s="7"/>
      <c r="L745" s="7"/>
      <c r="M745" s="7">
        <f t="shared" si="113"/>
        <v>54</v>
      </c>
      <c r="N745" s="7"/>
      <c r="O745" s="7">
        <f t="shared" si="108"/>
        <v>-60.599999999999994</v>
      </c>
      <c r="P745" s="48"/>
    </row>
    <row r="746" spans="2:16" ht="15.75" x14ac:dyDescent="0.25">
      <c r="B746" s="2">
        <f t="shared" si="107"/>
        <v>-73.8</v>
      </c>
      <c r="C746" s="5" t="s">
        <v>518</v>
      </c>
      <c r="D746" s="7"/>
      <c r="E746" s="7"/>
      <c r="F746" s="10"/>
      <c r="G746" s="10"/>
      <c r="H746" s="10"/>
      <c r="I746" s="10"/>
      <c r="J746" s="7"/>
      <c r="K746" s="7"/>
      <c r="L746" s="7"/>
      <c r="M746" s="7">
        <f t="shared" si="113"/>
        <v>0</v>
      </c>
      <c r="N746" s="7"/>
      <c r="O746" s="7">
        <f t="shared" si="108"/>
        <v>-73.8</v>
      </c>
      <c r="P746" s="48"/>
    </row>
    <row r="747" spans="2:16" ht="15.75" x14ac:dyDescent="0.25">
      <c r="B747" s="2">
        <f t="shared" si="107"/>
        <v>-26</v>
      </c>
      <c r="C747" s="5" t="s">
        <v>135</v>
      </c>
      <c r="D747" s="7"/>
      <c r="E747" s="7"/>
      <c r="F747" s="10"/>
      <c r="G747" s="10"/>
      <c r="H747" s="10"/>
      <c r="I747" s="10"/>
      <c r="J747" s="7"/>
      <c r="K747" s="7"/>
      <c r="L747" s="7"/>
      <c r="M747" s="7">
        <f t="shared" si="113"/>
        <v>0</v>
      </c>
      <c r="N747" s="7"/>
      <c r="O747" s="7">
        <f>N747+B747-M747</f>
        <v>-26</v>
      </c>
      <c r="P747" s="48"/>
    </row>
    <row r="748" spans="2:16" ht="15.75" x14ac:dyDescent="0.25">
      <c r="B748" s="2">
        <f t="shared" si="107"/>
        <v>4.1999999999999993</v>
      </c>
      <c r="C748" s="5" t="s">
        <v>120</v>
      </c>
      <c r="D748" s="7"/>
      <c r="E748" s="7"/>
      <c r="F748" s="10"/>
      <c r="G748" s="10"/>
      <c r="H748" s="10"/>
      <c r="I748" s="10"/>
      <c r="J748" s="7"/>
      <c r="K748" s="7"/>
      <c r="L748" s="7"/>
      <c r="M748" s="7">
        <f t="shared" si="113"/>
        <v>0</v>
      </c>
      <c r="N748" s="7"/>
      <c r="O748" s="7">
        <f>N748+B748-M748</f>
        <v>4.1999999999999993</v>
      </c>
      <c r="P748" s="48"/>
    </row>
    <row r="749" spans="2:16" ht="15.75" x14ac:dyDescent="0.25">
      <c r="B749" s="2">
        <f t="shared" si="107"/>
        <v>-3786.7500000000005</v>
      </c>
      <c r="C749" s="6" t="s">
        <v>104</v>
      </c>
      <c r="D749" s="7">
        <f t="shared" ref="D749" si="114">SUM(D691:D747)</f>
        <v>164.2</v>
      </c>
      <c r="E749" s="7">
        <f>SUM(E691:E747)</f>
        <v>276</v>
      </c>
      <c r="F749" s="7">
        <f t="shared" ref="F749" si="115">SUM(F691:F747)</f>
        <v>50</v>
      </c>
      <c r="G749" s="7">
        <f>SUM(G691:G747)</f>
        <v>0</v>
      </c>
      <c r="H749" s="7">
        <f t="shared" ref="H749" si="116">SUM(H691:H747)</f>
        <v>0</v>
      </c>
      <c r="I749" s="7">
        <f>SUM(I691:I748)</f>
        <v>0</v>
      </c>
      <c r="J749" s="7">
        <f>SUM(J691:J748)</f>
        <v>0</v>
      </c>
      <c r="K749" s="7">
        <f>SUM(K691:K748)</f>
        <v>0</v>
      </c>
      <c r="L749" s="7">
        <f t="shared" ref="L749" si="117">SUM(L691:L747)</f>
        <v>0</v>
      </c>
      <c r="M749" s="7">
        <f>SUM(M691:M748)</f>
        <v>490.20000000000005</v>
      </c>
      <c r="N749" s="15">
        <f>SUM(N691:N748)</f>
        <v>567</v>
      </c>
      <c r="O749" s="7">
        <f>SUM(O691:O748)</f>
        <v>-3709.95</v>
      </c>
      <c r="P749" s="43"/>
    </row>
  </sheetData>
  <mergeCells count="65">
    <mergeCell ref="B689:B690"/>
    <mergeCell ref="C689:C690"/>
    <mergeCell ref="M689:M690"/>
    <mergeCell ref="N689:N690"/>
    <mergeCell ref="O689:O690"/>
    <mergeCell ref="B496:B497"/>
    <mergeCell ref="C496:C497"/>
    <mergeCell ref="M496:M497"/>
    <mergeCell ref="N496:N497"/>
    <mergeCell ref="O496:O497"/>
    <mergeCell ref="B432:B433"/>
    <mergeCell ref="C432:C433"/>
    <mergeCell ref="M432:M433"/>
    <mergeCell ref="N432:N433"/>
    <mergeCell ref="O432:O433"/>
    <mergeCell ref="B369:B370"/>
    <mergeCell ref="C369:C370"/>
    <mergeCell ref="M369:M370"/>
    <mergeCell ref="N369:N370"/>
    <mergeCell ref="O369:O370"/>
    <mergeCell ref="B306:B307"/>
    <mergeCell ref="C306:C307"/>
    <mergeCell ref="M306:M307"/>
    <mergeCell ref="N306:N307"/>
    <mergeCell ref="O306:O307"/>
    <mergeCell ref="B186:B187"/>
    <mergeCell ref="C186:C187"/>
    <mergeCell ref="M186:M187"/>
    <mergeCell ref="N186:N187"/>
    <mergeCell ref="O186:O187"/>
    <mergeCell ref="B3:B4"/>
    <mergeCell ref="C3:C4"/>
    <mergeCell ref="M3:M4"/>
    <mergeCell ref="N3:N4"/>
    <mergeCell ref="O3:O4"/>
    <mergeCell ref="B60:J60"/>
    <mergeCell ref="L60:L61"/>
    <mergeCell ref="M60:M61"/>
    <mergeCell ref="N60:N61"/>
    <mergeCell ref="C61:D61"/>
    <mergeCell ref="B67:B68"/>
    <mergeCell ref="C67:C68"/>
    <mergeCell ref="M67:M68"/>
    <mergeCell ref="N67:N68"/>
    <mergeCell ref="O67:O68"/>
    <mergeCell ref="B126:B127"/>
    <mergeCell ref="C126:C127"/>
    <mergeCell ref="M126:M127"/>
    <mergeCell ref="N126:N127"/>
    <mergeCell ref="O126:O127"/>
    <mergeCell ref="B246:B247"/>
    <mergeCell ref="C246:C247"/>
    <mergeCell ref="M246:M247"/>
    <mergeCell ref="N246:N247"/>
    <mergeCell ref="O246:O247"/>
    <mergeCell ref="B561:B562"/>
    <mergeCell ref="C561:C562"/>
    <mergeCell ref="M561:M562"/>
    <mergeCell ref="N561:N562"/>
    <mergeCell ref="O561:O562"/>
    <mergeCell ref="B626:B627"/>
    <mergeCell ref="C626:C627"/>
    <mergeCell ref="M626:M627"/>
    <mergeCell ref="N626:N627"/>
    <mergeCell ref="O626:O627"/>
  </mergeCells>
  <pageMargins left="0" right="0" top="0.94488188976377963" bottom="0.35433070866141736" header="0.31496062992125984" footer="0.31496062992125984"/>
  <pageSetup paperSize="9" orientation="landscape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T251"/>
  <sheetViews>
    <sheetView topLeftCell="A175" workbookViewId="0">
      <selection activeCell="N249" sqref="N249"/>
    </sheetView>
  </sheetViews>
  <sheetFormatPr defaultRowHeight="15" x14ac:dyDescent="0.25"/>
  <cols>
    <col min="1" max="1" width="9.42578125" customWidth="1"/>
    <col min="2" max="2" width="18.85546875" customWidth="1"/>
    <col min="3" max="3" width="7.42578125" customWidth="1"/>
    <col min="4" max="4" width="7.5703125" customWidth="1"/>
    <col min="5" max="5" width="8" customWidth="1"/>
    <col min="6" max="6" width="7.85546875" customWidth="1"/>
    <col min="7" max="7" width="7.140625" customWidth="1"/>
    <col min="8" max="9" width="7" customWidth="1"/>
    <col min="10" max="11" width="7.140625" customWidth="1"/>
    <col min="12" max="12" width="8.5703125" customWidth="1"/>
    <col min="13" max="13" width="8.28515625" customWidth="1"/>
    <col min="14" max="14" width="13.140625" customWidth="1"/>
  </cols>
  <sheetData>
    <row r="4" spans="1:18" ht="15.75" customHeight="1" x14ac:dyDescent="0.25">
      <c r="A4" s="70" t="str">
        <f>[1]Лист1!N2</f>
        <v>Итого на 30 сентября</v>
      </c>
      <c r="B4" s="70" t="s">
        <v>75</v>
      </c>
      <c r="C4" s="66" t="s">
        <v>67</v>
      </c>
      <c r="D4" s="67"/>
      <c r="E4" s="67"/>
      <c r="F4" s="67"/>
      <c r="G4" s="67"/>
      <c r="H4" s="67"/>
      <c r="I4" s="72"/>
      <c r="J4" s="6"/>
      <c r="K4" s="6"/>
      <c r="L4" s="70" t="s">
        <v>68</v>
      </c>
      <c r="M4" s="73" t="s">
        <v>69</v>
      </c>
      <c r="N4" s="70" t="s">
        <v>76</v>
      </c>
    </row>
    <row r="5" spans="1:18" ht="15.75" x14ac:dyDescent="0.25">
      <c r="A5" s="71"/>
      <c r="B5" s="71"/>
      <c r="C5" s="6">
        <v>76</v>
      </c>
      <c r="D5" s="6">
        <v>77</v>
      </c>
      <c r="E5" s="6">
        <v>78</v>
      </c>
      <c r="F5" s="6">
        <v>79</v>
      </c>
      <c r="G5" s="6">
        <v>80</v>
      </c>
      <c r="H5" s="6">
        <v>81</v>
      </c>
      <c r="I5" s="6">
        <v>82</v>
      </c>
      <c r="J5" s="6">
        <v>83</v>
      </c>
      <c r="K5" s="6">
        <v>84</v>
      </c>
      <c r="L5" s="71"/>
      <c r="M5" s="74"/>
      <c r="N5" s="71"/>
    </row>
    <row r="6" spans="1:18" ht="15.75" x14ac:dyDescent="0.25">
      <c r="A6" s="1">
        <f>[1]Лист1!N4</f>
        <v>-42.8</v>
      </c>
      <c r="B6" s="4" t="s">
        <v>0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>
        <f t="shared" ref="N6:N14" si="0">M6+A6-L6</f>
        <v>-42.8</v>
      </c>
    </row>
    <row r="7" spans="1:18" ht="15.75" x14ac:dyDescent="0.25">
      <c r="A7" s="1">
        <f>[1]Лист1!N5</f>
        <v>-13</v>
      </c>
      <c r="B7" s="4" t="s">
        <v>1</v>
      </c>
      <c r="C7" s="7"/>
      <c r="D7" s="7">
        <v>21</v>
      </c>
      <c r="E7" s="7"/>
      <c r="F7" s="6"/>
      <c r="G7" s="6"/>
      <c r="H7" s="6"/>
      <c r="I7" s="6"/>
      <c r="J7" s="6"/>
      <c r="K7" s="6"/>
      <c r="L7" s="7">
        <f>SUM(C7:K7)</f>
        <v>21</v>
      </c>
      <c r="M7" s="11">
        <f>13+21</f>
        <v>34</v>
      </c>
      <c r="N7" s="7">
        <f t="shared" si="0"/>
        <v>0</v>
      </c>
    </row>
    <row r="8" spans="1:18" ht="15.75" x14ac:dyDescent="0.25">
      <c r="A8" s="1">
        <f>[1]Лист1!N6</f>
        <v>-65.599999999999994</v>
      </c>
      <c r="B8" s="4" t="s">
        <v>2</v>
      </c>
      <c r="C8" s="6"/>
      <c r="D8" s="6"/>
      <c r="E8" s="6"/>
      <c r="F8" s="7">
        <v>9</v>
      </c>
      <c r="G8" s="6"/>
      <c r="H8" s="6"/>
      <c r="I8" s="6"/>
      <c r="J8" s="6"/>
      <c r="K8" s="6"/>
      <c r="L8" s="7">
        <f>SUM(C8:K8)</f>
        <v>9</v>
      </c>
      <c r="M8" s="6"/>
      <c r="N8" s="7">
        <f t="shared" si="0"/>
        <v>-74.599999999999994</v>
      </c>
      <c r="P8" t="s">
        <v>74</v>
      </c>
    </row>
    <row r="9" spans="1:18" ht="15.75" x14ac:dyDescent="0.25">
      <c r="A9" s="1">
        <f>[1]Лист1!N7</f>
        <v>-25.8</v>
      </c>
      <c r="B9" s="4" t="s">
        <v>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7">
        <f t="shared" si="0"/>
        <v>-25.8</v>
      </c>
    </row>
    <row r="10" spans="1:18" ht="15.75" x14ac:dyDescent="0.25">
      <c r="A10" s="1">
        <f>[1]Лист1!N8</f>
        <v>-70</v>
      </c>
      <c r="B10" s="4" t="s">
        <v>4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7">
        <f t="shared" si="0"/>
        <v>-70</v>
      </c>
    </row>
    <row r="11" spans="1:18" ht="15.75" x14ac:dyDescent="0.25">
      <c r="A11" s="1">
        <f>[1]Лист1!N9</f>
        <v>-219.1</v>
      </c>
      <c r="B11" s="4" t="s">
        <v>5</v>
      </c>
      <c r="C11" s="6"/>
      <c r="D11" s="6"/>
      <c r="E11" s="6"/>
      <c r="F11" s="6"/>
      <c r="G11" s="6"/>
      <c r="H11" s="7">
        <v>13</v>
      </c>
      <c r="I11" s="6"/>
      <c r="J11" s="6"/>
      <c r="K11" s="6"/>
      <c r="L11" s="7">
        <f>SUM(C11:K11)</f>
        <v>13</v>
      </c>
      <c r="M11" s="6"/>
      <c r="N11" s="7">
        <f t="shared" si="0"/>
        <v>-232.1</v>
      </c>
    </row>
    <row r="12" spans="1:18" ht="15.75" x14ac:dyDescent="0.25">
      <c r="A12" s="1">
        <f>[1]Лист1!N10</f>
        <v>-53.1</v>
      </c>
      <c r="B12" s="4" t="s">
        <v>6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7">
        <f t="shared" si="0"/>
        <v>-53.1</v>
      </c>
      <c r="R12" t="s">
        <v>74</v>
      </c>
    </row>
    <row r="13" spans="1:18" ht="15.75" customHeight="1" x14ac:dyDescent="0.25">
      <c r="A13" s="1">
        <f>[1]Лист1!N11</f>
        <v>-112</v>
      </c>
      <c r="B13" s="4" t="s">
        <v>7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7">
        <f t="shared" si="0"/>
        <v>-112</v>
      </c>
    </row>
    <row r="14" spans="1:18" ht="15.75" customHeight="1" x14ac:dyDescent="0.25">
      <c r="A14" s="1">
        <f>[1]Лист1!N12</f>
        <v>-173.6</v>
      </c>
      <c r="B14" s="4" t="s">
        <v>8</v>
      </c>
      <c r="C14" s="6"/>
      <c r="D14" s="6"/>
      <c r="E14" s="7">
        <v>13</v>
      </c>
      <c r="F14" s="6"/>
      <c r="G14" s="6"/>
      <c r="H14" s="6"/>
      <c r="I14" s="7">
        <v>26</v>
      </c>
      <c r="J14" s="6"/>
      <c r="K14" s="7">
        <v>13</v>
      </c>
      <c r="L14" s="7">
        <f>SUM(C14:K14)</f>
        <v>52</v>
      </c>
      <c r="M14" s="6"/>
      <c r="N14" s="7">
        <f t="shared" si="0"/>
        <v>-225.6</v>
      </c>
    </row>
    <row r="15" spans="1:18" ht="15.75" customHeight="1" x14ac:dyDescent="0.25">
      <c r="A15" s="1">
        <f>[1]Лист1!N13</f>
        <v>-19.11</v>
      </c>
      <c r="B15" s="4"/>
      <c r="C15" s="6"/>
      <c r="D15" s="6"/>
      <c r="E15" s="7"/>
      <c r="F15" s="6"/>
      <c r="G15" s="6"/>
      <c r="H15" s="6"/>
      <c r="I15" s="6"/>
      <c r="J15" s="7"/>
      <c r="K15" s="7"/>
      <c r="L15" s="7"/>
      <c r="M15" s="6"/>
      <c r="N15" s="7">
        <v>-19.11</v>
      </c>
    </row>
    <row r="16" spans="1:18" ht="15.75" x14ac:dyDescent="0.25">
      <c r="A16" s="1">
        <f>[1]Лист1!N14</f>
        <v>-1376.8</v>
      </c>
      <c r="B16" s="4" t="s">
        <v>9</v>
      </c>
      <c r="C16" s="6"/>
      <c r="D16" s="6"/>
      <c r="E16" s="6"/>
      <c r="F16" s="7">
        <v>9.1</v>
      </c>
      <c r="G16" s="7"/>
      <c r="H16" s="6"/>
      <c r="I16" s="6"/>
      <c r="J16" s="6"/>
      <c r="K16" s="6"/>
      <c r="L16" s="7">
        <f>SUM(C16:K16)</f>
        <v>9.1</v>
      </c>
      <c r="M16" s="6"/>
      <c r="N16" s="7">
        <f t="shared" ref="N16:N26" si="1">M16+A16-L16</f>
        <v>-1385.8999999999999</v>
      </c>
    </row>
    <row r="17" spans="1:14" ht="15.75" x14ac:dyDescent="0.25">
      <c r="A17" s="1">
        <f>[1]Лист1!N15</f>
        <v>-283.39999999999998</v>
      </c>
      <c r="B17" s="4" t="s">
        <v>10</v>
      </c>
      <c r="C17" s="7"/>
      <c r="D17" s="7"/>
      <c r="E17" s="7"/>
      <c r="F17" s="7"/>
      <c r="G17" s="7"/>
      <c r="H17" s="7">
        <v>7</v>
      </c>
      <c r="I17" s="7"/>
      <c r="J17" s="7"/>
      <c r="K17" s="7"/>
      <c r="L17" s="7">
        <f>SUM(C17:K17)</f>
        <v>7</v>
      </c>
      <c r="M17" s="12">
        <v>7</v>
      </c>
      <c r="N17" s="7">
        <f>M17+A17-L17</f>
        <v>-283.39999999999998</v>
      </c>
    </row>
    <row r="18" spans="1:14" ht="15.75" x14ac:dyDescent="0.25">
      <c r="A18" s="1">
        <f>[1]Лист1!N16</f>
        <v>-13</v>
      </c>
      <c r="B18" s="4" t="s">
        <v>11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>
        <f t="shared" si="1"/>
        <v>-13</v>
      </c>
    </row>
    <row r="19" spans="1:14" ht="15.75" x14ac:dyDescent="0.25">
      <c r="A19" s="1">
        <f>[1]Лист1!N17</f>
        <v>-260</v>
      </c>
      <c r="B19" s="4" t="s">
        <v>12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>
        <f t="shared" si="1"/>
        <v>-260</v>
      </c>
    </row>
    <row r="20" spans="1:14" ht="15.75" x14ac:dyDescent="0.25">
      <c r="A20" s="1">
        <f>[1]Лист1!N18</f>
        <v>0</v>
      </c>
      <c r="B20" s="4" t="s">
        <v>13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>
        <f t="shared" si="1"/>
        <v>0</v>
      </c>
    </row>
    <row r="21" spans="1:14" ht="15.75" x14ac:dyDescent="0.25">
      <c r="A21" s="1">
        <f>[1]Лист1!N19</f>
        <v>-8</v>
      </c>
      <c r="B21" s="4" t="s">
        <v>14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8">
        <f t="shared" si="1"/>
        <v>-8</v>
      </c>
    </row>
    <row r="22" spans="1:14" ht="15.75" x14ac:dyDescent="0.25">
      <c r="A22" s="1">
        <f>[1]Лист1!N20</f>
        <v>10</v>
      </c>
      <c r="B22" s="4" t="s">
        <v>15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7">
        <f t="shared" si="1"/>
        <v>10</v>
      </c>
    </row>
    <row r="23" spans="1:14" ht="15.75" x14ac:dyDescent="0.25">
      <c r="A23" s="1">
        <f>[1]Лист1!N21</f>
        <v>39.1</v>
      </c>
      <c r="B23" s="4" t="s">
        <v>16</v>
      </c>
      <c r="C23" s="7">
        <v>13</v>
      </c>
      <c r="D23" s="6"/>
      <c r="E23" s="6"/>
      <c r="F23" s="6"/>
      <c r="G23" s="6"/>
      <c r="H23" s="6"/>
      <c r="I23" s="6"/>
      <c r="J23" s="6"/>
      <c r="K23" s="6"/>
      <c r="L23" s="7">
        <f>SUM(C23:K23)</f>
        <v>13</v>
      </c>
      <c r="M23" s="6"/>
      <c r="N23" s="7">
        <f t="shared" si="1"/>
        <v>26.1</v>
      </c>
    </row>
    <row r="24" spans="1:14" ht="15.75" x14ac:dyDescent="0.25">
      <c r="A24" s="1">
        <f>[1]Лист1!N22</f>
        <v>-261.8</v>
      </c>
      <c r="B24" s="4" t="s">
        <v>17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11">
        <v>261.8</v>
      </c>
      <c r="N24" s="7">
        <f t="shared" si="1"/>
        <v>0</v>
      </c>
    </row>
    <row r="25" spans="1:14" ht="15.75" x14ac:dyDescent="0.25">
      <c r="A25" s="1">
        <f>[1]Лист1!N23</f>
        <v>-7</v>
      </c>
      <c r="B25" s="4" t="s">
        <v>18</v>
      </c>
      <c r="C25" s="7"/>
      <c r="D25" s="7"/>
      <c r="E25" s="7"/>
      <c r="F25" s="7">
        <v>18.5</v>
      </c>
      <c r="G25" s="7"/>
      <c r="H25" s="7"/>
      <c r="I25" s="7"/>
      <c r="J25" s="7"/>
      <c r="K25" s="7"/>
      <c r="L25" s="7">
        <f>SUM(C25:K25)</f>
        <v>18.5</v>
      </c>
      <c r="M25" s="7"/>
      <c r="N25" s="7">
        <f t="shared" si="1"/>
        <v>-25.5</v>
      </c>
    </row>
    <row r="26" spans="1:14" ht="15.75" x14ac:dyDescent="0.25">
      <c r="A26" s="1">
        <f>[1]Лист1!N24</f>
        <v>0.5</v>
      </c>
      <c r="B26" s="4" t="s">
        <v>19</v>
      </c>
      <c r="C26" s="7"/>
      <c r="D26" s="7"/>
      <c r="E26" s="7"/>
      <c r="F26" s="7"/>
      <c r="G26" s="7">
        <v>56.7</v>
      </c>
      <c r="H26" s="7"/>
      <c r="I26" s="7"/>
      <c r="J26" s="7"/>
      <c r="K26" s="7"/>
      <c r="L26" s="7">
        <f>SUM(C26:K26)</f>
        <v>56.7</v>
      </c>
      <c r="M26" s="11">
        <v>56.7</v>
      </c>
      <c r="N26" s="7">
        <f t="shared" si="1"/>
        <v>0.5</v>
      </c>
    </row>
    <row r="27" spans="1:14" ht="15.75" x14ac:dyDescent="0.25">
      <c r="A27" s="1">
        <f>[1]Лист1!N25</f>
        <v>0</v>
      </c>
      <c r="B27" s="4" t="s">
        <v>20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1:14" ht="15.75" x14ac:dyDescent="0.25">
      <c r="A28" s="1">
        <f>[1]Лист1!N26</f>
        <v>0</v>
      </c>
      <c r="B28" s="4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1:14" ht="15.75" x14ac:dyDescent="0.25">
      <c r="A29" s="1">
        <f>[1]Лист1!N27</f>
        <v>0</v>
      </c>
      <c r="B29" s="4" t="s">
        <v>21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 ht="15.75" x14ac:dyDescent="0.25">
      <c r="A30" s="1">
        <f>[1]Лист1!N28</f>
        <v>-71.400000000000006</v>
      </c>
      <c r="B30" s="4" t="s">
        <v>22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>
        <f t="shared" ref="N30:N38" si="2">M30+A30-L30</f>
        <v>-71.400000000000006</v>
      </c>
    </row>
    <row r="31" spans="1:14" ht="15.75" x14ac:dyDescent="0.25">
      <c r="A31" s="1">
        <f>[1]Лист1!N29</f>
        <v>-34.500000000000014</v>
      </c>
      <c r="B31" s="4" t="s">
        <v>23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11">
        <v>31.5</v>
      </c>
      <c r="N31" s="7">
        <f t="shared" si="2"/>
        <v>-3.0000000000000142</v>
      </c>
    </row>
    <row r="32" spans="1:14" ht="15.75" x14ac:dyDescent="0.25">
      <c r="A32" s="1">
        <f>[1]Лист1!N30</f>
        <v>-25</v>
      </c>
      <c r="B32" s="4" t="s">
        <v>24</v>
      </c>
      <c r="C32" s="7"/>
      <c r="D32" s="7"/>
      <c r="E32" s="7"/>
      <c r="F32" s="7"/>
      <c r="G32" s="7"/>
      <c r="H32" s="7"/>
      <c r="I32" s="7"/>
      <c r="J32" s="7"/>
      <c r="K32" s="7">
        <v>13</v>
      </c>
      <c r="L32" s="7">
        <f>SUM(C32:K32)</f>
        <v>13</v>
      </c>
      <c r="M32" s="11">
        <v>13</v>
      </c>
      <c r="N32" s="7">
        <f t="shared" si="2"/>
        <v>-25</v>
      </c>
    </row>
    <row r="33" spans="1:14" ht="15.75" x14ac:dyDescent="0.25">
      <c r="A33" s="1">
        <f>[1]Лист1!N31</f>
        <v>-82.6</v>
      </c>
      <c r="B33" s="4" t="s">
        <v>25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>
        <f t="shared" si="2"/>
        <v>-82.6</v>
      </c>
    </row>
    <row r="34" spans="1:14" ht="15.75" x14ac:dyDescent="0.25">
      <c r="A34" s="2">
        <f>[1]Лист1!N32</f>
        <v>-13</v>
      </c>
      <c r="B34" s="5" t="s">
        <v>26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11">
        <v>13</v>
      </c>
      <c r="N34" s="7">
        <f t="shared" si="2"/>
        <v>0</v>
      </c>
    </row>
    <row r="35" spans="1:14" ht="15.75" x14ac:dyDescent="0.25">
      <c r="A35" s="2">
        <f>[1]Лист1!N33</f>
        <v>78.400000000000006</v>
      </c>
      <c r="B35" s="5" t="s">
        <v>27</v>
      </c>
      <c r="C35" s="7"/>
      <c r="D35" s="7"/>
      <c r="E35" s="7"/>
      <c r="F35" s="7"/>
      <c r="G35" s="7"/>
      <c r="H35" s="7"/>
      <c r="I35" s="7">
        <v>14</v>
      </c>
      <c r="J35" s="7"/>
      <c r="K35" s="7">
        <f>16.8+56</f>
        <v>72.8</v>
      </c>
      <c r="L35" s="7">
        <f>SUM(C35:K35)</f>
        <v>86.8</v>
      </c>
      <c r="M35" s="7"/>
      <c r="N35" s="7">
        <f t="shared" si="2"/>
        <v>-8.3999999999999915</v>
      </c>
    </row>
    <row r="36" spans="1:14" ht="15.75" x14ac:dyDescent="0.25">
      <c r="A36" s="1">
        <f>[1]Лист1!N34</f>
        <v>-34.4</v>
      </c>
      <c r="B36" s="4" t="s">
        <v>28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>
        <f t="shared" si="2"/>
        <v>-34.4</v>
      </c>
    </row>
    <row r="37" spans="1:14" ht="15.75" x14ac:dyDescent="0.25">
      <c r="A37" s="1">
        <f>[1]Лист1!N35</f>
        <v>-207.3</v>
      </c>
      <c r="B37" s="4" t="s">
        <v>29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>
        <f t="shared" si="2"/>
        <v>-207.3</v>
      </c>
    </row>
    <row r="38" spans="1:14" ht="15.75" x14ac:dyDescent="0.25">
      <c r="A38" s="1">
        <f>[1]Лист1!N36</f>
        <v>-64.2</v>
      </c>
      <c r="B38" s="4" t="s">
        <v>30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>
        <f t="shared" si="2"/>
        <v>-64.2</v>
      </c>
    </row>
    <row r="39" spans="1:14" ht="15.75" x14ac:dyDescent="0.25">
      <c r="A39" s="1">
        <f>[1]Лист1!N37</f>
        <v>0</v>
      </c>
      <c r="B39" s="4" t="s">
        <v>31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4" ht="15.75" x14ac:dyDescent="0.25">
      <c r="A40" s="1">
        <f>[1]Лист1!N38</f>
        <v>0</v>
      </c>
      <c r="B40" s="4" t="s">
        <v>32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1:14" ht="15.75" x14ac:dyDescent="0.25">
      <c r="A41" s="1">
        <f>[1]Лист1!N39</f>
        <v>-155.1</v>
      </c>
      <c r="B41" s="4" t="s">
        <v>33</v>
      </c>
      <c r="C41" s="7">
        <f>21+17.5</f>
        <v>38.5</v>
      </c>
      <c r="D41" s="7"/>
      <c r="E41" s="7">
        <v>28</v>
      </c>
      <c r="F41" s="7">
        <v>14</v>
      </c>
      <c r="G41" s="7"/>
      <c r="H41" s="7"/>
      <c r="I41" s="7"/>
      <c r="J41" s="7"/>
      <c r="K41" s="7">
        <f>13+57.4</f>
        <v>70.400000000000006</v>
      </c>
      <c r="L41" s="7">
        <f>SUM(C41:K41)</f>
        <v>150.9</v>
      </c>
      <c r="M41" s="6"/>
      <c r="N41" s="7">
        <f>M41+A41-L41</f>
        <v>-306</v>
      </c>
    </row>
    <row r="42" spans="1:14" ht="15.75" x14ac:dyDescent="0.25">
      <c r="A42" s="1">
        <f>[1]Лист1!N40</f>
        <v>-13</v>
      </c>
      <c r="B42" s="4" t="s">
        <v>34</v>
      </c>
      <c r="C42" s="6"/>
      <c r="D42" s="6"/>
      <c r="E42" s="6"/>
      <c r="F42" s="7"/>
      <c r="G42" s="7"/>
      <c r="H42" s="7"/>
      <c r="I42" s="7"/>
      <c r="J42" s="7"/>
      <c r="K42" s="7"/>
      <c r="L42" s="7"/>
      <c r="M42" s="11">
        <v>13</v>
      </c>
      <c r="N42" s="7">
        <f>M42+A42-L42</f>
        <v>0</v>
      </c>
    </row>
    <row r="43" spans="1:14" ht="15.75" x14ac:dyDescent="0.25">
      <c r="A43" s="1">
        <f>[1]Лист1!N41</f>
        <v>-12.4</v>
      </c>
      <c r="B43" s="4" t="s">
        <v>35</v>
      </c>
      <c r="C43" s="6"/>
      <c r="D43" s="6"/>
      <c r="E43" s="6"/>
      <c r="F43" s="7"/>
      <c r="G43" s="7"/>
      <c r="H43" s="7"/>
      <c r="I43" s="7"/>
      <c r="J43" s="7"/>
      <c r="K43" s="7"/>
      <c r="L43" s="7"/>
      <c r="M43" s="7"/>
      <c r="N43" s="7">
        <f>M43+A43-L43</f>
        <v>-12.4</v>
      </c>
    </row>
    <row r="44" spans="1:14" ht="15.75" x14ac:dyDescent="0.25">
      <c r="A44" s="1">
        <f>[1]Лист1!N42</f>
        <v>-41.999999999999986</v>
      </c>
      <c r="B44" s="4" t="s">
        <v>36</v>
      </c>
      <c r="C44" s="7">
        <v>41.3</v>
      </c>
      <c r="D44" s="6"/>
      <c r="E44" s="6"/>
      <c r="F44" s="7"/>
      <c r="G44" s="7"/>
      <c r="H44" s="7"/>
      <c r="I44" s="7"/>
      <c r="J44" s="7"/>
      <c r="K44" s="7"/>
      <c r="L44" s="7">
        <f>SUM(C44:K44)</f>
        <v>41.3</v>
      </c>
      <c r="M44" s="11">
        <v>82.6</v>
      </c>
      <c r="N44" s="7">
        <f>M44+A44-L44</f>
        <v>-0.69999999999998863</v>
      </c>
    </row>
    <row r="45" spans="1:14" ht="15.75" x14ac:dyDescent="0.25">
      <c r="A45" s="1">
        <f>[1]Лист1!N43</f>
        <v>-38</v>
      </c>
      <c r="B45" s="4" t="s">
        <v>37</v>
      </c>
      <c r="C45" s="6"/>
      <c r="D45" s="6"/>
      <c r="E45" s="10">
        <v>13</v>
      </c>
      <c r="F45" s="7">
        <v>8.4</v>
      </c>
      <c r="G45" s="7"/>
      <c r="H45" s="7"/>
      <c r="I45" s="7"/>
      <c r="J45" s="7"/>
      <c r="K45" s="7"/>
      <c r="L45" s="7">
        <f>SUM(C45:K45)</f>
        <v>21.4</v>
      </c>
      <c r="M45" s="7"/>
      <c r="N45" s="7">
        <f>M45+A45-L45</f>
        <v>-59.4</v>
      </c>
    </row>
    <row r="46" spans="1:14" ht="15.75" x14ac:dyDescent="0.25">
      <c r="A46" s="1">
        <f>[1]Лист1!N44</f>
        <v>0</v>
      </c>
      <c r="B46" s="4" t="s">
        <v>38</v>
      </c>
      <c r="C46" s="6"/>
      <c r="D46" s="6"/>
      <c r="E46" s="6"/>
      <c r="F46" s="7"/>
      <c r="G46" s="7"/>
      <c r="H46" s="7"/>
      <c r="I46" s="7"/>
      <c r="J46" s="7"/>
      <c r="K46" s="7"/>
      <c r="L46" s="7"/>
      <c r="M46" s="7"/>
      <c r="N46" s="7"/>
    </row>
    <row r="47" spans="1:14" ht="15.75" x14ac:dyDescent="0.25">
      <c r="A47" s="1">
        <f>[1]Лист1!N45</f>
        <v>13.2</v>
      </c>
      <c r="B47" s="4" t="s">
        <v>39</v>
      </c>
      <c r="C47" s="6"/>
      <c r="D47" s="6"/>
      <c r="E47" s="6"/>
      <c r="F47" s="7"/>
      <c r="G47" s="7"/>
      <c r="H47" s="7"/>
      <c r="I47" s="7"/>
      <c r="J47" s="7">
        <v>13</v>
      </c>
      <c r="K47" s="7"/>
      <c r="L47" s="7">
        <f>SUM(C47:K47)</f>
        <v>13</v>
      </c>
      <c r="M47" s="7"/>
      <c r="N47" s="7">
        <f t="shared" ref="N47:N63" si="3">M47+A47-L47</f>
        <v>0.19999999999999929</v>
      </c>
    </row>
    <row r="48" spans="1:14" ht="15.75" x14ac:dyDescent="0.25">
      <c r="A48" s="1">
        <f>[1]Лист1!N46</f>
        <v>0</v>
      </c>
      <c r="B48" s="4" t="s">
        <v>40</v>
      </c>
      <c r="C48" s="6"/>
      <c r="D48" s="6"/>
      <c r="E48" s="6"/>
      <c r="F48" s="7"/>
      <c r="G48" s="7"/>
      <c r="H48" s="7"/>
      <c r="I48" s="7"/>
      <c r="J48" s="7"/>
      <c r="K48" s="7"/>
      <c r="L48" s="7"/>
      <c r="M48" s="7"/>
      <c r="N48" s="7">
        <f t="shared" si="3"/>
        <v>0</v>
      </c>
    </row>
    <row r="49" spans="1:14" ht="15.75" x14ac:dyDescent="0.25">
      <c r="A49" s="1">
        <f>[1]Лист1!N47</f>
        <v>2.3000000000000007</v>
      </c>
      <c r="B49" s="4" t="s">
        <v>41</v>
      </c>
      <c r="C49" s="7">
        <v>23</v>
      </c>
      <c r="D49" s="6"/>
      <c r="E49" s="6"/>
      <c r="F49" s="7"/>
      <c r="G49" s="7"/>
      <c r="H49" s="7"/>
      <c r="I49" s="7"/>
      <c r="J49" s="7"/>
      <c r="K49" s="7"/>
      <c r="L49" s="7">
        <f>SUM(C49:K49)</f>
        <v>23</v>
      </c>
      <c r="M49" s="11">
        <f>9+7+23+23</f>
        <v>62</v>
      </c>
      <c r="N49" s="7">
        <f t="shared" si="3"/>
        <v>41.3</v>
      </c>
    </row>
    <row r="50" spans="1:14" ht="15.75" x14ac:dyDescent="0.25">
      <c r="A50" s="1">
        <f>[1]Лист1!N48</f>
        <v>-18</v>
      </c>
      <c r="B50" s="4" t="s">
        <v>42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>
        <f t="shared" si="3"/>
        <v>-18</v>
      </c>
    </row>
    <row r="51" spans="1:14" ht="15.75" x14ac:dyDescent="0.25">
      <c r="A51" s="1">
        <f>[1]Лист1!N49</f>
        <v>-8</v>
      </c>
      <c r="B51" s="4" t="s">
        <v>43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>
        <f t="shared" si="3"/>
        <v>-8</v>
      </c>
    </row>
    <row r="52" spans="1:14" ht="15.75" x14ac:dyDescent="0.25">
      <c r="A52" s="1">
        <f>[1]Лист1!N50</f>
        <v>-6</v>
      </c>
      <c r="B52" s="4" t="s">
        <v>44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>
        <f t="shared" si="3"/>
        <v>-6</v>
      </c>
    </row>
    <row r="53" spans="1:14" ht="15.75" x14ac:dyDescent="0.25">
      <c r="A53" s="1">
        <f>[1]Лист1!N51</f>
        <v>-329.5</v>
      </c>
      <c r="B53" s="4" t="s">
        <v>45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>
        <f t="shared" si="3"/>
        <v>-329.5</v>
      </c>
    </row>
    <row r="54" spans="1:14" ht="15.75" x14ac:dyDescent="0.25">
      <c r="A54" s="1">
        <f>[1]Лист1!N52</f>
        <v>-68</v>
      </c>
      <c r="B54" s="4" t="s">
        <v>46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>
        <f t="shared" si="3"/>
        <v>-68</v>
      </c>
    </row>
    <row r="55" spans="1:14" ht="15.75" x14ac:dyDescent="0.25">
      <c r="A55" s="1">
        <f>[1]Лист1!N53</f>
        <v>-34.299999999999997</v>
      </c>
      <c r="B55" s="4" t="s">
        <v>47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11">
        <v>34.299999999999997</v>
      </c>
      <c r="N55" s="7">
        <f t="shared" si="3"/>
        <v>0</v>
      </c>
    </row>
    <row r="56" spans="1:14" ht="15.75" x14ac:dyDescent="0.25">
      <c r="A56" s="1">
        <f>[1]Лист1!N54</f>
        <v>-27</v>
      </c>
      <c r="B56" s="4" t="s">
        <v>48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>
        <f t="shared" si="3"/>
        <v>-27</v>
      </c>
    </row>
    <row r="57" spans="1:14" ht="15.75" x14ac:dyDescent="0.25">
      <c r="A57" s="1">
        <f>[1]Лист1!N55</f>
        <v>-26</v>
      </c>
      <c r="B57" s="4" t="s">
        <v>49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>
        <f t="shared" si="3"/>
        <v>-26</v>
      </c>
    </row>
    <row r="58" spans="1:14" ht="15.75" x14ac:dyDescent="0.25">
      <c r="A58" s="1">
        <f>[1]Лист1!N56</f>
        <v>-42</v>
      </c>
      <c r="B58" s="4" t="s">
        <v>50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>
        <f t="shared" si="3"/>
        <v>-42</v>
      </c>
    </row>
    <row r="59" spans="1:14" ht="15.75" x14ac:dyDescent="0.25">
      <c r="A59" s="1">
        <f>[1]Лист1!N57</f>
        <v>-21.099999999999994</v>
      </c>
      <c r="B59" s="4" t="s">
        <v>51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11">
        <v>9.1</v>
      </c>
      <c r="N59" s="7">
        <f t="shared" si="3"/>
        <v>-11.999999999999995</v>
      </c>
    </row>
    <row r="60" spans="1:14" ht="15.75" x14ac:dyDescent="0.25">
      <c r="A60" s="1">
        <f>[1]Лист1!N58</f>
        <v>-140.20000000000005</v>
      </c>
      <c r="B60" s="4" t="s">
        <v>52</v>
      </c>
      <c r="C60" s="7"/>
      <c r="D60" s="7"/>
      <c r="E60" s="7"/>
      <c r="F60" s="7">
        <v>233.3</v>
      </c>
      <c r="G60" s="7">
        <v>567</v>
      </c>
      <c r="H60" s="7"/>
      <c r="I60" s="7"/>
      <c r="J60" s="7">
        <f>63+8.4</f>
        <v>71.400000000000006</v>
      </c>
      <c r="K60" s="7"/>
      <c r="L60" s="7">
        <f>SUM(C60:K60)</f>
        <v>871.69999999999993</v>
      </c>
      <c r="M60" s="6"/>
      <c r="N60" s="8">
        <f t="shared" si="3"/>
        <v>-1011.9</v>
      </c>
    </row>
    <row r="61" spans="1:14" ht="15.75" x14ac:dyDescent="0.25">
      <c r="A61" s="1">
        <f>[1]Лист1!N59</f>
        <v>-408.08589999999998</v>
      </c>
      <c r="B61" s="4" t="s">
        <v>53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6"/>
      <c r="N61" s="7">
        <f t="shared" si="3"/>
        <v>-408.08589999999998</v>
      </c>
    </row>
    <row r="62" spans="1:14" ht="15.75" x14ac:dyDescent="0.25">
      <c r="A62" s="1">
        <f>[1]Лист1!N60</f>
        <v>-29.999999999999993</v>
      </c>
      <c r="B62" s="4" t="s">
        <v>54</v>
      </c>
      <c r="C62" s="6"/>
      <c r="D62" s="6"/>
      <c r="E62" s="6"/>
      <c r="F62" s="7"/>
      <c r="G62" s="7"/>
      <c r="H62" s="7"/>
      <c r="I62" s="7"/>
      <c r="J62" s="7"/>
      <c r="K62" s="7"/>
      <c r="L62" s="7"/>
      <c r="M62" s="6"/>
      <c r="N62" s="7">
        <f t="shared" si="3"/>
        <v>-29.999999999999993</v>
      </c>
    </row>
    <row r="63" spans="1:14" ht="15.75" x14ac:dyDescent="0.25">
      <c r="A63" s="1">
        <f>[1]Лист1!N61</f>
        <v>0</v>
      </c>
      <c r="B63" s="4" t="s">
        <v>55</v>
      </c>
      <c r="C63" s="7">
        <v>56</v>
      </c>
      <c r="D63" s="6"/>
      <c r="E63" s="6"/>
      <c r="F63" s="7"/>
      <c r="G63" s="7"/>
      <c r="H63" s="7"/>
      <c r="I63" s="7"/>
      <c r="J63" s="7"/>
      <c r="K63" s="7"/>
      <c r="L63" s="7">
        <f>SUM(C63:K63)</f>
        <v>56</v>
      </c>
      <c r="M63" s="11">
        <v>56</v>
      </c>
      <c r="N63" s="7">
        <f t="shared" si="3"/>
        <v>0</v>
      </c>
    </row>
    <row r="64" spans="1:14" ht="15.75" x14ac:dyDescent="0.25">
      <c r="A64" s="1">
        <f>[1]Лист1!N62</f>
        <v>0</v>
      </c>
      <c r="B64" s="4" t="s">
        <v>56</v>
      </c>
      <c r="C64" s="6"/>
      <c r="D64" s="6"/>
      <c r="E64" s="6"/>
      <c r="F64" s="7"/>
      <c r="G64" s="7"/>
      <c r="H64" s="7"/>
      <c r="I64" s="7"/>
      <c r="J64" s="7"/>
      <c r="K64" s="7"/>
      <c r="L64" s="7"/>
      <c r="M64" s="6"/>
      <c r="N64" s="7"/>
    </row>
    <row r="65" spans="1:16" ht="15.75" x14ac:dyDescent="0.25">
      <c r="A65" s="1">
        <f>[1]Лист1!N63</f>
        <v>0.69999999999999929</v>
      </c>
      <c r="B65" s="4" t="s">
        <v>57</v>
      </c>
      <c r="C65" s="6"/>
      <c r="D65" s="6"/>
      <c r="E65" s="6"/>
      <c r="F65" s="7"/>
      <c r="G65" s="7"/>
      <c r="H65" s="7"/>
      <c r="I65" s="7"/>
      <c r="J65" s="7"/>
      <c r="K65" s="7"/>
      <c r="L65" s="7"/>
      <c r="M65" s="7"/>
      <c r="N65" s="7">
        <f>M65+A65-L65</f>
        <v>0.69999999999999929</v>
      </c>
    </row>
    <row r="66" spans="1:16" ht="15.75" x14ac:dyDescent="0.25">
      <c r="A66" s="1">
        <f>[1]Лист1!N64</f>
        <v>-115.5</v>
      </c>
      <c r="B66" s="4" t="s">
        <v>58</v>
      </c>
      <c r="C66" s="6"/>
      <c r="D66" s="6"/>
      <c r="E66" s="6"/>
      <c r="F66" s="7"/>
      <c r="G66" s="7"/>
      <c r="H66" s="7"/>
      <c r="I66" s="7"/>
      <c r="J66" s="7"/>
      <c r="K66" s="7"/>
      <c r="L66" s="7"/>
      <c r="M66" s="6"/>
      <c r="N66" s="7">
        <f>M66+A66-L66</f>
        <v>-115.5</v>
      </c>
    </row>
    <row r="67" spans="1:16" ht="15.75" x14ac:dyDescent="0.25">
      <c r="A67" s="1">
        <f>[1]Лист1!N65</f>
        <v>-9</v>
      </c>
      <c r="B67" s="4" t="s">
        <v>59</v>
      </c>
      <c r="C67" s="6"/>
      <c r="D67" s="6"/>
      <c r="E67" s="6"/>
      <c r="F67" s="6"/>
      <c r="G67" s="6"/>
      <c r="H67" s="6"/>
      <c r="I67" s="6"/>
      <c r="J67" s="6"/>
      <c r="K67" s="6"/>
      <c r="L67" s="7"/>
      <c r="M67" s="7"/>
      <c r="N67" s="7">
        <f>M67+A67-L67</f>
        <v>-9</v>
      </c>
    </row>
    <row r="68" spans="1:16" ht="15.75" x14ac:dyDescent="0.25">
      <c r="A68" s="1">
        <f>[1]Лист1!N66</f>
        <v>-8</v>
      </c>
      <c r="B68" s="4" t="s">
        <v>60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7">
        <f>M68+A68-L68</f>
        <v>-8</v>
      </c>
    </row>
    <row r="69" spans="1:16" ht="15.75" x14ac:dyDescent="0.25">
      <c r="A69" s="1">
        <f>[1]Лист1!N67</f>
        <v>-9</v>
      </c>
      <c r="B69" s="4" t="s">
        <v>61</v>
      </c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>
        <f>M69+A69-L69</f>
        <v>-9</v>
      </c>
    </row>
    <row r="70" spans="1:16" ht="15.75" x14ac:dyDescent="0.25">
      <c r="A70" s="1">
        <f>[1]Лист1!N68</f>
        <v>0</v>
      </c>
      <c r="B70" s="4" t="s">
        <v>62</v>
      </c>
      <c r="C70" s="7"/>
      <c r="D70" s="7"/>
      <c r="E70" s="7"/>
      <c r="F70" s="7"/>
      <c r="G70" s="7"/>
      <c r="H70" s="6"/>
      <c r="I70" s="7"/>
      <c r="J70" s="7"/>
      <c r="K70" s="7"/>
      <c r="L70" s="7"/>
      <c r="M70" s="7"/>
      <c r="N70" s="7"/>
    </row>
    <row r="71" spans="1:16" ht="15.75" x14ac:dyDescent="0.25">
      <c r="A71" s="1">
        <f>[1]Лист1!N69</f>
        <v>18.700000000000003</v>
      </c>
      <c r="B71" s="4" t="s">
        <v>63</v>
      </c>
      <c r="C71" s="7"/>
      <c r="D71" s="7"/>
      <c r="E71" s="7"/>
      <c r="F71" s="7"/>
      <c r="G71" s="7"/>
      <c r="H71" s="6"/>
      <c r="I71" s="6"/>
      <c r="J71" s="6"/>
      <c r="K71" s="6"/>
      <c r="L71" s="6"/>
      <c r="M71" s="6"/>
      <c r="N71" s="7">
        <f>M71+A71-L71</f>
        <v>18.700000000000003</v>
      </c>
    </row>
    <row r="72" spans="1:16" ht="15.75" x14ac:dyDescent="0.25">
      <c r="A72" s="1">
        <f>[1]Лист1!N70</f>
        <v>-23.1</v>
      </c>
      <c r="B72" s="4" t="s">
        <v>64</v>
      </c>
      <c r="C72" s="7"/>
      <c r="D72" s="7"/>
      <c r="E72" s="7"/>
      <c r="F72" s="7"/>
      <c r="G72" s="7"/>
      <c r="H72" s="6"/>
      <c r="I72" s="6"/>
      <c r="J72" s="6"/>
      <c r="K72" s="6"/>
      <c r="L72" s="7"/>
      <c r="M72" s="11">
        <v>9.1</v>
      </c>
      <c r="N72" s="7">
        <f>M72+A72-L72</f>
        <v>-14.000000000000002</v>
      </c>
    </row>
    <row r="73" spans="1:16" ht="15.75" x14ac:dyDescent="0.25">
      <c r="A73" s="1">
        <f>[1]Лист1!N71</f>
        <v>0</v>
      </c>
      <c r="B73" s="4" t="s">
        <v>65</v>
      </c>
      <c r="C73" s="7"/>
      <c r="D73" s="7"/>
      <c r="E73" s="7"/>
      <c r="F73" s="7"/>
      <c r="G73" s="7"/>
      <c r="H73" s="6"/>
      <c r="I73" s="6"/>
      <c r="J73" s="6"/>
      <c r="K73" s="6"/>
      <c r="L73" s="6"/>
      <c r="M73" s="6"/>
      <c r="N73" s="7">
        <f>M73+A73-L73</f>
        <v>0</v>
      </c>
    </row>
    <row r="74" spans="1:16" ht="15.75" x14ac:dyDescent="0.25">
      <c r="A74" s="1">
        <f>[1]Лист1!N72</f>
        <v>-13</v>
      </c>
      <c r="B74" s="4" t="s">
        <v>66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7">
        <f>M74+A74-L74</f>
        <v>-13</v>
      </c>
    </row>
    <row r="75" spans="1:16" ht="15.75" x14ac:dyDescent="0.25">
      <c r="A75" s="3">
        <f>[1]Лист1!N73</f>
        <v>-4969.8963999999996</v>
      </c>
      <c r="B75" s="6" t="s">
        <v>70</v>
      </c>
      <c r="D75" s="6"/>
      <c r="E75" s="7">
        <v>13</v>
      </c>
      <c r="F75" s="6"/>
      <c r="G75" s="6"/>
      <c r="H75" s="6"/>
      <c r="I75" s="6"/>
      <c r="J75" s="6">
        <v>10.5</v>
      </c>
      <c r="K75" s="6"/>
      <c r="L75" s="7">
        <f>SUM(C75:K75)</f>
        <v>23.5</v>
      </c>
      <c r="M75" s="6"/>
      <c r="N75" s="7">
        <f>M75+A76-L75</f>
        <v>-23.5</v>
      </c>
    </row>
    <row r="76" spans="1:16" ht="15.75" x14ac:dyDescent="0.25">
      <c r="A76">
        <v>0</v>
      </c>
      <c r="B76" s="8" t="s">
        <v>71</v>
      </c>
      <c r="D76" s="7"/>
      <c r="E76" s="7"/>
      <c r="F76" s="7"/>
      <c r="G76" s="7"/>
      <c r="H76" s="7"/>
      <c r="I76" s="7"/>
      <c r="J76" s="7"/>
      <c r="K76" s="7"/>
      <c r="L76" s="7"/>
      <c r="M76" s="11">
        <v>123.9</v>
      </c>
      <c r="N76" s="7">
        <f>M76+A76-L76</f>
        <v>123.9</v>
      </c>
    </row>
    <row r="77" spans="1:16" ht="15.75" x14ac:dyDescent="0.25">
      <c r="A77">
        <v>0</v>
      </c>
      <c r="B77" s="9" t="s">
        <v>72</v>
      </c>
      <c r="C77" s="6"/>
      <c r="D77" s="6"/>
      <c r="E77" s="6"/>
      <c r="F77" s="6"/>
      <c r="G77" s="6"/>
      <c r="H77" s="6"/>
      <c r="I77" s="6"/>
      <c r="J77" s="7"/>
      <c r="K77" s="6"/>
      <c r="L77" s="7"/>
      <c r="M77" s="11">
        <v>96</v>
      </c>
      <c r="N77" s="7">
        <f>M77+A77-L77</f>
        <v>96</v>
      </c>
    </row>
    <row r="78" spans="1:16" ht="15.75" x14ac:dyDescent="0.25">
      <c r="C78" s="6"/>
      <c r="D78" s="6"/>
      <c r="E78" s="6"/>
      <c r="F78" s="6"/>
      <c r="G78" s="6"/>
      <c r="H78" s="6"/>
      <c r="I78" s="6"/>
      <c r="J78" s="6"/>
      <c r="K78" s="6"/>
      <c r="L78" s="7"/>
      <c r="M78" s="7"/>
      <c r="N78" s="7"/>
      <c r="O78" s="7"/>
      <c r="P78" s="7"/>
    </row>
    <row r="79" spans="1:16" ht="15.75" x14ac:dyDescent="0.25">
      <c r="B79" s="6" t="s">
        <v>73</v>
      </c>
      <c r="C79" s="7">
        <f t="shared" ref="C79:K79" si="4">SUM(C6:C78)</f>
        <v>171.8</v>
      </c>
      <c r="D79" s="7">
        <f t="shared" si="4"/>
        <v>21</v>
      </c>
      <c r="E79" s="7">
        <f t="shared" si="4"/>
        <v>67</v>
      </c>
      <c r="F79" s="7">
        <f t="shared" si="4"/>
        <v>292.3</v>
      </c>
      <c r="G79" s="7">
        <f t="shared" si="4"/>
        <v>623.70000000000005</v>
      </c>
      <c r="H79" s="7">
        <f t="shared" si="4"/>
        <v>20</v>
      </c>
      <c r="I79" s="7">
        <f t="shared" si="4"/>
        <v>40</v>
      </c>
      <c r="J79" s="7">
        <f t="shared" si="4"/>
        <v>94.9</v>
      </c>
      <c r="K79" s="7">
        <f t="shared" si="4"/>
        <v>169.2</v>
      </c>
      <c r="L79" s="7">
        <f>SUM(L7:L78)</f>
        <v>1499.9</v>
      </c>
      <c r="M79" s="14">
        <f>SUM(M6:M78)</f>
        <v>903</v>
      </c>
      <c r="N79" s="7">
        <f>M79+A75-L79</f>
        <v>-5566.7963999999993</v>
      </c>
      <c r="O79" s="6"/>
      <c r="P79" s="6"/>
    </row>
    <row r="83" spans="1:18" x14ac:dyDescent="0.25">
      <c r="L83">
        <f>SUM(C79:K79)</f>
        <v>1499.9000000000003</v>
      </c>
      <c r="M83">
        <f>SUM(M6:M77)</f>
        <v>903</v>
      </c>
      <c r="N83" s="13">
        <f>SUM(N6:N77)</f>
        <v>-5566.795900000001</v>
      </c>
    </row>
    <row r="88" spans="1:18" ht="15.75" x14ac:dyDescent="0.25">
      <c r="A88" s="70" t="s">
        <v>76</v>
      </c>
      <c r="B88" s="70" t="s">
        <v>75</v>
      </c>
      <c r="C88" s="66" t="s">
        <v>77</v>
      </c>
      <c r="D88" s="67"/>
      <c r="E88" s="67"/>
      <c r="F88" s="67"/>
      <c r="G88" s="67"/>
      <c r="H88" s="67"/>
      <c r="I88" s="72"/>
      <c r="J88" s="6"/>
      <c r="K88" s="6"/>
      <c r="L88" s="70" t="s">
        <v>68</v>
      </c>
      <c r="M88" s="73" t="s">
        <v>69</v>
      </c>
      <c r="N88" s="70" t="s">
        <v>76</v>
      </c>
    </row>
    <row r="89" spans="1:18" ht="15.75" x14ac:dyDescent="0.25">
      <c r="A89" s="71"/>
      <c r="B89" s="71"/>
      <c r="C89" s="6">
        <v>85</v>
      </c>
      <c r="D89" s="6">
        <v>86</v>
      </c>
      <c r="E89" s="6">
        <v>87</v>
      </c>
      <c r="F89" s="6">
        <v>88</v>
      </c>
      <c r="G89" s="6">
        <v>89</v>
      </c>
      <c r="H89" s="6">
        <v>90</v>
      </c>
      <c r="I89" s="6">
        <v>91</v>
      </c>
      <c r="J89" s="6">
        <v>92</v>
      </c>
      <c r="K89" s="6" t="s">
        <v>74</v>
      </c>
      <c r="L89" s="71"/>
      <c r="M89" s="74"/>
      <c r="N89" s="71"/>
    </row>
    <row r="90" spans="1:18" ht="15.75" x14ac:dyDescent="0.25">
      <c r="A90" s="1">
        <v>-42.8</v>
      </c>
      <c r="B90" s="4" t="s">
        <v>0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7">
        <f t="shared" ref="N90:N98" si="5">M90+A90-L90</f>
        <v>-42.8</v>
      </c>
    </row>
    <row r="91" spans="1:18" ht="15.75" x14ac:dyDescent="0.25">
      <c r="A91" s="1">
        <v>0</v>
      </c>
      <c r="B91" s="4" t="s">
        <v>1</v>
      </c>
      <c r="C91" s="7"/>
      <c r="D91" s="7" t="s">
        <v>74</v>
      </c>
      <c r="E91" s="7"/>
      <c r="F91" s="6"/>
      <c r="G91" s="6">
        <v>700</v>
      </c>
      <c r="H91" s="6"/>
      <c r="I91" s="6"/>
      <c r="J91" s="6"/>
      <c r="K91" s="6"/>
      <c r="L91" s="7">
        <f>SUM(C91:K91)</f>
        <v>700</v>
      </c>
      <c r="M91" s="15">
        <v>0</v>
      </c>
      <c r="N91" s="7">
        <f t="shared" si="5"/>
        <v>-700</v>
      </c>
    </row>
    <row r="92" spans="1:18" ht="15.75" x14ac:dyDescent="0.25">
      <c r="A92" s="1">
        <v>-74.599999999999994</v>
      </c>
      <c r="B92" s="4" t="s">
        <v>2</v>
      </c>
      <c r="C92" s="6"/>
      <c r="D92" s="6"/>
      <c r="E92" s="6">
        <v>17.5</v>
      </c>
      <c r="F92" s="7" t="s">
        <v>74</v>
      </c>
      <c r="G92" s="6"/>
      <c r="H92" s="6"/>
      <c r="I92" s="6"/>
      <c r="J92" s="6"/>
      <c r="K92" s="6"/>
      <c r="L92" s="7">
        <f>SUM(C92:K92)</f>
        <v>17.5</v>
      </c>
      <c r="M92" s="16"/>
      <c r="N92" s="7">
        <f t="shared" si="5"/>
        <v>-92.1</v>
      </c>
    </row>
    <row r="93" spans="1:18" ht="15.75" x14ac:dyDescent="0.25">
      <c r="A93" s="1">
        <v>-25.8</v>
      </c>
      <c r="B93" s="4" t="s">
        <v>3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16"/>
      <c r="N93" s="7">
        <f t="shared" si="5"/>
        <v>-25.8</v>
      </c>
    </row>
    <row r="94" spans="1:18" ht="15.75" x14ac:dyDescent="0.25">
      <c r="A94" s="1">
        <v>-70</v>
      </c>
      <c r="B94" s="4" t="s">
        <v>86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16"/>
      <c r="N94" s="7">
        <f t="shared" si="5"/>
        <v>-70</v>
      </c>
      <c r="R94" t="s">
        <v>74</v>
      </c>
    </row>
    <row r="95" spans="1:18" ht="15.75" x14ac:dyDescent="0.25">
      <c r="A95" s="1">
        <v>-232.1</v>
      </c>
      <c r="B95" s="4" t="s">
        <v>5</v>
      </c>
      <c r="C95" s="6"/>
      <c r="D95" s="6"/>
      <c r="E95" s="6"/>
      <c r="F95" s="6"/>
      <c r="G95" s="6"/>
      <c r="H95" s="7" t="s">
        <v>74</v>
      </c>
      <c r="I95" s="6"/>
      <c r="J95" s="6"/>
      <c r="K95" s="6"/>
      <c r="L95" s="7">
        <f>SUM(C95:K95)</f>
        <v>0</v>
      </c>
      <c r="M95" s="16"/>
      <c r="N95" s="7">
        <f t="shared" si="5"/>
        <v>-232.1</v>
      </c>
    </row>
    <row r="96" spans="1:18" ht="15.75" x14ac:dyDescent="0.25">
      <c r="A96" s="1">
        <v>-53.1</v>
      </c>
      <c r="B96" s="4" t="s">
        <v>6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16"/>
      <c r="N96" s="7">
        <f t="shared" si="5"/>
        <v>-53.1</v>
      </c>
    </row>
    <row r="97" spans="1:14" ht="15.75" x14ac:dyDescent="0.25">
      <c r="A97" s="1">
        <v>-112</v>
      </c>
      <c r="B97" s="4" t="s">
        <v>7</v>
      </c>
      <c r="C97" s="6"/>
      <c r="D97" s="6"/>
      <c r="E97" s="6"/>
      <c r="F97" s="6"/>
      <c r="G97" s="6">
        <v>26</v>
      </c>
      <c r="H97" s="6">
        <v>13</v>
      </c>
      <c r="I97" s="6">
        <v>13</v>
      </c>
      <c r="J97" s="6"/>
      <c r="K97" s="6"/>
      <c r="L97" s="7">
        <f>SUM(C97:K97)</f>
        <v>52</v>
      </c>
      <c r="M97" s="16"/>
      <c r="N97" s="7">
        <f t="shared" si="5"/>
        <v>-164</v>
      </c>
    </row>
    <row r="98" spans="1:14" ht="15.75" x14ac:dyDescent="0.25">
      <c r="A98" s="1">
        <v>-225.6</v>
      </c>
      <c r="B98" s="4" t="s">
        <v>8</v>
      </c>
      <c r="C98" s="6"/>
      <c r="D98" s="6"/>
      <c r="E98" s="7" t="s">
        <v>74</v>
      </c>
      <c r="F98" s="6"/>
      <c r="G98" s="6"/>
      <c r="H98" s="6"/>
      <c r="I98" s="7" t="s">
        <v>74</v>
      </c>
      <c r="J98" s="6"/>
      <c r="K98" s="7" t="s">
        <v>74</v>
      </c>
      <c r="L98" s="7">
        <f>SUM(C98:K98)</f>
        <v>0</v>
      </c>
      <c r="M98" s="16"/>
      <c r="N98" s="7">
        <f t="shared" si="5"/>
        <v>-225.6</v>
      </c>
    </row>
    <row r="99" spans="1:14" ht="15.75" x14ac:dyDescent="0.25">
      <c r="A99" s="1">
        <v>-19.11</v>
      </c>
      <c r="B99" s="4"/>
      <c r="C99" s="6"/>
      <c r="D99" s="6"/>
      <c r="E99" s="7"/>
      <c r="F99" s="6"/>
      <c r="G99" s="6"/>
      <c r="H99" s="6"/>
      <c r="I99" s="6"/>
      <c r="J99" s="7"/>
      <c r="K99" s="7"/>
      <c r="L99" s="7"/>
      <c r="M99" s="16"/>
      <c r="N99" s="7">
        <v>-19.11</v>
      </c>
    </row>
    <row r="100" spans="1:14" ht="15.75" x14ac:dyDescent="0.25">
      <c r="A100" s="1">
        <v>-1385.9</v>
      </c>
      <c r="B100" s="4" t="s">
        <v>9</v>
      </c>
      <c r="C100" s="6"/>
      <c r="D100" s="6"/>
      <c r="E100" s="6"/>
      <c r="F100" s="7" t="s">
        <v>74</v>
      </c>
      <c r="G100" s="7"/>
      <c r="H100" s="6"/>
      <c r="I100" s="6"/>
      <c r="J100" s="6"/>
      <c r="K100" s="6"/>
      <c r="L100" s="7">
        <f>SUM(C100:K100)</f>
        <v>0</v>
      </c>
      <c r="M100" s="16">
        <v>1385.9</v>
      </c>
      <c r="N100" s="7">
        <f t="shared" ref="N100" si="6">M100+A100-L100</f>
        <v>0</v>
      </c>
    </row>
    <row r="101" spans="1:14" ht="15.75" x14ac:dyDescent="0.25">
      <c r="A101" s="1">
        <v>-283.39999999999998</v>
      </c>
      <c r="B101" s="4" t="s">
        <v>10</v>
      </c>
      <c r="C101" s="7"/>
      <c r="D101" s="7"/>
      <c r="E101" s="7"/>
      <c r="F101" s="7"/>
      <c r="G101" s="7"/>
      <c r="H101" s="7" t="s">
        <v>74</v>
      </c>
      <c r="I101" s="7"/>
      <c r="J101" s="7"/>
      <c r="K101" s="7"/>
      <c r="L101" s="7">
        <f>SUM(C101:K101)</f>
        <v>0</v>
      </c>
      <c r="M101" s="17">
        <v>0</v>
      </c>
      <c r="N101" s="7">
        <f>M101+A101-L101</f>
        <v>-283.39999999999998</v>
      </c>
    </row>
    <row r="102" spans="1:14" ht="15.75" x14ac:dyDescent="0.25">
      <c r="A102" s="1">
        <v>-13</v>
      </c>
      <c r="B102" s="4" t="s">
        <v>11</v>
      </c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15"/>
      <c r="N102" s="7">
        <f t="shared" ref="N102:N110" si="7">M102+A102-L102</f>
        <v>-13</v>
      </c>
    </row>
    <row r="103" spans="1:14" ht="15.75" x14ac:dyDescent="0.25">
      <c r="A103" s="1">
        <v>-260</v>
      </c>
      <c r="B103" s="4" t="s">
        <v>12</v>
      </c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15"/>
      <c r="N103" s="7">
        <f t="shared" si="7"/>
        <v>-260</v>
      </c>
    </row>
    <row r="104" spans="1:14" ht="15.75" x14ac:dyDescent="0.25">
      <c r="A104" s="1">
        <v>0</v>
      </c>
      <c r="B104" s="4" t="s">
        <v>13</v>
      </c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15"/>
      <c r="N104" s="7">
        <f t="shared" si="7"/>
        <v>0</v>
      </c>
    </row>
    <row r="105" spans="1:14" ht="15.75" x14ac:dyDescent="0.25">
      <c r="A105" s="1">
        <v>-8</v>
      </c>
      <c r="B105" s="4" t="s">
        <v>14</v>
      </c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15"/>
      <c r="N105" s="8">
        <f t="shared" si="7"/>
        <v>-8</v>
      </c>
    </row>
    <row r="106" spans="1:14" ht="15.75" x14ac:dyDescent="0.25">
      <c r="A106" s="1">
        <v>10</v>
      </c>
      <c r="B106" s="4" t="s">
        <v>15</v>
      </c>
      <c r="C106" s="6"/>
      <c r="D106" s="6"/>
      <c r="E106" s="6"/>
      <c r="F106" s="6"/>
      <c r="G106" s="6">
        <v>13</v>
      </c>
      <c r="H106" s="6"/>
      <c r="I106" s="6"/>
      <c r="J106" s="6"/>
      <c r="K106" s="6"/>
      <c r="L106" s="7">
        <f>SUM(C106:K106)</f>
        <v>13</v>
      </c>
      <c r="M106" s="16"/>
      <c r="N106" s="7">
        <f t="shared" si="7"/>
        <v>-3</v>
      </c>
    </row>
    <row r="107" spans="1:14" ht="15.75" x14ac:dyDescent="0.25">
      <c r="A107" s="1">
        <v>26.1</v>
      </c>
      <c r="B107" s="4" t="s">
        <v>16</v>
      </c>
      <c r="C107" s="7" t="s">
        <v>74</v>
      </c>
      <c r="D107" s="6"/>
      <c r="E107" s="6"/>
      <c r="F107" s="6"/>
      <c r="G107" s="6"/>
      <c r="H107" s="6"/>
      <c r="I107" s="6"/>
      <c r="J107" s="6"/>
      <c r="K107" s="6"/>
      <c r="L107" s="7">
        <f>SUM(C107:K107)</f>
        <v>0</v>
      </c>
      <c r="M107" s="16"/>
      <c r="N107" s="7">
        <f t="shared" si="7"/>
        <v>26.1</v>
      </c>
    </row>
    <row r="108" spans="1:14" ht="15.75" x14ac:dyDescent="0.25">
      <c r="A108" s="1">
        <v>0</v>
      </c>
      <c r="B108" s="4" t="s">
        <v>17</v>
      </c>
      <c r="C108" s="7"/>
      <c r="D108" s="7">
        <v>67.2</v>
      </c>
      <c r="E108" s="7"/>
      <c r="F108" s="7"/>
      <c r="G108" s="7"/>
      <c r="H108" s="7"/>
      <c r="I108" s="7"/>
      <c r="J108" s="7"/>
      <c r="K108" s="7"/>
      <c r="L108" s="7">
        <f>SUM(C108:K108)</f>
        <v>67.2</v>
      </c>
      <c r="M108" s="15">
        <v>67.2</v>
      </c>
      <c r="N108" s="7">
        <f t="shared" si="7"/>
        <v>0</v>
      </c>
    </row>
    <row r="109" spans="1:14" ht="15.75" x14ac:dyDescent="0.25">
      <c r="A109" s="1">
        <v>-25.5</v>
      </c>
      <c r="B109" s="4" t="s">
        <v>18</v>
      </c>
      <c r="C109" s="7"/>
      <c r="D109" s="7"/>
      <c r="E109" s="7"/>
      <c r="F109" s="7" t="s">
        <v>74</v>
      </c>
      <c r="G109" s="7"/>
      <c r="H109" s="7"/>
      <c r="I109" s="7"/>
      <c r="J109" s="7"/>
      <c r="K109" s="7"/>
      <c r="L109" s="7">
        <f>SUM(C109:K109)</f>
        <v>0</v>
      </c>
      <c r="M109" s="15"/>
      <c r="N109" s="7">
        <f t="shared" si="7"/>
        <v>-25.5</v>
      </c>
    </row>
    <row r="110" spans="1:14" ht="15.75" x14ac:dyDescent="0.25">
      <c r="A110" s="1">
        <v>0.5</v>
      </c>
      <c r="B110" s="4" t="s">
        <v>19</v>
      </c>
      <c r="C110" s="7"/>
      <c r="D110" s="7"/>
      <c r="E110" s="7"/>
      <c r="F110" s="7"/>
      <c r="G110" s="7" t="s">
        <v>74</v>
      </c>
      <c r="H110" s="7"/>
      <c r="I110" s="7"/>
      <c r="J110" s="7"/>
      <c r="K110" s="7"/>
      <c r="L110" s="7">
        <f>SUM(C110:K110)</f>
        <v>0</v>
      </c>
      <c r="M110" s="15">
        <v>0</v>
      </c>
      <c r="N110" s="7">
        <f t="shared" si="7"/>
        <v>0.5</v>
      </c>
    </row>
    <row r="111" spans="1:14" ht="15.75" x14ac:dyDescent="0.25">
      <c r="A111" s="1" t="s">
        <v>74</v>
      </c>
      <c r="B111" s="4" t="s">
        <v>20</v>
      </c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15"/>
      <c r="N111" s="7"/>
    </row>
    <row r="112" spans="1:14" ht="15.75" x14ac:dyDescent="0.25">
      <c r="A112" s="1">
        <v>0</v>
      </c>
      <c r="B112" s="4" t="s">
        <v>79</v>
      </c>
      <c r="C112" s="7"/>
      <c r="D112" s="7"/>
      <c r="E112" s="7"/>
      <c r="F112" s="7"/>
      <c r="G112" s="7">
        <v>13</v>
      </c>
      <c r="H112" s="7"/>
      <c r="I112" s="7">
        <v>18.5</v>
      </c>
      <c r="J112" s="7"/>
      <c r="K112" s="7"/>
      <c r="L112" s="7">
        <f>SUM(C112:K112)</f>
        <v>31.5</v>
      </c>
      <c r="M112" s="15">
        <v>0</v>
      </c>
      <c r="N112" s="7">
        <f t="shared" ref="N112:N113" si="8">M112+A112-L112</f>
        <v>-31.5</v>
      </c>
    </row>
    <row r="113" spans="1:14" ht="15.75" x14ac:dyDescent="0.25">
      <c r="A113" s="1">
        <v>0</v>
      </c>
      <c r="B113" s="4" t="s">
        <v>21</v>
      </c>
      <c r="C113" s="7"/>
      <c r="D113" s="7"/>
      <c r="E113" s="7"/>
      <c r="F113" s="7"/>
      <c r="G113" s="7">
        <v>59.5</v>
      </c>
      <c r="H113" s="7"/>
      <c r="I113" s="7"/>
      <c r="J113" s="7"/>
      <c r="K113" s="7"/>
      <c r="L113" s="7">
        <f>SUM(C113:K113)</f>
        <v>59.5</v>
      </c>
      <c r="M113" s="15">
        <v>0</v>
      </c>
      <c r="N113" s="7">
        <f t="shared" si="8"/>
        <v>-59.5</v>
      </c>
    </row>
    <row r="114" spans="1:14" ht="15.75" x14ac:dyDescent="0.25">
      <c r="A114" s="1">
        <v>-71.400000000000006</v>
      </c>
      <c r="B114" s="4" t="s">
        <v>22</v>
      </c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15"/>
      <c r="N114" s="7">
        <f t="shared" ref="N114:N122" si="9">M114+A114-L114</f>
        <v>-71.400000000000006</v>
      </c>
    </row>
    <row r="115" spans="1:14" ht="15.75" x14ac:dyDescent="0.25">
      <c r="A115" s="1">
        <v>-3</v>
      </c>
      <c r="B115" s="4" t="s">
        <v>23</v>
      </c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15">
        <v>0</v>
      </c>
      <c r="N115" s="7">
        <f t="shared" si="9"/>
        <v>-3</v>
      </c>
    </row>
    <row r="116" spans="1:14" ht="15.75" x14ac:dyDescent="0.25">
      <c r="A116" s="1">
        <v>-25</v>
      </c>
      <c r="B116" s="4" t="s">
        <v>24</v>
      </c>
      <c r="C116" s="7"/>
      <c r="D116" s="7"/>
      <c r="E116" s="7"/>
      <c r="F116" s="7"/>
      <c r="G116" s="7" t="s">
        <v>74</v>
      </c>
      <c r="H116" s="7">
        <v>13</v>
      </c>
      <c r="I116" s="7"/>
      <c r="J116" s="7"/>
      <c r="K116" s="7" t="s">
        <v>74</v>
      </c>
      <c r="L116" s="7">
        <f>SUM(C116:K116)</f>
        <v>13</v>
      </c>
      <c r="M116" s="15">
        <v>0</v>
      </c>
      <c r="N116" s="7">
        <f t="shared" si="9"/>
        <v>-38</v>
      </c>
    </row>
    <row r="117" spans="1:14" ht="15.75" x14ac:dyDescent="0.25">
      <c r="A117" s="1">
        <v>-82.6</v>
      </c>
      <c r="B117" s="4" t="s">
        <v>25</v>
      </c>
      <c r="C117" s="7">
        <v>49.7</v>
      </c>
      <c r="D117" s="7"/>
      <c r="E117" s="7"/>
      <c r="F117" s="7"/>
      <c r="G117" s="7" t="s">
        <v>74</v>
      </c>
      <c r="H117" s="7">
        <v>13</v>
      </c>
      <c r="I117" s="7"/>
      <c r="J117" s="7"/>
      <c r="K117" s="7"/>
      <c r="L117" s="7">
        <f>SUM(C117:K117)</f>
        <v>62.7</v>
      </c>
      <c r="M117" s="15">
        <v>49.7</v>
      </c>
      <c r="N117" s="7">
        <f t="shared" si="9"/>
        <v>-95.6</v>
      </c>
    </row>
    <row r="118" spans="1:14" ht="15.75" x14ac:dyDescent="0.25">
      <c r="A118" s="2">
        <v>0</v>
      </c>
      <c r="B118" s="5" t="s">
        <v>26</v>
      </c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15">
        <v>0</v>
      </c>
      <c r="N118" s="7">
        <f t="shared" si="9"/>
        <v>0</v>
      </c>
    </row>
    <row r="119" spans="1:14" ht="15.75" x14ac:dyDescent="0.25">
      <c r="A119" s="2">
        <v>-8.4</v>
      </c>
      <c r="B119" s="5" t="s">
        <v>27</v>
      </c>
      <c r="C119" s="7"/>
      <c r="D119" s="7"/>
      <c r="E119" s="7"/>
      <c r="F119" s="7"/>
      <c r="G119" s="7"/>
      <c r="H119" s="7"/>
      <c r="I119" s="7">
        <v>70</v>
      </c>
      <c r="J119" s="7"/>
      <c r="K119" s="7" t="s">
        <v>74</v>
      </c>
      <c r="L119" s="7">
        <f>SUM(C119:K119)</f>
        <v>70</v>
      </c>
      <c r="M119" s="15">
        <v>14</v>
      </c>
      <c r="N119" s="7">
        <f t="shared" si="9"/>
        <v>-64.400000000000006</v>
      </c>
    </row>
    <row r="120" spans="1:14" ht="15.75" x14ac:dyDescent="0.25">
      <c r="A120" s="1">
        <v>-34.4</v>
      </c>
      <c r="B120" s="4" t="s">
        <v>28</v>
      </c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15">
        <v>34.4</v>
      </c>
      <c r="N120" s="7">
        <f t="shared" si="9"/>
        <v>0</v>
      </c>
    </row>
    <row r="121" spans="1:14" ht="15.75" x14ac:dyDescent="0.25">
      <c r="A121" s="1">
        <v>-207.3</v>
      </c>
      <c r="B121" s="4" t="s">
        <v>29</v>
      </c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15"/>
      <c r="N121" s="7">
        <f t="shared" si="9"/>
        <v>-207.3</v>
      </c>
    </row>
    <row r="122" spans="1:14" ht="15.75" x14ac:dyDescent="0.25">
      <c r="A122" s="1">
        <v>-64.2</v>
      </c>
      <c r="B122" s="4" t="s">
        <v>30</v>
      </c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15"/>
      <c r="N122" s="7">
        <f t="shared" si="9"/>
        <v>-64.2</v>
      </c>
    </row>
    <row r="123" spans="1:14" ht="15.75" x14ac:dyDescent="0.25">
      <c r="A123" s="1" t="s">
        <v>74</v>
      </c>
      <c r="B123" s="4" t="s">
        <v>31</v>
      </c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15"/>
      <c r="N123" s="7"/>
    </row>
    <row r="124" spans="1:14" ht="15.75" x14ac:dyDescent="0.25">
      <c r="A124" s="1" t="s">
        <v>74</v>
      </c>
      <c r="B124" s="4" t="s">
        <v>32</v>
      </c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15"/>
      <c r="N124" s="7"/>
    </row>
    <row r="125" spans="1:14" ht="15.75" x14ac:dyDescent="0.25">
      <c r="A125" s="1">
        <v>-306</v>
      </c>
      <c r="B125" s="4" t="s">
        <v>33</v>
      </c>
      <c r="C125" s="7">
        <v>14</v>
      </c>
      <c r="D125" s="7">
        <v>64.8</v>
      </c>
      <c r="E125" s="7">
        <v>26</v>
      </c>
      <c r="F125" s="7" t="s">
        <v>74</v>
      </c>
      <c r="G125" s="7"/>
      <c r="H125" s="7">
        <v>18.2</v>
      </c>
      <c r="I125" s="7"/>
      <c r="J125" s="7"/>
      <c r="K125" s="7" t="s">
        <v>74</v>
      </c>
      <c r="L125" s="7">
        <f>SUM(C125:K125)</f>
        <v>123</v>
      </c>
      <c r="M125" s="16"/>
      <c r="N125" s="7">
        <f>M125+A125-L125</f>
        <v>-429</v>
      </c>
    </row>
    <row r="126" spans="1:14" ht="15.75" x14ac:dyDescent="0.25">
      <c r="A126" s="1">
        <v>0</v>
      </c>
      <c r="B126" s="4" t="s">
        <v>34</v>
      </c>
      <c r="C126" s="6"/>
      <c r="D126" s="6"/>
      <c r="E126" s="6"/>
      <c r="F126" s="7"/>
      <c r="G126" s="7">
        <v>13</v>
      </c>
      <c r="H126" s="7">
        <v>13</v>
      </c>
      <c r="I126" s="7">
        <v>13</v>
      </c>
      <c r="J126" s="7"/>
      <c r="K126" s="7"/>
      <c r="L126" s="7">
        <f>SUM(C126:K126)</f>
        <v>39</v>
      </c>
      <c r="M126" s="15">
        <v>0</v>
      </c>
      <c r="N126" s="7">
        <f>M126+A126-L126</f>
        <v>-39</v>
      </c>
    </row>
    <row r="127" spans="1:14" ht="15.75" x14ac:dyDescent="0.25">
      <c r="A127" s="1">
        <v>-12.4</v>
      </c>
      <c r="B127" s="4" t="s">
        <v>35</v>
      </c>
      <c r="C127" s="6"/>
      <c r="D127" s="6"/>
      <c r="E127" s="6"/>
      <c r="F127" s="7"/>
      <c r="G127" s="7"/>
      <c r="H127" s="7"/>
      <c r="I127" s="7"/>
      <c r="J127" s="7"/>
      <c r="K127" s="7"/>
      <c r="L127" s="7"/>
      <c r="M127" s="15"/>
      <c r="N127" s="7">
        <f>M127+A127-L127</f>
        <v>-12.4</v>
      </c>
    </row>
    <row r="128" spans="1:14" ht="15.75" x14ac:dyDescent="0.25">
      <c r="A128" s="1">
        <v>-0.7</v>
      </c>
      <c r="B128" s="4" t="s">
        <v>36</v>
      </c>
      <c r="C128" s="7" t="s">
        <v>74</v>
      </c>
      <c r="D128" s="6"/>
      <c r="E128" s="6"/>
      <c r="F128" s="7"/>
      <c r="G128" s="7">
        <v>40.6</v>
      </c>
      <c r="H128" s="7"/>
      <c r="I128" s="7">
        <v>74.900000000000006</v>
      </c>
      <c r="J128" s="7"/>
      <c r="K128" s="7"/>
      <c r="L128" s="7">
        <f>SUM(C128:K128)</f>
        <v>115.5</v>
      </c>
      <c r="M128" s="15">
        <v>0</v>
      </c>
      <c r="N128" s="7">
        <f>M128+A128-L128</f>
        <v>-116.2</v>
      </c>
    </row>
    <row r="129" spans="1:14" ht="15.75" x14ac:dyDescent="0.25">
      <c r="A129" s="1">
        <v>-59.4</v>
      </c>
      <c r="B129" s="4" t="s">
        <v>37</v>
      </c>
      <c r="C129" s="6"/>
      <c r="D129" s="6"/>
      <c r="E129" s="10" t="s">
        <v>74</v>
      </c>
      <c r="F129" s="7" t="s">
        <v>74</v>
      </c>
      <c r="G129" s="7"/>
      <c r="H129" s="7"/>
      <c r="I129" s="7"/>
      <c r="J129" s="7"/>
      <c r="K129" s="7"/>
      <c r="L129" s="7">
        <f>SUM(C129:K129)</f>
        <v>0</v>
      </c>
      <c r="M129" s="15"/>
      <c r="N129" s="7">
        <f>M129+A129-L129</f>
        <v>-59.4</v>
      </c>
    </row>
    <row r="130" spans="1:14" ht="15.75" x14ac:dyDescent="0.25">
      <c r="A130" s="1" t="s">
        <v>74</v>
      </c>
      <c r="B130" s="4" t="s">
        <v>38</v>
      </c>
      <c r="C130" s="6"/>
      <c r="D130" s="6"/>
      <c r="E130" s="6"/>
      <c r="F130" s="7"/>
      <c r="G130" s="7"/>
      <c r="H130" s="7"/>
      <c r="I130" s="7"/>
      <c r="J130" s="7"/>
      <c r="K130" s="7"/>
      <c r="L130" s="7"/>
      <c r="M130" s="15"/>
      <c r="N130" s="7"/>
    </row>
    <row r="131" spans="1:14" ht="15.75" x14ac:dyDescent="0.25">
      <c r="A131" s="1">
        <v>0.2</v>
      </c>
      <c r="B131" s="4" t="s">
        <v>39</v>
      </c>
      <c r="C131" s="6"/>
      <c r="D131" s="6"/>
      <c r="E131" s="6"/>
      <c r="F131" s="7"/>
      <c r="G131" s="7"/>
      <c r="H131" s="7"/>
      <c r="I131" s="7"/>
      <c r="J131" s="7" t="s">
        <v>74</v>
      </c>
      <c r="K131" s="7"/>
      <c r="L131" s="7">
        <f>SUM(C131:K131)</f>
        <v>0</v>
      </c>
      <c r="M131" s="15"/>
      <c r="N131" s="7">
        <f t="shared" ref="N131:N147" si="10">M131+A131-L131</f>
        <v>0.2</v>
      </c>
    </row>
    <row r="132" spans="1:14" ht="15.75" x14ac:dyDescent="0.25">
      <c r="A132" s="1">
        <v>0</v>
      </c>
      <c r="B132" s="4" t="s">
        <v>40</v>
      </c>
      <c r="C132" s="6"/>
      <c r="D132" s="6"/>
      <c r="E132" s="6"/>
      <c r="F132" s="7"/>
      <c r="G132" s="7"/>
      <c r="H132" s="7"/>
      <c r="I132" s="7"/>
      <c r="J132" s="7"/>
      <c r="K132" s="7"/>
      <c r="L132" s="7"/>
      <c r="M132" s="15"/>
      <c r="N132" s="7">
        <f t="shared" si="10"/>
        <v>0</v>
      </c>
    </row>
    <row r="133" spans="1:14" ht="15.75" x14ac:dyDescent="0.25">
      <c r="A133" s="1">
        <v>41.3</v>
      </c>
      <c r="B133" s="4" t="s">
        <v>41</v>
      </c>
      <c r="C133" s="7" t="s">
        <v>74</v>
      </c>
      <c r="D133" s="6">
        <v>13</v>
      </c>
      <c r="E133" s="6"/>
      <c r="F133" s="7"/>
      <c r="G133" s="7"/>
      <c r="H133" s="7"/>
      <c r="I133" s="7"/>
      <c r="J133" s="7"/>
      <c r="K133" s="7"/>
      <c r="L133" s="7">
        <f>SUM(C133:K133)</f>
        <v>13</v>
      </c>
      <c r="M133" s="15">
        <v>0</v>
      </c>
      <c r="N133" s="7">
        <f t="shared" si="10"/>
        <v>28.299999999999997</v>
      </c>
    </row>
    <row r="134" spans="1:14" ht="15.75" x14ac:dyDescent="0.25">
      <c r="A134" s="1">
        <v>-18</v>
      </c>
      <c r="B134" s="4" t="s">
        <v>42</v>
      </c>
      <c r="C134" s="7"/>
      <c r="D134" s="7"/>
      <c r="E134" s="7"/>
      <c r="F134" s="7"/>
      <c r="G134" s="7">
        <v>13</v>
      </c>
      <c r="H134" s="7"/>
      <c r="I134" s="7"/>
      <c r="J134" s="7"/>
      <c r="K134" s="7"/>
      <c r="L134" s="7">
        <f>SUM(C134:K134)</f>
        <v>13</v>
      </c>
      <c r="M134" s="15">
        <v>9</v>
      </c>
      <c r="N134" s="7">
        <f t="shared" si="10"/>
        <v>-22</v>
      </c>
    </row>
    <row r="135" spans="1:14" ht="15.75" x14ac:dyDescent="0.25">
      <c r="A135" s="1">
        <v>-8</v>
      </c>
      <c r="B135" s="4" t="s">
        <v>43</v>
      </c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15"/>
      <c r="N135" s="7">
        <f t="shared" si="10"/>
        <v>-8</v>
      </c>
    </row>
    <row r="136" spans="1:14" ht="15.75" x14ac:dyDescent="0.25">
      <c r="A136" s="1">
        <v>-6</v>
      </c>
      <c r="B136" s="4" t="s">
        <v>44</v>
      </c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15"/>
      <c r="N136" s="7">
        <f t="shared" si="10"/>
        <v>-6</v>
      </c>
    </row>
    <row r="137" spans="1:14" ht="15.75" x14ac:dyDescent="0.25">
      <c r="A137" s="1">
        <v>-329.5</v>
      </c>
      <c r="B137" s="4" t="s">
        <v>45</v>
      </c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15"/>
      <c r="N137" s="7">
        <f t="shared" si="10"/>
        <v>-329.5</v>
      </c>
    </row>
    <row r="138" spans="1:14" ht="15.75" x14ac:dyDescent="0.25">
      <c r="A138" s="1">
        <v>-68</v>
      </c>
      <c r="B138" s="4" t="s">
        <v>46</v>
      </c>
      <c r="C138" s="7"/>
      <c r="D138" s="7"/>
      <c r="E138" s="7"/>
      <c r="F138" s="7"/>
      <c r="G138" s="7">
        <v>26</v>
      </c>
      <c r="H138" s="7"/>
      <c r="I138" s="7">
        <v>13</v>
      </c>
      <c r="J138" s="7">
        <v>13</v>
      </c>
      <c r="K138" s="7"/>
      <c r="L138" s="7">
        <f>SUM(C138:K138)</f>
        <v>52</v>
      </c>
      <c r="M138" s="15"/>
      <c r="N138" s="7">
        <f t="shared" si="10"/>
        <v>-120</v>
      </c>
    </row>
    <row r="139" spans="1:14" ht="15.75" x14ac:dyDescent="0.25">
      <c r="A139" s="1">
        <v>0</v>
      </c>
      <c r="B139" s="4" t="s">
        <v>47</v>
      </c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15">
        <v>0</v>
      </c>
      <c r="N139" s="7">
        <f t="shared" si="10"/>
        <v>0</v>
      </c>
    </row>
    <row r="140" spans="1:14" ht="15.75" x14ac:dyDescent="0.25">
      <c r="A140" s="1">
        <v>-27</v>
      </c>
      <c r="B140" s="4" t="s">
        <v>48</v>
      </c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15">
        <v>0</v>
      </c>
      <c r="N140" s="7">
        <f t="shared" si="10"/>
        <v>-27</v>
      </c>
    </row>
    <row r="141" spans="1:14" ht="15.75" x14ac:dyDescent="0.25">
      <c r="A141" s="1">
        <v>-26</v>
      </c>
      <c r="B141" s="4" t="s">
        <v>49</v>
      </c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15"/>
      <c r="N141" s="7">
        <f t="shared" si="10"/>
        <v>-26</v>
      </c>
    </row>
    <row r="142" spans="1:14" ht="15.75" x14ac:dyDescent="0.25">
      <c r="A142" s="1">
        <v>-42</v>
      </c>
      <c r="B142" s="4" t="s">
        <v>50</v>
      </c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15">
        <v>59.5</v>
      </c>
      <c r="N142" s="7">
        <f t="shared" si="10"/>
        <v>17.5</v>
      </c>
    </row>
    <row r="143" spans="1:14" ht="15.75" x14ac:dyDescent="0.25">
      <c r="A143" s="1">
        <v>-12</v>
      </c>
      <c r="B143" s="4" t="s">
        <v>51</v>
      </c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15">
        <v>0</v>
      </c>
      <c r="N143" s="7">
        <f t="shared" si="10"/>
        <v>-12</v>
      </c>
    </row>
    <row r="144" spans="1:14" ht="15.75" x14ac:dyDescent="0.25">
      <c r="A144" s="1">
        <v>-1011.9</v>
      </c>
      <c r="B144" s="4" t="s">
        <v>52</v>
      </c>
      <c r="C144" s="7"/>
      <c r="D144" s="7"/>
      <c r="E144" s="7"/>
      <c r="F144" s="7" t="s">
        <v>74</v>
      </c>
      <c r="G144" s="7" t="s">
        <v>74</v>
      </c>
      <c r="H144" s="7"/>
      <c r="I144" s="7">
        <v>143.5</v>
      </c>
      <c r="J144" s="7">
        <v>361.2</v>
      </c>
      <c r="K144" s="7"/>
      <c r="L144" s="7">
        <f>SUM(C144:K144)</f>
        <v>504.7</v>
      </c>
      <c r="M144" s="16">
        <v>300</v>
      </c>
      <c r="N144" s="8">
        <f t="shared" si="10"/>
        <v>-1216.5999999999999</v>
      </c>
    </row>
    <row r="145" spans="1:18" ht="15.75" x14ac:dyDescent="0.25">
      <c r="A145" s="1">
        <v>-408.09</v>
      </c>
      <c r="B145" s="4" t="s">
        <v>53</v>
      </c>
      <c r="C145" s="7"/>
      <c r="D145" s="7"/>
      <c r="E145" s="7"/>
      <c r="F145" s="7"/>
      <c r="G145" s="7">
        <v>13</v>
      </c>
      <c r="H145" s="7" t="s">
        <v>74</v>
      </c>
      <c r="I145" s="7"/>
      <c r="J145" s="7"/>
      <c r="K145" s="7"/>
      <c r="L145" s="7">
        <f t="shared" ref="L145:L146" si="11">SUM(C145:K145)</f>
        <v>13</v>
      </c>
      <c r="M145" s="16"/>
      <c r="N145" s="7">
        <f t="shared" si="10"/>
        <v>-421.09</v>
      </c>
    </row>
    <row r="146" spans="1:18" ht="15.75" x14ac:dyDescent="0.25">
      <c r="A146" s="1">
        <v>-30</v>
      </c>
      <c r="B146" s="4" t="s">
        <v>54</v>
      </c>
      <c r="C146" s="6"/>
      <c r="D146" s="6"/>
      <c r="E146" s="6"/>
      <c r="F146" s="7"/>
      <c r="G146" s="7" t="s">
        <v>74</v>
      </c>
      <c r="H146" s="7">
        <v>13.3</v>
      </c>
      <c r="I146" s="7" t="s">
        <v>74</v>
      </c>
      <c r="J146" s="7"/>
      <c r="K146" s="7"/>
      <c r="L146" s="7">
        <f t="shared" si="11"/>
        <v>13.3</v>
      </c>
      <c r="M146" s="16">
        <v>30</v>
      </c>
      <c r="N146" s="7">
        <f t="shared" si="10"/>
        <v>-13.3</v>
      </c>
    </row>
    <row r="147" spans="1:18" ht="15.75" x14ac:dyDescent="0.25">
      <c r="A147" s="1">
        <v>0</v>
      </c>
      <c r="B147" s="4" t="s">
        <v>55</v>
      </c>
      <c r="C147" s="7" t="s">
        <v>74</v>
      </c>
      <c r="D147" s="6"/>
      <c r="E147" s="6"/>
      <c r="F147" s="7"/>
      <c r="G147" s="7"/>
      <c r="H147" s="7"/>
      <c r="I147" s="7"/>
      <c r="J147" s="7"/>
      <c r="K147" s="7"/>
      <c r="L147" s="7">
        <f>SUM(C147:K147)</f>
        <v>0</v>
      </c>
      <c r="M147" s="15">
        <v>0</v>
      </c>
      <c r="N147" s="7">
        <f t="shared" si="10"/>
        <v>0</v>
      </c>
    </row>
    <row r="148" spans="1:18" ht="15.75" x14ac:dyDescent="0.25">
      <c r="A148" s="1">
        <v>0</v>
      </c>
      <c r="B148" s="4" t="s">
        <v>82</v>
      </c>
      <c r="C148" s="6"/>
      <c r="D148" s="6"/>
      <c r="E148" s="6"/>
      <c r="F148" s="7"/>
      <c r="G148" s="7"/>
      <c r="H148" s="7"/>
      <c r="I148" s="7"/>
      <c r="J148" s="7"/>
      <c r="K148" s="7"/>
      <c r="L148" s="7">
        <v>0</v>
      </c>
      <c r="M148" s="16">
        <v>13</v>
      </c>
      <c r="N148" s="7">
        <f t="shared" ref="N148:N158" si="12">M148+A148-L148</f>
        <v>13</v>
      </c>
    </row>
    <row r="149" spans="1:18" ht="15.75" x14ac:dyDescent="0.25">
      <c r="A149" s="1">
        <v>0.7</v>
      </c>
      <c r="B149" s="4" t="s">
        <v>57</v>
      </c>
      <c r="C149" s="6"/>
      <c r="D149" s="6"/>
      <c r="E149" s="6"/>
      <c r="F149" s="7"/>
      <c r="G149" s="7"/>
      <c r="H149" s="7"/>
      <c r="I149" s="7"/>
      <c r="J149" s="7"/>
      <c r="K149" s="7"/>
      <c r="L149" s="7"/>
      <c r="M149" s="15"/>
      <c r="N149" s="7">
        <f t="shared" si="12"/>
        <v>0.7</v>
      </c>
    </row>
    <row r="150" spans="1:18" ht="15.75" x14ac:dyDescent="0.25">
      <c r="A150" s="1">
        <v>-115.5</v>
      </c>
      <c r="B150" s="4" t="s">
        <v>58</v>
      </c>
      <c r="C150" s="6"/>
      <c r="D150" s="6"/>
      <c r="E150" s="6"/>
      <c r="F150" s="7"/>
      <c r="G150" s="7"/>
      <c r="H150" s="7"/>
      <c r="I150" s="7">
        <v>11.9</v>
      </c>
      <c r="J150" s="7"/>
      <c r="K150" s="7"/>
      <c r="L150" s="7">
        <f>SUM(C150:K150)</f>
        <v>11.9</v>
      </c>
      <c r="M150" s="16"/>
      <c r="N150" s="7">
        <f t="shared" si="12"/>
        <v>-127.4</v>
      </c>
    </row>
    <row r="151" spans="1:18" ht="15.75" x14ac:dyDescent="0.25">
      <c r="A151" s="1">
        <v>-9</v>
      </c>
      <c r="B151" s="4" t="s">
        <v>59</v>
      </c>
      <c r="C151" s="6"/>
      <c r="D151" s="6"/>
      <c r="E151" s="6"/>
      <c r="F151" s="6"/>
      <c r="G151" s="6"/>
      <c r="H151" s="6"/>
      <c r="I151" s="6"/>
      <c r="J151" s="6"/>
      <c r="K151" s="6"/>
      <c r="L151" s="7"/>
      <c r="M151" s="15"/>
      <c r="N151" s="7">
        <f t="shared" si="12"/>
        <v>-9</v>
      </c>
    </row>
    <row r="152" spans="1:18" ht="15.75" x14ac:dyDescent="0.25">
      <c r="A152" s="1">
        <v>-8</v>
      </c>
      <c r="B152" s="4" t="s">
        <v>60</v>
      </c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16"/>
      <c r="N152" s="7">
        <f t="shared" si="12"/>
        <v>-8</v>
      </c>
    </row>
    <row r="153" spans="1:18" ht="15.75" x14ac:dyDescent="0.25">
      <c r="A153" s="1">
        <v>-9</v>
      </c>
      <c r="B153" s="4" t="s">
        <v>61</v>
      </c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15"/>
      <c r="N153" s="7">
        <f t="shared" si="12"/>
        <v>-9</v>
      </c>
    </row>
    <row r="154" spans="1:18" ht="15.75" x14ac:dyDescent="0.25">
      <c r="A154" s="1">
        <v>0</v>
      </c>
      <c r="B154" s="4" t="s">
        <v>81</v>
      </c>
      <c r="C154" s="7"/>
      <c r="D154" s="7"/>
      <c r="E154" s="7"/>
      <c r="F154" s="7"/>
      <c r="G154" s="7">
        <v>13</v>
      </c>
      <c r="H154" s="6"/>
      <c r="I154" s="7"/>
      <c r="J154" s="7"/>
      <c r="K154" s="7"/>
      <c r="L154" s="7">
        <f t="shared" ref="L154:L157" si="13">SUM(C154:K154)</f>
        <v>13</v>
      </c>
      <c r="M154" s="15">
        <v>13</v>
      </c>
      <c r="N154" s="7">
        <f t="shared" si="12"/>
        <v>0</v>
      </c>
    </row>
    <row r="155" spans="1:18" ht="15.75" x14ac:dyDescent="0.25">
      <c r="A155" s="1">
        <v>18.7</v>
      </c>
      <c r="B155" s="4" t="s">
        <v>63</v>
      </c>
      <c r="C155" s="7"/>
      <c r="D155" s="7"/>
      <c r="E155" s="7"/>
      <c r="F155" s="7"/>
      <c r="G155" s="7"/>
      <c r="H155" s="6"/>
      <c r="I155" s="6">
        <v>11.9</v>
      </c>
      <c r="J155" s="6"/>
      <c r="K155" s="6"/>
      <c r="L155" s="7">
        <f t="shared" si="13"/>
        <v>11.9</v>
      </c>
      <c r="M155" s="16"/>
      <c r="N155" s="7">
        <f t="shared" si="12"/>
        <v>6.7999999999999989</v>
      </c>
    </row>
    <row r="156" spans="1:18" ht="15.75" x14ac:dyDescent="0.25">
      <c r="A156" s="1">
        <v>-14</v>
      </c>
      <c r="B156" s="4" t="s">
        <v>64</v>
      </c>
      <c r="C156" s="7"/>
      <c r="D156" s="7"/>
      <c r="E156" s="7"/>
      <c r="F156" s="7"/>
      <c r="G156" s="7"/>
      <c r="H156" s="6"/>
      <c r="I156" s="6"/>
      <c r="J156" s="6"/>
      <c r="K156" s="6"/>
      <c r="L156" s="7">
        <f t="shared" si="13"/>
        <v>0</v>
      </c>
      <c r="M156" s="15">
        <v>14</v>
      </c>
      <c r="N156" s="7">
        <f t="shared" si="12"/>
        <v>0</v>
      </c>
    </row>
    <row r="157" spans="1:18" ht="15.75" x14ac:dyDescent="0.25">
      <c r="A157" s="1">
        <v>0</v>
      </c>
      <c r="B157" s="4" t="s">
        <v>65</v>
      </c>
      <c r="C157" s="7"/>
      <c r="D157" s="7">
        <v>13</v>
      </c>
      <c r="E157" s="7">
        <v>13</v>
      </c>
      <c r="F157" s="7">
        <v>11.9</v>
      </c>
      <c r="G157" s="7"/>
      <c r="H157" s="6"/>
      <c r="I157" s="6"/>
      <c r="J157" s="6">
        <v>13</v>
      </c>
      <c r="K157" s="6"/>
      <c r="L157" s="7">
        <f t="shared" si="13"/>
        <v>50.9</v>
      </c>
      <c r="M157" s="16">
        <v>13</v>
      </c>
      <c r="N157" s="7">
        <f t="shared" si="12"/>
        <v>-37.9</v>
      </c>
    </row>
    <row r="158" spans="1:18" ht="15.75" x14ac:dyDescent="0.25">
      <c r="A158" s="1">
        <v>-13</v>
      </c>
      <c r="B158" s="4" t="s">
        <v>66</v>
      </c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16"/>
      <c r="N158" s="7">
        <f t="shared" si="12"/>
        <v>-13</v>
      </c>
    </row>
    <row r="159" spans="1:18" ht="15.75" x14ac:dyDescent="0.25">
      <c r="A159" s="3">
        <v>-23.5</v>
      </c>
      <c r="B159" s="6" t="s">
        <v>70</v>
      </c>
      <c r="D159" s="6"/>
      <c r="E159" s="7" t="s">
        <v>74</v>
      </c>
      <c r="F159" s="6"/>
      <c r="G159" s="6"/>
      <c r="H159" s="6"/>
      <c r="I159" s="6"/>
      <c r="J159" s="6" t="s">
        <v>78</v>
      </c>
      <c r="K159" s="6"/>
      <c r="L159" s="7">
        <f>SUM(C159:K159)</f>
        <v>0</v>
      </c>
      <c r="M159" s="16">
        <v>0</v>
      </c>
      <c r="N159" s="7">
        <v>-23.5</v>
      </c>
    </row>
    <row r="160" spans="1:18" ht="15.75" x14ac:dyDescent="0.25">
      <c r="A160" s="1">
        <v>123.9</v>
      </c>
      <c r="B160" s="8" t="s">
        <v>71</v>
      </c>
      <c r="D160" s="7"/>
      <c r="E160" s="7"/>
      <c r="F160" s="7"/>
      <c r="G160" s="7"/>
      <c r="H160" s="7"/>
      <c r="I160" s="7">
        <v>44.1</v>
      </c>
      <c r="J160" s="7"/>
      <c r="K160" s="7"/>
      <c r="L160" s="7">
        <f>SUM(C160:K160)</f>
        <v>44.1</v>
      </c>
      <c r="M160" s="15">
        <v>0</v>
      </c>
      <c r="N160" s="7">
        <f>M160+A160-L160</f>
        <v>79.800000000000011</v>
      </c>
      <c r="R160" t="s">
        <v>74</v>
      </c>
    </row>
    <row r="161" spans="1:16" ht="15.75" x14ac:dyDescent="0.25">
      <c r="A161" s="1">
        <v>96</v>
      </c>
      <c r="B161" s="9" t="s">
        <v>72</v>
      </c>
      <c r="C161" s="6"/>
      <c r="D161" s="6"/>
      <c r="E161" s="6"/>
      <c r="F161" s="6"/>
      <c r="G161" s="6"/>
      <c r="H161" s="6"/>
      <c r="I161" s="6"/>
      <c r="J161" s="7"/>
      <c r="K161" s="6"/>
      <c r="L161" s="7"/>
      <c r="M161" s="15">
        <v>0</v>
      </c>
      <c r="N161" s="7">
        <f>M161+A161-L161</f>
        <v>96</v>
      </c>
    </row>
    <row r="162" spans="1:16" ht="15.75" x14ac:dyDescent="0.25">
      <c r="A162" s="1" t="s">
        <v>74</v>
      </c>
      <c r="B162" t="s">
        <v>80</v>
      </c>
      <c r="C162" s="6"/>
      <c r="D162" s="6"/>
      <c r="E162" s="6"/>
      <c r="F162" s="6"/>
      <c r="G162" s="6"/>
      <c r="H162" s="6">
        <v>19.600000000000001</v>
      </c>
      <c r="I162" s="6"/>
      <c r="J162" s="6"/>
      <c r="K162" s="6"/>
      <c r="L162" s="7">
        <f>SUM(C162:K162)</f>
        <v>19.600000000000001</v>
      </c>
      <c r="M162" s="15"/>
      <c r="N162" s="7">
        <v>-19.600000000000001</v>
      </c>
    </row>
    <row r="163" spans="1:16" ht="15.75" x14ac:dyDescent="0.25">
      <c r="A163" s="1">
        <f>SUM(A90:A162)</f>
        <v>-5566.8000000000011</v>
      </c>
      <c r="B163" s="6" t="s">
        <v>73</v>
      </c>
      <c r="C163" s="7">
        <f t="shared" ref="C163:K163" si="14">SUM(C90:C162)</f>
        <v>63.7</v>
      </c>
      <c r="D163" s="7">
        <f t="shared" si="14"/>
        <v>158</v>
      </c>
      <c r="E163" s="7">
        <f t="shared" si="14"/>
        <v>56.5</v>
      </c>
      <c r="F163" s="7">
        <f t="shared" si="14"/>
        <v>11.9</v>
      </c>
      <c r="G163" s="7">
        <f t="shared" si="14"/>
        <v>930.1</v>
      </c>
      <c r="H163" s="7">
        <f t="shared" si="14"/>
        <v>103.1</v>
      </c>
      <c r="I163" s="7">
        <f t="shared" si="14"/>
        <v>413.79999999999995</v>
      </c>
      <c r="J163" s="7">
        <f t="shared" si="14"/>
        <v>387.2</v>
      </c>
      <c r="K163" s="7">
        <f t="shared" si="14"/>
        <v>0</v>
      </c>
      <c r="L163" s="7">
        <f>SUM(L91:L162)</f>
        <v>2124.3000000000002</v>
      </c>
      <c r="M163" s="15">
        <f>SUM(M90:M162)</f>
        <v>2002.7000000000003</v>
      </c>
      <c r="N163" s="7">
        <f>M163+A163-L163</f>
        <v>-5688.4000000000015</v>
      </c>
    </row>
    <row r="165" spans="1:16" x14ac:dyDescent="0.25">
      <c r="O165" t="s">
        <v>74</v>
      </c>
    </row>
    <row r="166" spans="1:16" x14ac:dyDescent="0.25">
      <c r="P166" t="s">
        <v>74</v>
      </c>
    </row>
    <row r="167" spans="1:16" x14ac:dyDescent="0.25">
      <c r="L167">
        <f>SUM(C163:K163)</f>
        <v>2124.2999999999997</v>
      </c>
      <c r="M167">
        <f>SUM(M90:M161)</f>
        <v>2002.7000000000003</v>
      </c>
      <c r="N167" s="13">
        <f>SUM(N90:N162)</f>
        <v>-5688.4</v>
      </c>
    </row>
    <row r="172" spans="1:16" x14ac:dyDescent="0.25">
      <c r="P172" t="s">
        <v>74</v>
      </c>
    </row>
    <row r="175" spans="1:16" ht="15.75" x14ac:dyDescent="0.25">
      <c r="A175" s="70" t="s">
        <v>85</v>
      </c>
      <c r="B175" s="70" t="s">
        <v>75</v>
      </c>
      <c r="C175" s="66" t="s">
        <v>84</v>
      </c>
      <c r="D175" s="67"/>
      <c r="E175" s="67"/>
      <c r="F175" s="67"/>
      <c r="G175" s="67"/>
      <c r="H175" s="67"/>
      <c r="I175" s="72"/>
      <c r="J175" s="6"/>
      <c r="K175" s="6"/>
      <c r="L175" s="70" t="s">
        <v>68</v>
      </c>
      <c r="M175" s="73" t="s">
        <v>69</v>
      </c>
      <c r="N175" s="70" t="s">
        <v>83</v>
      </c>
    </row>
    <row r="176" spans="1:16" ht="15.75" x14ac:dyDescent="0.25">
      <c r="A176" s="71"/>
      <c r="B176" s="71"/>
      <c r="C176" s="6">
        <v>93</v>
      </c>
      <c r="D176" s="6">
        <v>94</v>
      </c>
      <c r="E176" s="6">
        <v>95</v>
      </c>
      <c r="F176" s="6">
        <v>96</v>
      </c>
      <c r="G176" s="6">
        <v>97</v>
      </c>
      <c r="H176" s="6">
        <v>98</v>
      </c>
      <c r="I176" s="6">
        <v>99</v>
      </c>
      <c r="J176" s="6">
        <v>100</v>
      </c>
      <c r="K176" s="6">
        <v>101</v>
      </c>
      <c r="L176" s="71"/>
      <c r="M176" s="74"/>
      <c r="N176" s="71"/>
    </row>
    <row r="177" spans="1:18" ht="15.75" x14ac:dyDescent="0.25">
      <c r="A177" s="1">
        <v>-42.8</v>
      </c>
      <c r="B177" s="4" t="s">
        <v>0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7">
        <f t="shared" ref="N177:N185" si="15">M177+A177-L177</f>
        <v>-42.8</v>
      </c>
      <c r="P177">
        <v>-42.8</v>
      </c>
    </row>
    <row r="178" spans="1:18" ht="15.75" x14ac:dyDescent="0.25">
      <c r="A178" s="1">
        <v>-700</v>
      </c>
      <c r="B178" s="4" t="s">
        <v>1</v>
      </c>
      <c r="C178" s="7"/>
      <c r="D178" s="7" t="s">
        <v>74</v>
      </c>
      <c r="E178" s="7">
        <v>13</v>
      </c>
      <c r="F178" s="6"/>
      <c r="G178" s="6" t="s">
        <v>74</v>
      </c>
      <c r="H178" s="6"/>
      <c r="I178" s="6"/>
      <c r="J178" s="6"/>
      <c r="K178" s="6">
        <v>13</v>
      </c>
      <c r="L178" s="7">
        <f>SUM(C178:K178)</f>
        <v>26</v>
      </c>
      <c r="M178" s="18">
        <v>200</v>
      </c>
      <c r="N178" s="7">
        <f t="shared" si="15"/>
        <v>-526</v>
      </c>
      <c r="P178">
        <v>-526</v>
      </c>
    </row>
    <row r="179" spans="1:18" ht="15.75" x14ac:dyDescent="0.25">
      <c r="A179" s="1">
        <v>-92.1</v>
      </c>
      <c r="B179" s="4" t="s">
        <v>2</v>
      </c>
      <c r="C179" s="6"/>
      <c r="D179" s="6"/>
      <c r="E179" s="6" t="s">
        <v>74</v>
      </c>
      <c r="F179" s="7">
        <v>100</v>
      </c>
      <c r="G179" s="6"/>
      <c r="H179" s="6"/>
      <c r="I179" s="6"/>
      <c r="J179" s="6"/>
      <c r="K179" s="6"/>
      <c r="L179" s="7">
        <f>SUM(C179:K179)</f>
        <v>100</v>
      </c>
      <c r="M179" s="19">
        <v>196.1</v>
      </c>
      <c r="N179" s="7">
        <f t="shared" si="15"/>
        <v>4</v>
      </c>
      <c r="P179">
        <v>4</v>
      </c>
    </row>
    <row r="180" spans="1:18" ht="15.75" x14ac:dyDescent="0.25">
      <c r="A180" s="1">
        <v>-25.8</v>
      </c>
      <c r="B180" s="4" t="s">
        <v>3</v>
      </c>
      <c r="C180" s="6"/>
      <c r="D180" s="6"/>
      <c r="E180" s="6"/>
      <c r="F180" s="6"/>
      <c r="G180" s="6"/>
      <c r="H180" s="6"/>
      <c r="I180" s="6"/>
      <c r="J180" s="6"/>
      <c r="K180" s="6"/>
      <c r="L180" s="7">
        <f t="shared" ref="L180:L181" si="16">SUM(C180:K180)</f>
        <v>0</v>
      </c>
      <c r="M180" s="16"/>
      <c r="N180" s="7">
        <f t="shared" si="15"/>
        <v>-25.8</v>
      </c>
      <c r="P180">
        <v>-25.8</v>
      </c>
    </row>
    <row r="181" spans="1:18" ht="15.75" x14ac:dyDescent="0.25">
      <c r="A181" s="1">
        <v>-70</v>
      </c>
      <c r="B181" s="4" t="s">
        <v>4</v>
      </c>
      <c r="C181" s="6"/>
      <c r="D181" s="7" t="s">
        <v>74</v>
      </c>
      <c r="E181" s="6">
        <v>14</v>
      </c>
      <c r="F181" s="6"/>
      <c r="G181" s="6"/>
      <c r="H181" s="6"/>
      <c r="I181" s="6"/>
      <c r="J181" s="6"/>
      <c r="K181" s="6"/>
      <c r="L181" s="7">
        <f t="shared" si="16"/>
        <v>14</v>
      </c>
      <c r="M181" s="19">
        <v>80</v>
      </c>
      <c r="N181" s="7">
        <f t="shared" si="15"/>
        <v>-4</v>
      </c>
      <c r="P181">
        <v>-4</v>
      </c>
      <c r="Q181" t="s">
        <v>74</v>
      </c>
    </row>
    <row r="182" spans="1:18" ht="15.75" x14ac:dyDescent="0.25">
      <c r="A182" s="1">
        <v>-232.1</v>
      </c>
      <c r="B182" s="4" t="s">
        <v>5</v>
      </c>
      <c r="C182" s="6"/>
      <c r="D182" s="6"/>
      <c r="E182" s="6"/>
      <c r="F182" s="6"/>
      <c r="G182" s="6"/>
      <c r="H182" s="7" t="s">
        <v>74</v>
      </c>
      <c r="I182" s="6"/>
      <c r="J182" s="6"/>
      <c r="K182" s="6"/>
      <c r="L182" s="7">
        <f>SUM(C182:K182)</f>
        <v>0</v>
      </c>
      <c r="M182" s="16"/>
      <c r="N182" s="7">
        <f t="shared" si="15"/>
        <v>-232.1</v>
      </c>
      <c r="P182">
        <v>-285.2</v>
      </c>
    </row>
    <row r="183" spans="1:18" ht="15.75" x14ac:dyDescent="0.25">
      <c r="A183" s="1">
        <v>-53.1</v>
      </c>
      <c r="B183" s="4" t="s">
        <v>6</v>
      </c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16"/>
      <c r="N183" s="7">
        <f t="shared" si="15"/>
        <v>-53.1</v>
      </c>
      <c r="P183" t="s">
        <v>98</v>
      </c>
    </row>
    <row r="184" spans="1:18" ht="15.75" x14ac:dyDescent="0.25">
      <c r="A184" s="1">
        <v>-164</v>
      </c>
      <c r="B184" s="4" t="s">
        <v>7</v>
      </c>
      <c r="C184" s="6"/>
      <c r="D184" s="7">
        <v>21</v>
      </c>
      <c r="E184" s="6"/>
      <c r="F184" s="6"/>
      <c r="G184" s="6" t="s">
        <v>74</v>
      </c>
      <c r="H184" s="6" t="s">
        <v>74</v>
      </c>
      <c r="I184" s="6" t="s">
        <v>74</v>
      </c>
      <c r="J184" s="6"/>
      <c r="K184" s="6"/>
      <c r="L184" s="7">
        <f>SUM(C184:K184)</f>
        <v>21</v>
      </c>
      <c r="M184" s="16"/>
      <c r="N184" s="7">
        <f t="shared" si="15"/>
        <v>-185</v>
      </c>
      <c r="P184">
        <v>-193</v>
      </c>
    </row>
    <row r="185" spans="1:18" ht="15.75" x14ac:dyDescent="0.25">
      <c r="A185" s="1">
        <v>-225.6</v>
      </c>
      <c r="B185" s="4" t="s">
        <v>8</v>
      </c>
      <c r="C185" s="6"/>
      <c r="D185" s="6"/>
      <c r="E185" s="7" t="s">
        <v>74</v>
      </c>
      <c r="F185" s="6">
        <v>13</v>
      </c>
      <c r="G185" s="6"/>
      <c r="H185" s="6"/>
      <c r="I185" s="7" t="s">
        <v>74</v>
      </c>
      <c r="J185" s="6"/>
      <c r="K185" s="7" t="s">
        <v>74</v>
      </c>
      <c r="L185" s="7">
        <f>SUM(C185:K185)</f>
        <v>13</v>
      </c>
      <c r="M185" s="19">
        <v>50</v>
      </c>
      <c r="N185" s="7">
        <f t="shared" si="15"/>
        <v>-188.6</v>
      </c>
      <c r="P185">
        <v>-188.6</v>
      </c>
    </row>
    <row r="186" spans="1:18" ht="15.75" x14ac:dyDescent="0.25">
      <c r="A186" s="1">
        <v>-8</v>
      </c>
      <c r="B186" s="4" t="s">
        <v>89</v>
      </c>
      <c r="C186" s="6"/>
      <c r="D186" s="6"/>
      <c r="E186" s="7"/>
      <c r="F186" s="6"/>
      <c r="G186" s="6"/>
      <c r="H186" s="6"/>
      <c r="I186" s="6"/>
      <c r="J186" s="7"/>
      <c r="K186" s="7"/>
      <c r="L186" s="7"/>
      <c r="M186" s="16"/>
      <c r="N186" s="7">
        <v>-8</v>
      </c>
      <c r="P186" t="s">
        <v>98</v>
      </c>
    </row>
    <row r="187" spans="1:18" ht="15.75" x14ac:dyDescent="0.25">
      <c r="A187" s="1">
        <v>0</v>
      </c>
      <c r="B187" s="4" t="s">
        <v>9</v>
      </c>
      <c r="C187" s="6"/>
      <c r="D187" s="6"/>
      <c r="E187" s="6"/>
      <c r="F187" s="7" t="s">
        <v>74</v>
      </c>
      <c r="G187" s="7"/>
      <c r="H187" s="6"/>
      <c r="I187" s="6"/>
      <c r="J187" s="6"/>
      <c r="K187" s="6">
        <v>8</v>
      </c>
      <c r="L187" s="7">
        <f>SUM(C187:K187)</f>
        <v>8</v>
      </c>
      <c r="M187" s="16">
        <v>0</v>
      </c>
      <c r="N187" s="7">
        <f t="shared" ref="N187" si="17">M187+A187-L187</f>
        <v>-8</v>
      </c>
      <c r="P187">
        <v>-8</v>
      </c>
    </row>
    <row r="188" spans="1:18" ht="15.75" x14ac:dyDescent="0.25">
      <c r="A188" s="1">
        <v>-283.39999999999998</v>
      </c>
      <c r="B188" s="4" t="s">
        <v>10</v>
      </c>
      <c r="C188" s="7"/>
      <c r="D188" s="7"/>
      <c r="E188" s="7"/>
      <c r="F188" s="7"/>
      <c r="G188" s="7"/>
      <c r="H188" s="7" t="s">
        <v>74</v>
      </c>
      <c r="I188" s="7">
        <v>7</v>
      </c>
      <c r="J188" s="7"/>
      <c r="K188" s="7"/>
      <c r="L188" s="7">
        <f>SUM(C188:K188)</f>
        <v>7</v>
      </c>
      <c r="M188" s="12">
        <v>290.39999999999998</v>
      </c>
      <c r="N188" s="7">
        <f>M188+A188-L188</f>
        <v>0</v>
      </c>
      <c r="P188">
        <v>0</v>
      </c>
    </row>
    <row r="189" spans="1:18" ht="15.75" x14ac:dyDescent="0.25">
      <c r="A189" s="1">
        <v>-13</v>
      </c>
      <c r="B189" s="4" t="s">
        <v>11</v>
      </c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15"/>
      <c r="N189" s="7">
        <f t="shared" ref="N189:N194" si="18">M189+A189-L189</f>
        <v>-13</v>
      </c>
      <c r="P189" t="s">
        <v>98</v>
      </c>
      <c r="R189">
        <v>-13</v>
      </c>
    </row>
    <row r="190" spans="1:18" ht="15.75" x14ac:dyDescent="0.25">
      <c r="A190" s="1">
        <v>-269.8</v>
      </c>
      <c r="B190" s="4" t="s">
        <v>12</v>
      </c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15"/>
      <c r="N190" s="7">
        <f t="shared" si="18"/>
        <v>-269.8</v>
      </c>
      <c r="P190" s="24">
        <v>-269.8</v>
      </c>
    </row>
    <row r="191" spans="1:18" ht="15.75" x14ac:dyDescent="0.25">
      <c r="A191" s="1">
        <v>-3</v>
      </c>
      <c r="B191" s="4" t="s">
        <v>15</v>
      </c>
      <c r="C191" s="6"/>
      <c r="D191" s="6"/>
      <c r="E191" s="6"/>
      <c r="F191" s="6"/>
      <c r="G191" s="6" t="s">
        <v>74</v>
      </c>
      <c r="H191" s="6"/>
      <c r="I191" s="6"/>
      <c r="J191" s="6"/>
      <c r="K191" s="6">
        <v>8</v>
      </c>
      <c r="L191" s="7">
        <f t="shared" ref="L191:L196" si="19">SUM(C191:K191)</f>
        <v>8</v>
      </c>
      <c r="M191" s="19">
        <v>13</v>
      </c>
      <c r="N191" s="7">
        <f t="shared" si="18"/>
        <v>2</v>
      </c>
      <c r="P191" s="24">
        <v>-8</v>
      </c>
      <c r="R191">
        <v>2</v>
      </c>
    </row>
    <row r="192" spans="1:18" ht="15.75" x14ac:dyDescent="0.25">
      <c r="A192" s="1">
        <v>26.1</v>
      </c>
      <c r="B192" s="4" t="s">
        <v>16</v>
      </c>
      <c r="C192" s="7" t="s">
        <v>74</v>
      </c>
      <c r="D192" s="6"/>
      <c r="E192" s="6"/>
      <c r="F192" s="6"/>
      <c r="G192" s="6"/>
      <c r="H192" s="6"/>
      <c r="I192" s="6"/>
      <c r="J192" s="6"/>
      <c r="K192" s="6"/>
      <c r="L192" s="7">
        <f t="shared" si="19"/>
        <v>0</v>
      </c>
      <c r="M192" s="16"/>
      <c r="N192" s="7">
        <f t="shared" si="18"/>
        <v>26.1</v>
      </c>
      <c r="P192">
        <v>26.1</v>
      </c>
    </row>
    <row r="193" spans="1:20" ht="15.75" x14ac:dyDescent="0.25">
      <c r="A193" s="1">
        <v>-25.5</v>
      </c>
      <c r="B193" s="4" t="s">
        <v>18</v>
      </c>
      <c r="C193" s="7"/>
      <c r="D193" s="7"/>
      <c r="E193" s="7"/>
      <c r="F193" s="7" t="s">
        <v>74</v>
      </c>
      <c r="G193" s="7"/>
      <c r="H193" s="7"/>
      <c r="I193" s="7"/>
      <c r="J193" s="7">
        <v>13</v>
      </c>
      <c r="K193" s="7"/>
      <c r="L193" s="7">
        <f t="shared" si="19"/>
        <v>13</v>
      </c>
      <c r="M193" s="15"/>
      <c r="N193" s="25">
        <f t="shared" si="18"/>
        <v>-38.5</v>
      </c>
      <c r="R193">
        <v>-38.5</v>
      </c>
    </row>
    <row r="194" spans="1:20" ht="15.75" x14ac:dyDescent="0.25">
      <c r="A194" s="1">
        <v>0.5</v>
      </c>
      <c r="B194" s="4" t="s">
        <v>19</v>
      </c>
      <c r="C194" s="7"/>
      <c r="D194" s="7"/>
      <c r="E194" s="7"/>
      <c r="F194" s="7"/>
      <c r="G194" s="7" t="s">
        <v>74</v>
      </c>
      <c r="H194" s="7"/>
      <c r="I194" s="7"/>
      <c r="J194" s="7"/>
      <c r="K194" s="7"/>
      <c r="L194" s="7">
        <f t="shared" si="19"/>
        <v>0</v>
      </c>
      <c r="M194" s="15">
        <v>0</v>
      </c>
      <c r="N194" s="7">
        <f t="shared" si="18"/>
        <v>0.5</v>
      </c>
      <c r="P194" t="s">
        <v>98</v>
      </c>
      <c r="R194">
        <v>0.5</v>
      </c>
    </row>
    <row r="195" spans="1:20" ht="15.75" x14ac:dyDescent="0.25">
      <c r="A195" s="1">
        <v>-31.5</v>
      </c>
      <c r="B195" s="4" t="s">
        <v>79</v>
      </c>
      <c r="C195" s="7">
        <v>18</v>
      </c>
      <c r="D195" s="7"/>
      <c r="E195" s="7"/>
      <c r="F195" s="7"/>
      <c r="G195" s="7" t="s">
        <v>74</v>
      </c>
      <c r="H195" s="7"/>
      <c r="I195" s="7" t="s">
        <v>74</v>
      </c>
      <c r="J195" s="7"/>
      <c r="K195" s="7"/>
      <c r="L195" s="7">
        <f t="shared" si="19"/>
        <v>18</v>
      </c>
      <c r="M195" s="18">
        <v>49.5</v>
      </c>
      <c r="N195" s="7">
        <f t="shared" ref="N195:N203" si="20">M195+A195-L195</f>
        <v>0</v>
      </c>
      <c r="P195" t="s">
        <v>98</v>
      </c>
    </row>
    <row r="196" spans="1:20" ht="15.75" x14ac:dyDescent="0.25">
      <c r="A196" s="1">
        <v>-59.5</v>
      </c>
      <c r="B196" s="4" t="s">
        <v>21</v>
      </c>
      <c r="C196" s="7"/>
      <c r="D196" s="7"/>
      <c r="E196" s="7"/>
      <c r="F196" s="7"/>
      <c r="G196" s="7" t="s">
        <v>74</v>
      </c>
      <c r="H196" s="7"/>
      <c r="I196" s="7"/>
      <c r="J196" s="7"/>
      <c r="K196" s="7"/>
      <c r="L196" s="7">
        <f t="shared" si="19"/>
        <v>0</v>
      </c>
      <c r="M196" s="15">
        <v>0</v>
      </c>
      <c r="N196" s="7">
        <f t="shared" si="20"/>
        <v>-59.5</v>
      </c>
      <c r="P196" s="24">
        <v>-59.5</v>
      </c>
    </row>
    <row r="197" spans="1:20" ht="15.75" x14ac:dyDescent="0.25">
      <c r="A197" s="1">
        <v>-0.7</v>
      </c>
      <c r="B197" s="4" t="s">
        <v>22</v>
      </c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15"/>
      <c r="N197" s="7">
        <f t="shared" si="20"/>
        <v>-0.7</v>
      </c>
      <c r="P197" t="s">
        <v>98</v>
      </c>
      <c r="R197">
        <v>-0.7</v>
      </c>
    </row>
    <row r="198" spans="1:20" ht="15.75" x14ac:dyDescent="0.25">
      <c r="A198" s="1">
        <v>-3</v>
      </c>
      <c r="B198" s="4" t="s">
        <v>23</v>
      </c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15">
        <v>0</v>
      </c>
      <c r="N198" s="7">
        <f t="shared" si="20"/>
        <v>-3</v>
      </c>
      <c r="P198">
        <v>0</v>
      </c>
    </row>
    <row r="199" spans="1:20" ht="15.75" x14ac:dyDescent="0.25">
      <c r="A199" s="1">
        <v>-38</v>
      </c>
      <c r="B199" s="4" t="s">
        <v>24</v>
      </c>
      <c r="C199" s="7"/>
      <c r="D199" s="7"/>
      <c r="E199" s="7"/>
      <c r="F199" s="7"/>
      <c r="G199" s="7" t="s">
        <v>74</v>
      </c>
      <c r="H199" s="7">
        <v>13</v>
      </c>
      <c r="I199" s="7"/>
      <c r="J199" s="7"/>
      <c r="K199" s="7" t="s">
        <v>74</v>
      </c>
      <c r="L199" s="7">
        <f>SUM(C199:K199)</f>
        <v>13</v>
      </c>
      <c r="M199" s="18">
        <v>26</v>
      </c>
      <c r="N199" s="7">
        <f t="shared" si="20"/>
        <v>-25</v>
      </c>
      <c r="P199">
        <v>-28</v>
      </c>
    </row>
    <row r="200" spans="1:20" ht="15.75" x14ac:dyDescent="0.25">
      <c r="A200" s="1">
        <v>-95.6</v>
      </c>
      <c r="B200" s="4" t="s">
        <v>25</v>
      </c>
      <c r="C200" s="7" t="s">
        <v>74</v>
      </c>
      <c r="D200" s="7"/>
      <c r="E200" s="7"/>
      <c r="F200" s="7"/>
      <c r="G200" s="7" t="s">
        <v>74</v>
      </c>
      <c r="H200" s="7" t="s">
        <v>74</v>
      </c>
      <c r="I200" s="7"/>
      <c r="J200" s="7"/>
      <c r="K200" s="7"/>
      <c r="L200" s="7">
        <f>SUM(C200:K200)</f>
        <v>0</v>
      </c>
      <c r="M200" s="18">
        <v>13</v>
      </c>
      <c r="N200" s="25">
        <f t="shared" si="20"/>
        <v>-82.6</v>
      </c>
      <c r="P200" t="s">
        <v>74</v>
      </c>
    </row>
    <row r="201" spans="1:20" ht="15.75" x14ac:dyDescent="0.25">
      <c r="A201" s="2">
        <v>-64.400000000000006</v>
      </c>
      <c r="B201" s="5" t="s">
        <v>27</v>
      </c>
      <c r="C201" s="7"/>
      <c r="D201" s="7"/>
      <c r="E201" s="7"/>
      <c r="F201" s="7"/>
      <c r="G201" s="7"/>
      <c r="H201" s="7"/>
      <c r="I201" s="7">
        <v>19.600000000000001</v>
      </c>
      <c r="J201" s="7"/>
      <c r="K201" s="7" t="s">
        <v>74</v>
      </c>
      <c r="L201" s="7">
        <f>SUM(C201:K201)</f>
        <v>19.600000000000001</v>
      </c>
      <c r="M201" s="11">
        <v>56</v>
      </c>
      <c r="N201" s="25">
        <f t="shared" si="20"/>
        <v>-28.000000000000007</v>
      </c>
    </row>
    <row r="202" spans="1:20" ht="15.75" x14ac:dyDescent="0.25">
      <c r="A202" s="1">
        <v>-207.3</v>
      </c>
      <c r="B202" s="4" t="s">
        <v>29</v>
      </c>
      <c r="C202" s="7"/>
      <c r="D202" s="7"/>
      <c r="E202" s="7"/>
      <c r="F202" s="7"/>
      <c r="G202" s="7"/>
      <c r="H202" s="7"/>
      <c r="I202" s="7">
        <v>33.6</v>
      </c>
      <c r="J202" s="7"/>
      <c r="K202" s="7"/>
      <c r="L202" s="7">
        <f>SUM(C202:K202)</f>
        <v>33.6</v>
      </c>
      <c r="M202" s="18">
        <v>120</v>
      </c>
      <c r="N202" s="7">
        <f t="shared" si="20"/>
        <v>-120.9</v>
      </c>
      <c r="P202" s="24">
        <v>-120.9</v>
      </c>
    </row>
    <row r="203" spans="1:20" ht="15.75" x14ac:dyDescent="0.25">
      <c r="A203" s="1">
        <v>-64.2</v>
      </c>
      <c r="B203" s="4" t="s">
        <v>30</v>
      </c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15"/>
      <c r="N203" s="7">
        <f t="shared" si="20"/>
        <v>-64.2</v>
      </c>
    </row>
    <row r="204" spans="1:20" ht="15.75" x14ac:dyDescent="0.25">
      <c r="A204" s="1">
        <v>-201.6</v>
      </c>
      <c r="B204" s="4" t="s">
        <v>88</v>
      </c>
      <c r="C204" s="7"/>
      <c r="D204" s="7"/>
      <c r="E204" s="7"/>
      <c r="F204" s="7"/>
      <c r="G204" s="7"/>
      <c r="H204" s="7"/>
      <c r="I204" s="7"/>
      <c r="J204" s="7"/>
      <c r="K204" s="7"/>
      <c r="L204" s="7">
        <f>SUM(C204:K204)</f>
        <v>0</v>
      </c>
      <c r="M204" s="15">
        <v>0</v>
      </c>
      <c r="N204" s="7">
        <f t="shared" ref="N204:N209" si="21">M204+A204-L204</f>
        <v>-201.6</v>
      </c>
      <c r="P204">
        <v>265.8</v>
      </c>
      <c r="T204" t="s">
        <v>74</v>
      </c>
    </row>
    <row r="205" spans="1:20" ht="15.75" x14ac:dyDescent="0.25">
      <c r="A205" s="1">
        <v>-429</v>
      </c>
      <c r="B205" s="4" t="s">
        <v>33</v>
      </c>
      <c r="C205" s="7">
        <v>14</v>
      </c>
      <c r="D205" s="7" t="s">
        <v>74</v>
      </c>
      <c r="E205" s="7" t="s">
        <v>74</v>
      </c>
      <c r="F205" s="7" t="s">
        <v>74</v>
      </c>
      <c r="G205" s="7"/>
      <c r="H205" s="7" t="s">
        <v>74</v>
      </c>
      <c r="I205" s="7"/>
      <c r="J205" s="7"/>
      <c r="K205" s="7" t="s">
        <v>74</v>
      </c>
      <c r="L205" s="7">
        <f>SUM(C205:K205)</f>
        <v>14</v>
      </c>
      <c r="M205" s="16"/>
      <c r="N205" s="25">
        <f t="shared" si="21"/>
        <v>-443</v>
      </c>
      <c r="P205" t="s">
        <v>74</v>
      </c>
    </row>
    <row r="206" spans="1:20" ht="15.75" x14ac:dyDescent="0.25">
      <c r="A206" s="1">
        <v>-39</v>
      </c>
      <c r="B206" s="4" t="s">
        <v>34</v>
      </c>
      <c r="C206" s="6"/>
      <c r="D206" s="6"/>
      <c r="E206" s="6"/>
      <c r="F206" s="7"/>
      <c r="G206" s="7">
        <v>124.6</v>
      </c>
      <c r="H206" s="7" t="s">
        <v>74</v>
      </c>
      <c r="I206" s="7" t="s">
        <v>74</v>
      </c>
      <c r="J206" s="7"/>
      <c r="K206" s="7">
        <v>13</v>
      </c>
      <c r="L206" s="7">
        <f>SUM(C206:K206)</f>
        <v>137.6</v>
      </c>
      <c r="M206" s="18">
        <v>163.6</v>
      </c>
      <c r="N206" s="7">
        <f t="shared" si="21"/>
        <v>-13</v>
      </c>
      <c r="P206" s="24">
        <v>-13</v>
      </c>
    </row>
    <row r="207" spans="1:20" ht="15.75" x14ac:dyDescent="0.25">
      <c r="A207" s="1">
        <v>-12.4</v>
      </c>
      <c r="B207" s="4" t="s">
        <v>35</v>
      </c>
      <c r="C207" s="6"/>
      <c r="D207" s="6"/>
      <c r="E207" s="6"/>
      <c r="F207" s="7"/>
      <c r="G207" s="7"/>
      <c r="H207" s="7"/>
      <c r="I207" s="7"/>
      <c r="J207" s="7"/>
      <c r="K207" s="7"/>
      <c r="L207" s="7"/>
      <c r="M207" s="15"/>
      <c r="N207" s="7">
        <f t="shared" si="21"/>
        <v>-12.4</v>
      </c>
      <c r="P207" t="s">
        <v>98</v>
      </c>
      <c r="R207">
        <v>-12.4</v>
      </c>
    </row>
    <row r="208" spans="1:20" ht="15.75" x14ac:dyDescent="0.25">
      <c r="A208" s="1">
        <v>-116.2</v>
      </c>
      <c r="B208" s="4" t="s">
        <v>36</v>
      </c>
      <c r="C208" s="7" t="s">
        <v>74</v>
      </c>
      <c r="D208" s="6"/>
      <c r="E208" s="6"/>
      <c r="F208" s="7"/>
      <c r="G208" s="7">
        <v>74.900000000000006</v>
      </c>
      <c r="H208" s="7"/>
      <c r="I208" s="7" t="s">
        <v>74</v>
      </c>
      <c r="J208" s="7"/>
      <c r="K208" s="7"/>
      <c r="L208" s="7">
        <f>SUM(C208:K208)</f>
        <v>74.900000000000006</v>
      </c>
      <c r="M208" s="11">
        <v>190.4</v>
      </c>
      <c r="N208" s="7">
        <f t="shared" si="21"/>
        <v>-0.70000000000000284</v>
      </c>
      <c r="P208" t="s">
        <v>98</v>
      </c>
      <c r="R208">
        <v>-0.7</v>
      </c>
    </row>
    <row r="209" spans="1:18" ht="15.75" x14ac:dyDescent="0.25">
      <c r="A209" s="1">
        <v>-59.4</v>
      </c>
      <c r="B209" s="4" t="s">
        <v>37</v>
      </c>
      <c r="C209" s="6"/>
      <c r="D209" s="6"/>
      <c r="E209" s="10" t="s">
        <v>74</v>
      </c>
      <c r="F209" s="7" t="s">
        <v>74</v>
      </c>
      <c r="G209" s="7"/>
      <c r="H209" s="7"/>
      <c r="I209" s="7"/>
      <c r="J209" s="7"/>
      <c r="K209" s="7"/>
      <c r="L209" s="7">
        <f>SUM(C209:K209)</f>
        <v>0</v>
      </c>
      <c r="M209" s="15"/>
      <c r="N209" s="10">
        <f t="shared" si="21"/>
        <v>-59.4</v>
      </c>
      <c r="P209">
        <v>0</v>
      </c>
    </row>
    <row r="210" spans="1:18" ht="15.75" x14ac:dyDescent="0.25">
      <c r="A210" s="1">
        <v>0.2</v>
      </c>
      <c r="B210" s="4" t="s">
        <v>39</v>
      </c>
      <c r="C210" s="6"/>
      <c r="D210" s="6"/>
      <c r="E210" s="6" t="s">
        <v>74</v>
      </c>
      <c r="F210" s="7">
        <v>13</v>
      </c>
      <c r="G210" s="7"/>
      <c r="H210" s="7"/>
      <c r="I210" s="7"/>
      <c r="J210" s="7" t="s">
        <v>74</v>
      </c>
      <c r="K210" s="7"/>
      <c r="L210" s="7">
        <f>SUM(C210:K210)</f>
        <v>13</v>
      </c>
      <c r="M210" s="15">
        <v>13</v>
      </c>
      <c r="N210" s="7">
        <f t="shared" ref="N210:N232" si="22">M210+A210-L210</f>
        <v>0.19999999999999929</v>
      </c>
      <c r="P210" t="s">
        <v>98</v>
      </c>
      <c r="R210">
        <v>0.2</v>
      </c>
    </row>
    <row r="211" spans="1:18" ht="15.75" x14ac:dyDescent="0.25">
      <c r="A211" s="1">
        <v>28.3</v>
      </c>
      <c r="B211" s="4" t="s">
        <v>41</v>
      </c>
      <c r="C211" s="7" t="s">
        <v>74</v>
      </c>
      <c r="D211" s="6" t="s">
        <v>74</v>
      </c>
      <c r="E211" s="6"/>
      <c r="F211" s="7"/>
      <c r="G211" s="7"/>
      <c r="H211" s="7">
        <v>13.65</v>
      </c>
      <c r="I211" s="7"/>
      <c r="J211" s="7"/>
      <c r="K211" s="7"/>
      <c r="L211" s="7">
        <f>SUM(C211:K211)</f>
        <v>13.65</v>
      </c>
      <c r="M211" s="15">
        <v>13.65</v>
      </c>
      <c r="N211" s="25">
        <f t="shared" si="22"/>
        <v>28.300000000000004</v>
      </c>
      <c r="R211">
        <v>28.3</v>
      </c>
    </row>
    <row r="212" spans="1:18" ht="15.75" x14ac:dyDescent="0.25">
      <c r="A212" s="1">
        <v>-22</v>
      </c>
      <c r="B212" s="4" t="s">
        <v>42</v>
      </c>
      <c r="C212" s="7"/>
      <c r="D212" s="7"/>
      <c r="E212" s="7"/>
      <c r="F212" s="7"/>
      <c r="G212" s="7" t="s">
        <v>74</v>
      </c>
      <c r="H212" s="7"/>
      <c r="I212" s="7"/>
      <c r="J212" s="7"/>
      <c r="K212" s="7">
        <v>23</v>
      </c>
      <c r="L212" s="7">
        <f>SUM(C212:K212)</f>
        <v>23</v>
      </c>
      <c r="M212" s="15">
        <v>21.5</v>
      </c>
      <c r="N212" s="7">
        <f t="shared" si="22"/>
        <v>-23.5</v>
      </c>
      <c r="R212">
        <v>-23.5</v>
      </c>
    </row>
    <row r="213" spans="1:18" ht="15.75" x14ac:dyDescent="0.25">
      <c r="A213" s="1">
        <v>-8</v>
      </c>
      <c r="B213" s="4" t="s">
        <v>43</v>
      </c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15"/>
      <c r="N213" s="7">
        <f t="shared" si="22"/>
        <v>-8</v>
      </c>
      <c r="P213" t="s">
        <v>98</v>
      </c>
      <c r="R213">
        <v>-8</v>
      </c>
    </row>
    <row r="214" spans="1:18" ht="15.75" x14ac:dyDescent="0.25">
      <c r="A214" s="1">
        <v>-6</v>
      </c>
      <c r="B214" s="4" t="s">
        <v>44</v>
      </c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15"/>
      <c r="N214" s="7">
        <f t="shared" si="22"/>
        <v>-6</v>
      </c>
      <c r="P214" t="s">
        <v>98</v>
      </c>
      <c r="R214">
        <v>-6</v>
      </c>
    </row>
    <row r="215" spans="1:18" ht="15.75" x14ac:dyDescent="0.25">
      <c r="A215" s="1">
        <v>-329.5</v>
      </c>
      <c r="B215" s="4" t="s">
        <v>45</v>
      </c>
      <c r="C215" s="7"/>
      <c r="D215" s="7">
        <v>200.2</v>
      </c>
      <c r="E215" s="7"/>
      <c r="F215" s="7"/>
      <c r="G215" s="7">
        <v>11.2</v>
      </c>
      <c r="H215" s="7"/>
      <c r="I215" s="7">
        <v>13</v>
      </c>
      <c r="J215" s="7"/>
      <c r="K215" s="7">
        <v>8</v>
      </c>
      <c r="L215" s="7">
        <f>SUM(C215:K215)</f>
        <v>232.39999999999998</v>
      </c>
      <c r="M215" s="15">
        <v>13</v>
      </c>
      <c r="N215" s="25">
        <f t="shared" si="22"/>
        <v>-548.9</v>
      </c>
      <c r="P215">
        <v>-548.9</v>
      </c>
    </row>
    <row r="216" spans="1:18" ht="15.75" x14ac:dyDescent="0.25">
      <c r="A216" s="1">
        <v>-120</v>
      </c>
      <c r="B216" s="4" t="s">
        <v>46</v>
      </c>
      <c r="C216" s="7"/>
      <c r="D216" s="7"/>
      <c r="E216" s="7"/>
      <c r="F216" s="7"/>
      <c r="G216" s="7" t="s">
        <v>74</v>
      </c>
      <c r="H216" s="7"/>
      <c r="I216" s="7" t="s">
        <v>74</v>
      </c>
      <c r="J216" s="7" t="s">
        <v>74</v>
      </c>
      <c r="K216" s="7">
        <v>8</v>
      </c>
      <c r="L216" s="7">
        <f>SUM(C216:K216)</f>
        <v>8</v>
      </c>
      <c r="M216" s="15"/>
      <c r="N216" s="25">
        <f t="shared" si="22"/>
        <v>-128</v>
      </c>
      <c r="P216">
        <v>-128</v>
      </c>
    </row>
    <row r="217" spans="1:18" ht="15.75" x14ac:dyDescent="0.25">
      <c r="A217" s="1">
        <v>-22.5</v>
      </c>
      <c r="B217" s="4" t="s">
        <v>87</v>
      </c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15">
        <v>0</v>
      </c>
      <c r="N217" s="7">
        <f t="shared" si="22"/>
        <v>-22.5</v>
      </c>
      <c r="P217">
        <v>-22.5</v>
      </c>
    </row>
    <row r="218" spans="1:18" ht="15.75" x14ac:dyDescent="0.25">
      <c r="A218" s="1">
        <v>-27</v>
      </c>
      <c r="B218" s="4" t="s">
        <v>48</v>
      </c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15">
        <v>0</v>
      </c>
      <c r="N218" s="25">
        <f t="shared" si="22"/>
        <v>-27</v>
      </c>
    </row>
    <row r="219" spans="1:18" ht="15.75" x14ac:dyDescent="0.25">
      <c r="A219" s="1">
        <v>-26</v>
      </c>
      <c r="B219" s="4" t="s">
        <v>49</v>
      </c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15"/>
      <c r="N219" s="7">
        <f t="shared" si="22"/>
        <v>-26</v>
      </c>
      <c r="P219">
        <v>0</v>
      </c>
    </row>
    <row r="220" spans="1:18" ht="15.75" x14ac:dyDescent="0.25">
      <c r="A220" s="1">
        <v>17.5</v>
      </c>
      <c r="B220" s="4" t="s">
        <v>50</v>
      </c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15">
        <v>0</v>
      </c>
      <c r="N220" s="7">
        <f t="shared" si="22"/>
        <v>17.5</v>
      </c>
      <c r="R220">
        <v>17.5</v>
      </c>
    </row>
    <row r="221" spans="1:18" ht="15.75" x14ac:dyDescent="0.25">
      <c r="A221" s="1">
        <v>-12</v>
      </c>
      <c r="B221" s="4" t="s">
        <v>51</v>
      </c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15">
        <v>0</v>
      </c>
      <c r="N221" s="7">
        <f t="shared" si="22"/>
        <v>-12</v>
      </c>
    </row>
    <row r="222" spans="1:18" ht="15.75" x14ac:dyDescent="0.25">
      <c r="A222" s="1">
        <v>-1216.5999999999999</v>
      </c>
      <c r="B222" s="4" t="s">
        <v>52</v>
      </c>
      <c r="C222" s="7"/>
      <c r="D222" s="7" t="s">
        <v>74</v>
      </c>
      <c r="E222" s="7">
        <v>161</v>
      </c>
      <c r="F222" s="7" t="s">
        <v>74</v>
      </c>
      <c r="G222" s="7" t="s">
        <v>74</v>
      </c>
      <c r="H222" s="7"/>
      <c r="I222" s="7" t="s">
        <v>74</v>
      </c>
      <c r="J222" s="7" t="s">
        <v>74</v>
      </c>
      <c r="K222" s="7">
        <v>510.3</v>
      </c>
      <c r="L222" s="7">
        <f>SUM(C222:K222)</f>
        <v>671.3</v>
      </c>
      <c r="M222" s="16">
        <v>0</v>
      </c>
      <c r="N222" s="25">
        <f t="shared" si="22"/>
        <v>-1887.8999999999999</v>
      </c>
    </row>
    <row r="223" spans="1:18" ht="15.75" x14ac:dyDescent="0.25">
      <c r="A223" s="1">
        <v>-421.09</v>
      </c>
      <c r="B223" s="4" t="s">
        <v>53</v>
      </c>
      <c r="C223" s="7"/>
      <c r="D223" s="7"/>
      <c r="E223" s="7"/>
      <c r="F223" s="7"/>
      <c r="G223" s="7" t="s">
        <v>74</v>
      </c>
      <c r="H223" s="7" t="s">
        <v>74</v>
      </c>
      <c r="I223" s="7"/>
      <c r="J223" s="7"/>
      <c r="K223" s="7">
        <v>75.599999999999994</v>
      </c>
      <c r="L223" s="7">
        <f t="shared" ref="L223:L224" si="23">SUM(C223:K223)</f>
        <v>75.599999999999994</v>
      </c>
      <c r="M223" s="19">
        <v>100</v>
      </c>
      <c r="N223" s="7">
        <f t="shared" si="22"/>
        <v>-396.68999999999994</v>
      </c>
      <c r="P223">
        <v>-396.69</v>
      </c>
    </row>
    <row r="224" spans="1:18" ht="15.75" x14ac:dyDescent="0.25">
      <c r="A224" s="1">
        <v>-13.3</v>
      </c>
      <c r="B224" s="4" t="s">
        <v>54</v>
      </c>
      <c r="C224" s="6"/>
      <c r="D224" s="6"/>
      <c r="E224" s="6"/>
      <c r="F224" s="7"/>
      <c r="G224" s="7" t="s">
        <v>74</v>
      </c>
      <c r="H224" s="7" t="s">
        <v>74</v>
      </c>
      <c r="I224" s="7" t="s">
        <v>74</v>
      </c>
      <c r="J224" s="7"/>
      <c r="K224" s="7"/>
      <c r="L224" s="7">
        <f t="shared" si="23"/>
        <v>0</v>
      </c>
      <c r="M224" s="19">
        <v>13.3</v>
      </c>
      <c r="N224" s="7">
        <f t="shared" si="22"/>
        <v>0</v>
      </c>
    </row>
    <row r="225" spans="1:18" ht="15.75" x14ac:dyDescent="0.25">
      <c r="A225" s="1">
        <v>13</v>
      </c>
      <c r="B225" s="4" t="s">
        <v>82</v>
      </c>
      <c r="C225" s="6"/>
      <c r="D225" s="6"/>
      <c r="E225" s="6"/>
      <c r="F225" s="7"/>
      <c r="G225" s="7"/>
      <c r="H225" s="7"/>
      <c r="I225" s="7"/>
      <c r="J225" s="7"/>
      <c r="K225" s="7"/>
      <c r="L225" s="7">
        <v>0</v>
      </c>
      <c r="M225" s="16">
        <v>0</v>
      </c>
      <c r="N225" s="7">
        <f t="shared" si="22"/>
        <v>13</v>
      </c>
    </row>
    <row r="226" spans="1:18" ht="15.75" x14ac:dyDescent="0.25">
      <c r="A226" s="1">
        <v>-127.4</v>
      </c>
      <c r="B226" s="4" t="s">
        <v>58</v>
      </c>
      <c r="C226" s="6"/>
      <c r="D226" s="6"/>
      <c r="E226" s="6" t="s">
        <v>74</v>
      </c>
      <c r="F226" s="7">
        <v>126</v>
      </c>
      <c r="G226" s="7"/>
      <c r="H226" s="7"/>
      <c r="I226" s="7" t="s">
        <v>74</v>
      </c>
      <c r="J226" s="7"/>
      <c r="K226" s="7"/>
      <c r="L226" s="7">
        <f>SUM(C226:K226)</f>
        <v>126</v>
      </c>
      <c r="M226" s="19">
        <v>129.5</v>
      </c>
      <c r="N226" s="25">
        <f t="shared" si="22"/>
        <v>-123.9</v>
      </c>
      <c r="R226">
        <v>0</v>
      </c>
    </row>
    <row r="227" spans="1:18" ht="15.75" x14ac:dyDescent="0.25">
      <c r="A227" s="1">
        <v>-9</v>
      </c>
      <c r="B227" s="4" t="s">
        <v>59</v>
      </c>
      <c r="C227" s="6"/>
      <c r="D227" s="6"/>
      <c r="E227" s="6"/>
      <c r="F227" s="6"/>
      <c r="G227" s="6"/>
      <c r="H227" s="6"/>
      <c r="I227" s="6"/>
      <c r="J227" s="6"/>
      <c r="K227" s="6"/>
      <c r="L227" s="7"/>
      <c r="M227" s="15"/>
      <c r="N227" s="7">
        <f t="shared" si="22"/>
        <v>-9</v>
      </c>
      <c r="R227">
        <v>-9</v>
      </c>
    </row>
    <row r="228" spans="1:18" ht="15.75" x14ac:dyDescent="0.25">
      <c r="A228" s="1">
        <v>-19.11</v>
      </c>
      <c r="B228" s="4" t="s">
        <v>74</v>
      </c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16"/>
      <c r="N228" s="7">
        <f t="shared" si="22"/>
        <v>-19.11</v>
      </c>
      <c r="R228">
        <v>-19.11</v>
      </c>
    </row>
    <row r="229" spans="1:18" ht="15.75" x14ac:dyDescent="0.25">
      <c r="A229" s="1">
        <v>-9</v>
      </c>
      <c r="B229" s="4" t="s">
        <v>61</v>
      </c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15"/>
      <c r="N229" s="7">
        <f t="shared" si="22"/>
        <v>-9</v>
      </c>
      <c r="R229">
        <v>-9</v>
      </c>
    </row>
    <row r="230" spans="1:18" ht="15.75" x14ac:dyDescent="0.25">
      <c r="A230" s="1">
        <v>6.8</v>
      </c>
      <c r="B230" s="4" t="s">
        <v>63</v>
      </c>
      <c r="C230" s="7"/>
      <c r="D230" s="7"/>
      <c r="E230" s="7"/>
      <c r="F230" s="7"/>
      <c r="G230" s="7">
        <v>13</v>
      </c>
      <c r="H230" s="6"/>
      <c r="I230" s="6" t="s">
        <v>74</v>
      </c>
      <c r="J230" s="6"/>
      <c r="K230" s="6"/>
      <c r="L230" s="7">
        <f t="shared" ref="L230:L231" si="24">SUM(C230:K230)</f>
        <v>13</v>
      </c>
      <c r="M230" s="16"/>
      <c r="N230" s="7">
        <f t="shared" si="22"/>
        <v>-6.2</v>
      </c>
      <c r="R230">
        <v>-6.2</v>
      </c>
    </row>
    <row r="231" spans="1:18" ht="15.75" x14ac:dyDescent="0.25">
      <c r="A231" s="1">
        <v>-37.9</v>
      </c>
      <c r="B231" s="4" t="s">
        <v>65</v>
      </c>
      <c r="C231" s="7"/>
      <c r="D231" s="7" t="s">
        <v>74</v>
      </c>
      <c r="E231" s="7" t="s">
        <v>74</v>
      </c>
      <c r="F231" s="7" t="s">
        <v>74</v>
      </c>
      <c r="G231" s="7"/>
      <c r="H231" s="6"/>
      <c r="I231" s="6"/>
      <c r="J231" s="6">
        <v>13</v>
      </c>
      <c r="K231" s="6">
        <v>13</v>
      </c>
      <c r="L231" s="7">
        <f t="shared" si="24"/>
        <v>26</v>
      </c>
      <c r="M231" s="19">
        <v>26</v>
      </c>
      <c r="N231" s="25">
        <f t="shared" si="22"/>
        <v>-37.9</v>
      </c>
      <c r="P231">
        <v>-37.9</v>
      </c>
    </row>
    <row r="232" spans="1:18" ht="15.75" x14ac:dyDescent="0.25">
      <c r="A232" s="1">
        <v>-13</v>
      </c>
      <c r="B232" s="4" t="s">
        <v>97</v>
      </c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16"/>
      <c r="N232" s="7">
        <f t="shared" si="22"/>
        <v>-13</v>
      </c>
      <c r="R232">
        <v>-13</v>
      </c>
    </row>
    <row r="233" spans="1:18" ht="15.75" x14ac:dyDescent="0.25">
      <c r="A233" s="3">
        <v>-23.5</v>
      </c>
      <c r="B233" s="6" t="s">
        <v>70</v>
      </c>
      <c r="D233" s="6"/>
      <c r="E233" s="7" t="s">
        <v>74</v>
      </c>
      <c r="F233" s="6"/>
      <c r="G233" s="6"/>
      <c r="H233" s="6"/>
      <c r="I233" s="6"/>
      <c r="J233" s="6" t="s">
        <v>78</v>
      </c>
      <c r="K233" s="6"/>
      <c r="L233" s="7">
        <f>SUM(C233:K233)</f>
        <v>0</v>
      </c>
      <c r="M233" s="16">
        <v>0</v>
      </c>
      <c r="N233" s="7">
        <v>-23.5</v>
      </c>
      <c r="R233">
        <v>-23.5</v>
      </c>
    </row>
    <row r="234" spans="1:18" ht="15.75" x14ac:dyDescent="0.25">
      <c r="A234" s="1">
        <v>80.5</v>
      </c>
      <c r="B234" s="8" t="s">
        <v>71</v>
      </c>
      <c r="D234" s="7"/>
      <c r="E234" s="7"/>
      <c r="F234" s="7"/>
      <c r="G234" s="7"/>
      <c r="H234" s="7"/>
      <c r="I234" s="7" t="s">
        <v>74</v>
      </c>
      <c r="J234" s="7"/>
      <c r="K234" s="7"/>
      <c r="L234" s="7">
        <f>SUM(C234:K234)</f>
        <v>0</v>
      </c>
      <c r="M234" s="15">
        <v>44.1</v>
      </c>
      <c r="N234" s="25">
        <f>M234+A234-L234</f>
        <v>124.6</v>
      </c>
      <c r="R234">
        <v>0</v>
      </c>
    </row>
    <row r="235" spans="1:18" ht="15.75" x14ac:dyDescent="0.25">
      <c r="A235" s="1">
        <v>96</v>
      </c>
      <c r="B235" s="9" t="s">
        <v>72</v>
      </c>
      <c r="C235" s="6"/>
      <c r="D235" s="6"/>
      <c r="E235" s="6"/>
      <c r="F235" s="6"/>
      <c r="G235" s="6"/>
      <c r="H235" s="6"/>
      <c r="I235" s="6"/>
      <c r="J235" s="7"/>
      <c r="K235" s="6"/>
      <c r="L235" s="7"/>
      <c r="M235" s="15">
        <v>0</v>
      </c>
      <c r="N235" s="7">
        <f>M235+A235-L235</f>
        <v>96</v>
      </c>
      <c r="R235">
        <v>96</v>
      </c>
    </row>
    <row r="236" spans="1:18" ht="15.75" x14ac:dyDescent="0.25">
      <c r="A236" s="1">
        <v>-19.600000000000001</v>
      </c>
      <c r="B236" t="s">
        <v>80</v>
      </c>
      <c r="C236" s="6"/>
      <c r="D236" s="6"/>
      <c r="E236" s="6"/>
      <c r="F236" s="6"/>
      <c r="G236" s="6"/>
      <c r="H236" s="6" t="s">
        <v>74</v>
      </c>
      <c r="I236" s="6"/>
      <c r="J236" s="6"/>
      <c r="K236" s="6"/>
      <c r="L236" s="7">
        <f>SUM(C236:K236)</f>
        <v>0</v>
      </c>
      <c r="M236" s="22">
        <v>19.600000000000001</v>
      </c>
      <c r="N236" s="7">
        <f t="shared" ref="N236:N243" si="25">M236+A236-L236</f>
        <v>0</v>
      </c>
    </row>
    <row r="237" spans="1:18" ht="15.75" x14ac:dyDescent="0.25">
      <c r="A237" s="1">
        <v>0</v>
      </c>
      <c r="B237" t="s">
        <v>90</v>
      </c>
      <c r="C237" s="6"/>
      <c r="D237" s="6"/>
      <c r="E237" s="7">
        <v>9</v>
      </c>
      <c r="F237" s="6"/>
      <c r="G237" s="6"/>
      <c r="H237" s="6"/>
      <c r="I237" s="6"/>
      <c r="J237" s="6"/>
      <c r="K237" s="6"/>
      <c r="L237" s="7">
        <f t="shared" ref="L237:L243" si="26">SUM(C237:K237)</f>
        <v>9</v>
      </c>
      <c r="M237" s="15"/>
      <c r="N237" s="7">
        <f t="shared" si="25"/>
        <v>-9</v>
      </c>
      <c r="P237">
        <v>-9</v>
      </c>
    </row>
    <row r="238" spans="1:18" ht="15.75" x14ac:dyDescent="0.25">
      <c r="A238" s="1">
        <v>0</v>
      </c>
      <c r="B238" t="s">
        <v>91</v>
      </c>
      <c r="C238" s="6"/>
      <c r="D238" s="6"/>
      <c r="E238" s="7"/>
      <c r="F238" s="6"/>
      <c r="G238" s="6">
        <v>13</v>
      </c>
      <c r="H238" s="6"/>
      <c r="I238" s="6"/>
      <c r="J238" s="6"/>
      <c r="K238" s="6"/>
      <c r="L238" s="7">
        <f t="shared" si="26"/>
        <v>13</v>
      </c>
      <c r="M238" s="15"/>
      <c r="N238" s="7">
        <f t="shared" si="25"/>
        <v>-13</v>
      </c>
      <c r="P238">
        <v>-13</v>
      </c>
    </row>
    <row r="239" spans="1:18" ht="15.75" x14ac:dyDescent="0.25">
      <c r="A239" s="1">
        <v>0</v>
      </c>
      <c r="B239" t="s">
        <v>92</v>
      </c>
      <c r="C239" s="6"/>
      <c r="D239" s="6"/>
      <c r="E239" s="7"/>
      <c r="F239" s="6"/>
      <c r="G239" s="6"/>
      <c r="H239" s="6"/>
      <c r="I239" s="6"/>
      <c r="J239" s="6"/>
      <c r="K239" s="6"/>
      <c r="L239" s="7">
        <f t="shared" si="26"/>
        <v>0</v>
      </c>
      <c r="M239" s="18">
        <v>13</v>
      </c>
      <c r="N239" s="7">
        <f t="shared" si="25"/>
        <v>13</v>
      </c>
      <c r="Q239" t="s">
        <v>74</v>
      </c>
      <c r="R239">
        <v>13</v>
      </c>
    </row>
    <row r="240" spans="1:18" ht="15.75" x14ac:dyDescent="0.25">
      <c r="A240" s="1">
        <v>0</v>
      </c>
      <c r="B240" t="s">
        <v>93</v>
      </c>
      <c r="C240" s="6"/>
      <c r="D240" s="6"/>
      <c r="E240" s="7"/>
      <c r="F240" s="6"/>
      <c r="G240" s="6"/>
      <c r="H240" s="6">
        <v>13</v>
      </c>
      <c r="I240" s="6"/>
      <c r="J240" s="6"/>
      <c r="K240" s="6"/>
      <c r="L240" s="7">
        <f t="shared" si="26"/>
        <v>13</v>
      </c>
      <c r="M240" s="15">
        <v>13</v>
      </c>
      <c r="N240" s="7">
        <f t="shared" si="25"/>
        <v>0</v>
      </c>
      <c r="P240" s="20"/>
    </row>
    <row r="241" spans="1:18" ht="15.75" x14ac:dyDescent="0.25">
      <c r="A241" s="1">
        <v>0</v>
      </c>
      <c r="B241" t="s">
        <v>94</v>
      </c>
      <c r="C241" s="6"/>
      <c r="D241" s="6"/>
      <c r="E241" s="7"/>
      <c r="F241" s="6"/>
      <c r="G241" s="6"/>
      <c r="H241" s="6"/>
      <c r="I241" s="6"/>
      <c r="J241" s="6"/>
      <c r="K241" s="6"/>
      <c r="L241" s="7">
        <f t="shared" si="26"/>
        <v>0</v>
      </c>
      <c r="M241" s="15">
        <v>13</v>
      </c>
      <c r="N241" s="7">
        <f t="shared" si="25"/>
        <v>13</v>
      </c>
      <c r="P241" s="20"/>
      <c r="R241">
        <v>13</v>
      </c>
    </row>
    <row r="242" spans="1:18" ht="15.75" x14ac:dyDescent="0.25">
      <c r="A242" s="1">
        <v>0</v>
      </c>
      <c r="B242" t="s">
        <v>31</v>
      </c>
      <c r="C242" s="6"/>
      <c r="D242" s="6"/>
      <c r="E242" s="7"/>
      <c r="F242" s="6"/>
      <c r="G242" s="6"/>
      <c r="H242" s="6"/>
      <c r="I242" s="6"/>
      <c r="J242" s="6"/>
      <c r="K242" s="6">
        <v>8</v>
      </c>
      <c r="L242" s="7">
        <f t="shared" si="26"/>
        <v>8</v>
      </c>
      <c r="M242" s="15"/>
      <c r="N242" s="7">
        <f t="shared" si="25"/>
        <v>-8</v>
      </c>
      <c r="P242" s="23">
        <v>-8</v>
      </c>
    </row>
    <row r="243" spans="1:18" ht="15.75" x14ac:dyDescent="0.25">
      <c r="A243" s="1">
        <v>0</v>
      </c>
      <c r="B243" t="s">
        <v>95</v>
      </c>
      <c r="C243" s="6"/>
      <c r="D243" s="6"/>
      <c r="E243" s="7"/>
      <c r="F243" s="6"/>
      <c r="G243" s="6"/>
      <c r="H243" s="6"/>
      <c r="I243" s="6">
        <v>70</v>
      </c>
      <c r="J243" s="6"/>
      <c r="K243" s="6"/>
      <c r="L243" s="7">
        <f t="shared" si="26"/>
        <v>70</v>
      </c>
      <c r="M243" s="15">
        <v>70</v>
      </c>
      <c r="N243" s="7">
        <f t="shared" si="25"/>
        <v>0</v>
      </c>
      <c r="P243" s="20"/>
    </row>
    <row r="244" spans="1:18" ht="15.75" x14ac:dyDescent="0.25">
      <c r="A244" s="1">
        <f>SUM(A177:A243)</f>
        <v>-5843.5999999999995</v>
      </c>
      <c r="B244" s="6" t="s">
        <v>73</v>
      </c>
      <c r="C244" s="7">
        <f>SUM(C177:C243)</f>
        <v>32</v>
      </c>
      <c r="D244" s="7">
        <f t="shared" ref="D244:F244" si="27">SUM(D177:D238)</f>
        <v>221.2</v>
      </c>
      <c r="E244" s="7">
        <f t="shared" si="27"/>
        <v>197</v>
      </c>
      <c r="F244" s="7">
        <f t="shared" si="27"/>
        <v>252</v>
      </c>
      <c r="G244" s="7">
        <f>SUM(G177:G238)</f>
        <v>236.7</v>
      </c>
      <c r="H244" s="7">
        <f>SUM(H177:H240)</f>
        <v>39.65</v>
      </c>
      <c r="I244" s="7">
        <f>SUM(I177:I243)</f>
        <v>143.19999999999999</v>
      </c>
      <c r="J244" s="7">
        <f>SUM(J177:J236)</f>
        <v>26</v>
      </c>
      <c r="K244" s="7">
        <f>SUM(K177:K243)</f>
        <v>687.9</v>
      </c>
      <c r="L244" s="7">
        <f>SUM(L178:L243)</f>
        <v>1835.6499999999999</v>
      </c>
      <c r="M244" s="15">
        <f>SUM(M177:M243)</f>
        <v>1950.6499999999999</v>
      </c>
      <c r="N244" s="7">
        <f>M244+A244-L244</f>
        <v>-5728.5999999999995</v>
      </c>
      <c r="R244">
        <f>SUM(R177:R243)</f>
        <v>-12.110000000000014</v>
      </c>
    </row>
    <row r="246" spans="1:18" x14ac:dyDescent="0.25">
      <c r="R246" s="21"/>
    </row>
    <row r="248" spans="1:18" x14ac:dyDescent="0.25">
      <c r="L248">
        <f>SUM(C244:K244)</f>
        <v>1835.65</v>
      </c>
      <c r="M248">
        <f>SUM(M177:M243)</f>
        <v>1950.6499999999999</v>
      </c>
      <c r="N248" s="13">
        <f>SUM(N177:N243)</f>
        <v>-5728.5999999999976</v>
      </c>
    </row>
    <row r="251" spans="1:18" x14ac:dyDescent="0.25">
      <c r="H251" t="s">
        <v>74</v>
      </c>
    </row>
  </sheetData>
  <mergeCells count="18">
    <mergeCell ref="C4:I4"/>
    <mergeCell ref="L4:L5"/>
    <mergeCell ref="M4:M5"/>
    <mergeCell ref="N4:N5"/>
    <mergeCell ref="A4:A5"/>
    <mergeCell ref="B4:B5"/>
    <mergeCell ref="N88:N89"/>
    <mergeCell ref="A88:A89"/>
    <mergeCell ref="B88:B89"/>
    <mergeCell ref="C88:I88"/>
    <mergeCell ref="L88:L89"/>
    <mergeCell ref="M88:M89"/>
    <mergeCell ref="N175:N176"/>
    <mergeCell ref="A175:A176"/>
    <mergeCell ref="B175:B176"/>
    <mergeCell ref="C175:I175"/>
    <mergeCell ref="L175:L176"/>
    <mergeCell ref="M175:M176"/>
  </mergeCells>
  <pageMargins left="0.7" right="0.7" top="0.75" bottom="0.75" header="0.3" footer="0.3"/>
  <pageSetup paperSize="9" scale="73" fitToHeight="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867"/>
  <sheetViews>
    <sheetView workbookViewId="0">
      <selection activeCell="M830" sqref="M830"/>
    </sheetView>
  </sheetViews>
  <sheetFormatPr defaultRowHeight="15" x14ac:dyDescent="0.25"/>
  <cols>
    <col min="1" max="1" width="9.7109375" customWidth="1"/>
    <col min="2" max="2" width="25.7109375" customWidth="1"/>
    <col min="3" max="3" width="7.85546875" customWidth="1"/>
    <col min="4" max="4" width="8.42578125" customWidth="1"/>
    <col min="5" max="5" width="7.85546875" customWidth="1"/>
    <col min="6" max="6" width="7" customWidth="1"/>
    <col min="7" max="7" width="6.5703125" customWidth="1"/>
    <col min="8" max="8" width="7.42578125" customWidth="1"/>
    <col min="9" max="9" width="7.5703125" customWidth="1"/>
    <col min="10" max="10" width="7.140625" customWidth="1"/>
    <col min="11" max="11" width="8.7109375" customWidth="1"/>
    <col min="12" max="12" width="8.42578125" customWidth="1"/>
    <col min="13" max="13" width="8.140625" customWidth="1"/>
    <col min="14" max="14" width="9.85546875" customWidth="1"/>
    <col min="15" max="15" width="10.42578125" customWidth="1"/>
    <col min="16" max="16" width="10" customWidth="1"/>
  </cols>
  <sheetData>
    <row r="2" spans="1:17" ht="15.75" x14ac:dyDescent="0.25">
      <c r="A2" s="28"/>
      <c r="B2" s="28" t="s">
        <v>106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1:17" ht="15.75" x14ac:dyDescent="0.25">
      <c r="A3" s="57" t="s">
        <v>122</v>
      </c>
      <c r="B3" s="57" t="s">
        <v>75</v>
      </c>
      <c r="C3" s="27">
        <v>92</v>
      </c>
      <c r="D3" s="27">
        <v>93</v>
      </c>
      <c r="E3" s="27">
        <v>94</v>
      </c>
      <c r="F3" s="27">
        <v>95</v>
      </c>
      <c r="G3" s="27">
        <v>96</v>
      </c>
      <c r="H3" s="27">
        <v>97</v>
      </c>
      <c r="I3" s="27">
        <v>98</v>
      </c>
      <c r="J3" s="27">
        <v>99</v>
      </c>
      <c r="K3" s="27">
        <v>100</v>
      </c>
      <c r="L3" s="57" t="s">
        <v>68</v>
      </c>
      <c r="M3" s="61" t="s">
        <v>137</v>
      </c>
      <c r="N3" s="57" t="s">
        <v>124</v>
      </c>
    </row>
    <row r="4" spans="1:17" ht="15.75" x14ac:dyDescent="0.25">
      <c r="A4" s="58"/>
      <c r="B4" s="58"/>
      <c r="C4" s="26">
        <v>1</v>
      </c>
      <c r="D4" s="26">
        <v>5</v>
      </c>
      <c r="E4" s="26">
        <v>8</v>
      </c>
      <c r="F4" s="26">
        <v>12</v>
      </c>
      <c r="G4" s="26">
        <v>15</v>
      </c>
      <c r="H4" s="26">
        <v>19</v>
      </c>
      <c r="I4" s="26">
        <v>22</v>
      </c>
      <c r="J4" s="26">
        <v>27</v>
      </c>
      <c r="K4" s="6">
        <v>29</v>
      </c>
      <c r="L4" s="58"/>
      <c r="M4" s="62"/>
      <c r="N4" s="58"/>
    </row>
    <row r="5" spans="1:17" ht="15.75" hidden="1" x14ac:dyDescent="0.25">
      <c r="A5" s="2">
        <v>0</v>
      </c>
      <c r="B5" s="5" t="s">
        <v>123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>
        <f>M5+A5-L5</f>
        <v>0</v>
      </c>
    </row>
    <row r="6" spans="1:17" ht="15.75" x14ac:dyDescent="0.25">
      <c r="A6" s="2">
        <v>-27</v>
      </c>
      <c r="B6" s="5" t="s">
        <v>125</v>
      </c>
      <c r="C6" s="6"/>
      <c r="D6" s="6"/>
      <c r="E6" s="6"/>
      <c r="F6" s="6"/>
      <c r="G6" s="6"/>
      <c r="H6" s="6"/>
      <c r="I6" s="6"/>
      <c r="J6" s="6"/>
      <c r="K6" s="7">
        <v>18</v>
      </c>
      <c r="L6" s="7">
        <f>SUM(C6:K6)</f>
        <v>18</v>
      </c>
      <c r="M6" s="7">
        <v>27</v>
      </c>
      <c r="N6" s="7">
        <f t="shared" ref="N6:N38" si="0">M6+A6-L6</f>
        <v>-18</v>
      </c>
      <c r="O6" t="s">
        <v>145</v>
      </c>
    </row>
    <row r="7" spans="1:17" ht="15.75" x14ac:dyDescent="0.25">
      <c r="A7" s="2">
        <v>-112</v>
      </c>
      <c r="B7" s="5" t="s">
        <v>1</v>
      </c>
      <c r="C7" s="7"/>
      <c r="D7" s="7"/>
      <c r="E7" s="7">
        <v>22</v>
      </c>
      <c r="F7" s="6"/>
      <c r="G7" s="6"/>
      <c r="H7" s="7"/>
      <c r="I7" s="6"/>
      <c r="J7" s="15"/>
      <c r="K7" s="7">
        <v>18</v>
      </c>
      <c r="L7" s="7">
        <f>SUM(C7:K7)</f>
        <v>40</v>
      </c>
      <c r="M7" s="7"/>
      <c r="N7" s="7">
        <f t="shared" si="0"/>
        <v>-152</v>
      </c>
    </row>
    <row r="8" spans="1:17" ht="15.75" x14ac:dyDescent="0.25">
      <c r="A8" s="2">
        <v>-17</v>
      </c>
      <c r="B8" s="5" t="s">
        <v>2</v>
      </c>
      <c r="C8" s="6"/>
      <c r="D8" s="6"/>
      <c r="E8" s="6"/>
      <c r="F8" s="7"/>
      <c r="G8" s="6"/>
      <c r="H8" s="7"/>
      <c r="I8" s="6"/>
      <c r="J8" s="6"/>
      <c r="K8" s="7">
        <v>15</v>
      </c>
      <c r="L8" s="7">
        <f>SUM(C8:K8)</f>
        <v>15</v>
      </c>
      <c r="M8" s="7"/>
      <c r="N8" s="7">
        <f t="shared" si="0"/>
        <v>-32</v>
      </c>
      <c r="Q8" t="s">
        <v>74</v>
      </c>
    </row>
    <row r="9" spans="1:17" ht="15.75" x14ac:dyDescent="0.25">
      <c r="A9" s="2">
        <v>-25.8</v>
      </c>
      <c r="B9" s="5" t="s">
        <v>129</v>
      </c>
      <c r="C9" s="6"/>
      <c r="D9" s="6"/>
      <c r="E9" s="6"/>
      <c r="F9" s="6"/>
      <c r="G9" s="6"/>
      <c r="H9" s="7"/>
      <c r="I9" s="6"/>
      <c r="J9" s="6"/>
      <c r="K9" s="7"/>
      <c r="L9" s="7">
        <f t="shared" ref="L9:L26" si="1">SUM(C9:K9)</f>
        <v>0</v>
      </c>
      <c r="M9" s="7"/>
      <c r="N9" s="7">
        <f t="shared" si="0"/>
        <v>-25.8</v>
      </c>
    </row>
    <row r="10" spans="1:17" ht="15.75" x14ac:dyDescent="0.25">
      <c r="A10" s="2">
        <v>4</v>
      </c>
      <c r="B10" s="5" t="s">
        <v>128</v>
      </c>
      <c r="C10" s="7"/>
      <c r="D10" s="7"/>
      <c r="E10" s="7"/>
      <c r="F10" s="6"/>
      <c r="G10" s="6"/>
      <c r="H10" s="7"/>
      <c r="I10" s="6"/>
      <c r="J10" s="7"/>
      <c r="K10" s="7">
        <v>38.5</v>
      </c>
      <c r="L10" s="7">
        <f t="shared" si="1"/>
        <v>38.5</v>
      </c>
      <c r="M10" s="7"/>
      <c r="N10" s="7">
        <f t="shared" si="0"/>
        <v>-34.5</v>
      </c>
    </row>
    <row r="11" spans="1:17" ht="15.75" x14ac:dyDescent="0.25">
      <c r="A11" s="2">
        <v>-285.2</v>
      </c>
      <c r="B11" s="5" t="s">
        <v>127</v>
      </c>
      <c r="C11" s="6"/>
      <c r="D11" s="6"/>
      <c r="E11" s="6"/>
      <c r="F11" s="6"/>
      <c r="G11" s="6"/>
      <c r="H11" s="7"/>
      <c r="I11" s="6"/>
      <c r="J11" s="6"/>
      <c r="K11" s="7"/>
      <c r="L11" s="7">
        <f t="shared" si="1"/>
        <v>0</v>
      </c>
      <c r="M11" s="7"/>
      <c r="N11" s="7">
        <f t="shared" si="0"/>
        <v>-285.2</v>
      </c>
    </row>
    <row r="12" spans="1:17" ht="15.75" hidden="1" x14ac:dyDescent="0.25">
      <c r="A12" s="2">
        <v>0</v>
      </c>
      <c r="B12" s="5" t="s">
        <v>126</v>
      </c>
      <c r="C12" s="6"/>
      <c r="D12" s="6"/>
      <c r="E12" s="6"/>
      <c r="F12" s="6"/>
      <c r="G12" s="6"/>
      <c r="H12" s="7"/>
      <c r="I12" s="6"/>
      <c r="J12" s="6"/>
      <c r="K12" s="7"/>
      <c r="L12" s="7">
        <f t="shared" si="1"/>
        <v>0</v>
      </c>
      <c r="M12" s="7"/>
      <c r="N12" s="7">
        <f t="shared" si="0"/>
        <v>0</v>
      </c>
    </row>
    <row r="13" spans="1:17" ht="15.75" x14ac:dyDescent="0.25">
      <c r="A13" s="2">
        <v>-803.2</v>
      </c>
      <c r="B13" s="5" t="s">
        <v>130</v>
      </c>
      <c r="C13" s="7"/>
      <c r="D13" s="7"/>
      <c r="E13" s="7"/>
      <c r="F13" s="7"/>
      <c r="G13" s="7"/>
      <c r="H13" s="7"/>
      <c r="I13" s="6"/>
      <c r="J13" s="7"/>
      <c r="K13" s="7"/>
      <c r="L13" s="7">
        <f t="shared" si="1"/>
        <v>0</v>
      </c>
      <c r="M13" s="7">
        <v>300</v>
      </c>
      <c r="N13" s="7">
        <f t="shared" si="0"/>
        <v>-503.20000000000005</v>
      </c>
      <c r="O13" t="s">
        <v>148</v>
      </c>
    </row>
    <row r="14" spans="1:17" ht="15.75" x14ac:dyDescent="0.25">
      <c r="A14" s="2">
        <v>-110.63</v>
      </c>
      <c r="B14" s="5" t="s">
        <v>131</v>
      </c>
      <c r="C14" s="7"/>
      <c r="D14" s="6"/>
      <c r="E14" s="7"/>
      <c r="F14" s="7"/>
      <c r="G14" s="7"/>
      <c r="H14" s="7"/>
      <c r="I14" s="7"/>
      <c r="J14" s="6"/>
      <c r="K14" s="7"/>
      <c r="L14" s="7">
        <f t="shared" si="1"/>
        <v>0</v>
      </c>
      <c r="M14" s="7"/>
      <c r="N14" s="7">
        <f t="shared" si="0"/>
        <v>-110.63</v>
      </c>
    </row>
    <row r="15" spans="1:17" ht="15.75" x14ac:dyDescent="0.25">
      <c r="A15" s="2">
        <v>-18</v>
      </c>
      <c r="B15" s="5" t="s">
        <v>132</v>
      </c>
      <c r="C15" s="7"/>
      <c r="D15" s="6"/>
      <c r="E15" s="7"/>
      <c r="F15" s="7"/>
      <c r="G15" s="7"/>
      <c r="H15" s="7"/>
      <c r="I15" s="7"/>
      <c r="J15" s="6"/>
      <c r="K15" s="7">
        <v>82.5</v>
      </c>
      <c r="L15" s="7">
        <f t="shared" si="1"/>
        <v>82.5</v>
      </c>
      <c r="M15" s="7">
        <v>84</v>
      </c>
      <c r="N15" s="7">
        <f t="shared" si="0"/>
        <v>-16.5</v>
      </c>
      <c r="O15" t="s">
        <v>147</v>
      </c>
    </row>
    <row r="16" spans="1:17" ht="15.75" x14ac:dyDescent="0.25">
      <c r="A16" s="2">
        <v>0</v>
      </c>
      <c r="B16" s="5" t="s">
        <v>9</v>
      </c>
      <c r="C16" s="6"/>
      <c r="D16" s="6"/>
      <c r="E16" s="7"/>
      <c r="F16" s="7"/>
      <c r="G16" s="7"/>
      <c r="H16" s="6"/>
      <c r="I16" s="6"/>
      <c r="J16" s="6"/>
      <c r="K16" s="7">
        <v>16.5</v>
      </c>
      <c r="L16" s="7">
        <f t="shared" si="1"/>
        <v>16.5</v>
      </c>
      <c r="M16" s="7"/>
      <c r="N16" s="7">
        <f t="shared" si="0"/>
        <v>-16.5</v>
      </c>
    </row>
    <row r="17" spans="1:16" ht="15.75" x14ac:dyDescent="0.25">
      <c r="A17" s="2">
        <v>0</v>
      </c>
      <c r="B17" s="5" t="s">
        <v>133</v>
      </c>
      <c r="C17" s="7"/>
      <c r="D17" s="7"/>
      <c r="E17" s="7"/>
      <c r="F17" s="7"/>
      <c r="G17" s="7"/>
      <c r="H17" s="7"/>
      <c r="I17" s="7"/>
      <c r="J17" s="7">
        <v>22</v>
      </c>
      <c r="K17" s="7">
        <v>16.5</v>
      </c>
      <c r="L17" s="7">
        <f t="shared" si="1"/>
        <v>38.5</v>
      </c>
      <c r="M17" s="8"/>
      <c r="N17" s="7">
        <f t="shared" si="0"/>
        <v>-38.5</v>
      </c>
    </row>
    <row r="18" spans="1:16" ht="15.75" x14ac:dyDescent="0.25">
      <c r="A18" s="2">
        <v>0</v>
      </c>
      <c r="B18" s="5" t="s">
        <v>96</v>
      </c>
      <c r="C18" s="7"/>
      <c r="D18" s="7"/>
      <c r="E18" s="7"/>
      <c r="F18" s="7">
        <v>18</v>
      </c>
      <c r="G18" s="7"/>
      <c r="H18" s="7"/>
      <c r="I18" s="7"/>
      <c r="J18" s="7"/>
      <c r="K18" s="7">
        <v>16.5</v>
      </c>
      <c r="L18" s="7">
        <f t="shared" si="1"/>
        <v>34.5</v>
      </c>
      <c r="M18" s="7"/>
      <c r="N18" s="7">
        <f t="shared" si="0"/>
        <v>-34.5</v>
      </c>
    </row>
    <row r="19" spans="1:16" ht="15.75" x14ac:dyDescent="0.25">
      <c r="A19" s="2">
        <v>0</v>
      </c>
      <c r="B19" s="5" t="s">
        <v>134</v>
      </c>
      <c r="C19" s="6"/>
      <c r="D19" s="6"/>
      <c r="E19" s="6"/>
      <c r="F19" s="6"/>
      <c r="G19" s="6"/>
      <c r="H19" s="6"/>
      <c r="I19" s="6"/>
      <c r="J19" s="6"/>
      <c r="K19" s="7">
        <v>16.5</v>
      </c>
      <c r="L19" s="7">
        <f t="shared" si="1"/>
        <v>16.5</v>
      </c>
      <c r="M19" s="7"/>
      <c r="N19" s="7">
        <f t="shared" si="0"/>
        <v>-16.5</v>
      </c>
    </row>
    <row r="20" spans="1:16" ht="15.75" x14ac:dyDescent="0.25">
      <c r="A20" s="2">
        <v>26.1</v>
      </c>
      <c r="B20" s="5" t="s">
        <v>99</v>
      </c>
      <c r="C20" s="7"/>
      <c r="D20" s="6"/>
      <c r="E20" s="6"/>
      <c r="F20" s="6"/>
      <c r="G20" s="6"/>
      <c r="H20" s="6"/>
      <c r="I20" s="6"/>
      <c r="J20" s="6"/>
      <c r="K20" s="7"/>
      <c r="L20" s="7">
        <f t="shared" si="1"/>
        <v>0</v>
      </c>
      <c r="M20" s="7"/>
      <c r="N20" s="7">
        <f t="shared" si="0"/>
        <v>26.1</v>
      </c>
    </row>
    <row r="21" spans="1:16" ht="15.75" hidden="1" x14ac:dyDescent="0.25">
      <c r="A21" s="2">
        <v>0</v>
      </c>
      <c r="B21" s="5" t="s">
        <v>21</v>
      </c>
      <c r="C21" s="7"/>
      <c r="D21" s="7"/>
      <c r="E21" s="7"/>
      <c r="F21" s="7"/>
      <c r="G21" s="7"/>
      <c r="H21" s="7"/>
      <c r="I21" s="7"/>
      <c r="J21" s="7"/>
      <c r="K21" s="7"/>
      <c r="L21" s="7">
        <f t="shared" si="1"/>
        <v>0</v>
      </c>
      <c r="M21" s="7"/>
      <c r="N21" s="7">
        <f t="shared" si="0"/>
        <v>0</v>
      </c>
    </row>
    <row r="22" spans="1:16" ht="15.75" x14ac:dyDescent="0.25">
      <c r="A22" s="2">
        <v>-395.49</v>
      </c>
      <c r="B22" s="5" t="s">
        <v>53</v>
      </c>
      <c r="C22" s="7"/>
      <c r="D22" s="7"/>
      <c r="E22" s="7"/>
      <c r="F22" s="7"/>
      <c r="G22" s="7"/>
      <c r="H22" s="7"/>
      <c r="I22" s="7"/>
      <c r="J22" s="7"/>
      <c r="K22" s="7"/>
      <c r="L22" s="7">
        <f t="shared" si="1"/>
        <v>0</v>
      </c>
      <c r="M22" s="7"/>
      <c r="N22" s="7">
        <f t="shared" si="0"/>
        <v>-395.49</v>
      </c>
    </row>
    <row r="23" spans="1:16" ht="15.75" x14ac:dyDescent="0.25">
      <c r="A23" s="2">
        <v>-757.6</v>
      </c>
      <c r="B23" s="5" t="s">
        <v>33</v>
      </c>
      <c r="C23" s="7">
        <v>125.6</v>
      </c>
      <c r="D23" s="7"/>
      <c r="E23" s="7">
        <v>90.4</v>
      </c>
      <c r="F23" s="7"/>
      <c r="G23" s="7"/>
      <c r="H23" s="7"/>
      <c r="I23" s="7"/>
      <c r="J23" s="7"/>
      <c r="K23" s="7">
        <v>18</v>
      </c>
      <c r="L23" s="7">
        <f t="shared" si="1"/>
        <v>234</v>
      </c>
      <c r="M23" s="7">
        <f>22+757.4</f>
        <v>779.4</v>
      </c>
      <c r="N23" s="7">
        <f t="shared" si="0"/>
        <v>-212.20000000000005</v>
      </c>
      <c r="O23" t="s">
        <v>149</v>
      </c>
      <c r="P23" t="s">
        <v>151</v>
      </c>
    </row>
    <row r="24" spans="1:16" ht="15.75" x14ac:dyDescent="0.25">
      <c r="A24" s="2">
        <v>0</v>
      </c>
      <c r="B24" s="5" t="s">
        <v>87</v>
      </c>
      <c r="C24" s="7">
        <v>32</v>
      </c>
      <c r="D24" s="7"/>
      <c r="E24" s="7"/>
      <c r="F24" s="7"/>
      <c r="G24" s="7"/>
      <c r="H24" s="7"/>
      <c r="I24" s="7"/>
      <c r="J24" s="7"/>
      <c r="K24" s="7"/>
      <c r="L24" s="7">
        <f t="shared" si="1"/>
        <v>32</v>
      </c>
      <c r="M24" s="7">
        <v>32</v>
      </c>
      <c r="N24" s="7">
        <f t="shared" si="0"/>
        <v>0</v>
      </c>
      <c r="O24" t="s">
        <v>141</v>
      </c>
    </row>
    <row r="25" spans="1:16" ht="15.75" hidden="1" x14ac:dyDescent="0.25">
      <c r="A25" s="2">
        <v>0</v>
      </c>
      <c r="B25" s="5" t="s">
        <v>23</v>
      </c>
      <c r="C25" s="7"/>
      <c r="D25" s="7"/>
      <c r="E25" s="7"/>
      <c r="F25" s="7"/>
      <c r="G25" s="7"/>
      <c r="H25" s="7"/>
      <c r="I25" s="7"/>
      <c r="J25" s="7"/>
      <c r="K25" s="7"/>
      <c r="L25" s="7">
        <f t="shared" si="1"/>
        <v>0</v>
      </c>
      <c r="M25" s="7"/>
      <c r="N25" s="7">
        <f t="shared" si="0"/>
        <v>0</v>
      </c>
    </row>
    <row r="26" spans="1:16" ht="15.75" hidden="1" x14ac:dyDescent="0.25">
      <c r="A26" s="2">
        <v>0</v>
      </c>
      <c r="B26" s="5" t="s">
        <v>24</v>
      </c>
      <c r="C26" s="7"/>
      <c r="D26" s="7"/>
      <c r="E26" s="7"/>
      <c r="F26" s="7"/>
      <c r="G26" s="7"/>
      <c r="H26" s="7"/>
      <c r="I26" s="7"/>
      <c r="J26" s="7"/>
      <c r="K26" s="7"/>
      <c r="L26" s="7">
        <f t="shared" si="1"/>
        <v>0</v>
      </c>
      <c r="M26" s="7"/>
      <c r="N26" s="7">
        <f t="shared" si="0"/>
        <v>0</v>
      </c>
    </row>
    <row r="27" spans="1:16" ht="15.75" hidden="1" x14ac:dyDescent="0.25">
      <c r="A27" s="2">
        <v>0</v>
      </c>
      <c r="B27" s="5" t="s">
        <v>100</v>
      </c>
      <c r="C27" s="7"/>
      <c r="D27" s="7"/>
      <c r="E27" s="7"/>
      <c r="F27" s="7"/>
      <c r="G27" s="7"/>
      <c r="H27" s="7"/>
      <c r="I27" s="7"/>
      <c r="J27" s="7"/>
      <c r="K27" s="7"/>
      <c r="L27" s="7">
        <f>SUM(C27:K27)</f>
        <v>0</v>
      </c>
      <c r="M27" s="7"/>
      <c r="N27" s="7">
        <f t="shared" si="0"/>
        <v>0</v>
      </c>
    </row>
    <row r="28" spans="1:16" ht="15.75" x14ac:dyDescent="0.25">
      <c r="A28" s="2">
        <v>0</v>
      </c>
      <c r="B28" s="5" t="s">
        <v>25</v>
      </c>
      <c r="C28" s="7"/>
      <c r="D28" s="7"/>
      <c r="E28" s="7"/>
      <c r="F28" s="7"/>
      <c r="G28" s="7"/>
      <c r="H28" s="7"/>
      <c r="I28" s="7"/>
      <c r="J28" s="7"/>
      <c r="K28" s="7">
        <v>16.5</v>
      </c>
      <c r="L28" s="7">
        <f>SUM(C28:K28)</f>
        <v>16.5</v>
      </c>
      <c r="M28" s="7"/>
      <c r="N28" s="7">
        <f t="shared" si="0"/>
        <v>-16.5</v>
      </c>
    </row>
    <row r="29" spans="1:16" ht="15.75" x14ac:dyDescent="0.25">
      <c r="A29" s="2">
        <v>-54.4</v>
      </c>
      <c r="B29" s="5" t="s">
        <v>27</v>
      </c>
      <c r="C29" s="7"/>
      <c r="D29" s="7"/>
      <c r="E29" s="7"/>
      <c r="F29" s="7"/>
      <c r="G29" s="7"/>
      <c r="H29" s="7"/>
      <c r="I29" s="7"/>
      <c r="J29" s="7"/>
      <c r="K29" s="7">
        <v>25.6</v>
      </c>
      <c r="L29" s="7">
        <f>SUM(C29:K29)</f>
        <v>25.6</v>
      </c>
      <c r="M29" s="7">
        <v>30</v>
      </c>
      <c r="N29" s="7">
        <f t="shared" si="0"/>
        <v>-50</v>
      </c>
      <c r="O29" t="s">
        <v>150</v>
      </c>
    </row>
    <row r="30" spans="1:16" ht="15.75" x14ac:dyDescent="0.25">
      <c r="A30" s="2">
        <v>-16</v>
      </c>
      <c r="B30" s="5" t="s">
        <v>29</v>
      </c>
      <c r="C30" s="7"/>
      <c r="D30" s="7"/>
      <c r="E30" s="7"/>
      <c r="F30" s="7"/>
      <c r="G30" s="7"/>
      <c r="H30" s="7"/>
      <c r="I30" s="7"/>
      <c r="J30" s="7"/>
      <c r="K30" s="7"/>
      <c r="L30" s="7">
        <f t="shared" ref="L30:L31" si="2">SUM(C30:K30)</f>
        <v>0</v>
      </c>
      <c r="M30" s="7"/>
      <c r="N30" s="7">
        <f t="shared" si="0"/>
        <v>-16</v>
      </c>
    </row>
    <row r="31" spans="1:16" ht="15.75" x14ac:dyDescent="0.25">
      <c r="A31" s="2">
        <v>-64.2</v>
      </c>
      <c r="B31" s="5" t="s">
        <v>30</v>
      </c>
      <c r="C31" s="7"/>
      <c r="D31" s="7"/>
      <c r="E31" s="7"/>
      <c r="F31" s="7"/>
      <c r="G31" s="7"/>
      <c r="H31" s="7"/>
      <c r="I31" s="7"/>
      <c r="J31" s="7"/>
      <c r="K31" s="7"/>
      <c r="L31" s="7">
        <f t="shared" si="2"/>
        <v>0</v>
      </c>
      <c r="M31" s="7"/>
      <c r="N31" s="7">
        <f t="shared" si="0"/>
        <v>-64.2</v>
      </c>
    </row>
    <row r="32" spans="1:16" ht="15.75" x14ac:dyDescent="0.25">
      <c r="A32" s="2">
        <v>0</v>
      </c>
      <c r="B32" s="5" t="s">
        <v>88</v>
      </c>
      <c r="C32" s="7"/>
      <c r="D32" s="7"/>
      <c r="E32" s="7"/>
      <c r="F32" s="7"/>
      <c r="G32" s="7"/>
      <c r="H32" s="7"/>
      <c r="I32" s="7"/>
      <c r="J32" s="7"/>
      <c r="K32" s="7"/>
      <c r="L32" s="7">
        <f>SUM(C32:K32)</f>
        <v>0</v>
      </c>
      <c r="M32" s="7"/>
      <c r="N32" s="7">
        <f t="shared" si="0"/>
        <v>0</v>
      </c>
    </row>
    <row r="33" spans="1:18" ht="15.75" x14ac:dyDescent="0.25">
      <c r="A33" s="2">
        <v>0</v>
      </c>
      <c r="B33" s="5" t="s">
        <v>101</v>
      </c>
      <c r="C33" s="7"/>
      <c r="D33" s="7"/>
      <c r="E33" s="7"/>
      <c r="F33" s="7">
        <v>114.4</v>
      </c>
      <c r="G33" s="7">
        <v>51.2</v>
      </c>
      <c r="H33" s="7"/>
      <c r="I33" s="7"/>
      <c r="J33" s="7"/>
      <c r="K33" s="7">
        <v>22</v>
      </c>
      <c r="L33" s="7">
        <f t="shared" ref="L33:L35" si="3">SUM(C33:K33)</f>
        <v>187.60000000000002</v>
      </c>
      <c r="M33" s="7"/>
      <c r="N33" s="7">
        <f t="shared" si="0"/>
        <v>-187.60000000000002</v>
      </c>
    </row>
    <row r="34" spans="1:18" ht="15.75" x14ac:dyDescent="0.25">
      <c r="A34" s="2">
        <v>-9.8000000000000007</v>
      </c>
      <c r="B34" s="5" t="s">
        <v>41</v>
      </c>
      <c r="C34" s="6"/>
      <c r="D34" s="6"/>
      <c r="E34" s="6"/>
      <c r="F34" s="7"/>
      <c r="G34" s="7"/>
      <c r="H34" s="7"/>
      <c r="I34" s="7"/>
      <c r="J34" s="7"/>
      <c r="K34" s="7"/>
      <c r="L34" s="7">
        <f t="shared" si="3"/>
        <v>0</v>
      </c>
      <c r="M34" s="7"/>
      <c r="N34" s="7">
        <f t="shared" si="0"/>
        <v>-9.8000000000000007</v>
      </c>
    </row>
    <row r="35" spans="1:18" ht="15.75" x14ac:dyDescent="0.25">
      <c r="A35" s="2">
        <v>0</v>
      </c>
      <c r="B35" s="5" t="s">
        <v>102</v>
      </c>
      <c r="C35" s="6"/>
      <c r="D35" s="6"/>
      <c r="E35" s="7"/>
      <c r="F35" s="7"/>
      <c r="G35" s="7"/>
      <c r="H35" s="7"/>
      <c r="I35" s="7"/>
      <c r="J35" s="7"/>
      <c r="K35" s="7">
        <v>24</v>
      </c>
      <c r="L35" s="7">
        <f t="shared" si="3"/>
        <v>24</v>
      </c>
      <c r="M35" s="7"/>
      <c r="N35" s="7">
        <f t="shared" si="0"/>
        <v>-24</v>
      </c>
    </row>
    <row r="36" spans="1:18" ht="15.75" x14ac:dyDescent="0.25">
      <c r="A36" s="2">
        <v>-258.3</v>
      </c>
      <c r="B36" s="5" t="s">
        <v>45</v>
      </c>
      <c r="C36" s="7"/>
      <c r="D36" s="6"/>
      <c r="E36" s="6"/>
      <c r="F36" s="7"/>
      <c r="G36" s="7"/>
      <c r="H36" s="7"/>
      <c r="I36" s="7">
        <v>10.4</v>
      </c>
      <c r="J36" s="7"/>
      <c r="K36" s="7"/>
      <c r="L36" s="7">
        <f t="shared" ref="L36:L41" si="4">SUM(C36:K36)</f>
        <v>10.4</v>
      </c>
      <c r="M36" s="7"/>
      <c r="N36" s="7">
        <f t="shared" si="0"/>
        <v>-268.7</v>
      </c>
    </row>
    <row r="37" spans="1:18" ht="15.75" x14ac:dyDescent="0.25">
      <c r="A37" s="2">
        <v>-118</v>
      </c>
      <c r="B37" s="5" t="s">
        <v>46</v>
      </c>
      <c r="C37" s="7"/>
      <c r="D37" s="6"/>
      <c r="E37" s="10"/>
      <c r="F37" s="7"/>
      <c r="G37" s="7"/>
      <c r="H37" s="7"/>
      <c r="I37" s="7"/>
      <c r="J37" s="7">
        <v>21</v>
      </c>
      <c r="K37" s="7">
        <v>21</v>
      </c>
      <c r="L37" s="7">
        <f t="shared" si="4"/>
        <v>42</v>
      </c>
      <c r="M37" s="7">
        <v>118</v>
      </c>
      <c r="N37" s="7">
        <f t="shared" si="0"/>
        <v>-42</v>
      </c>
      <c r="O37" t="s">
        <v>144</v>
      </c>
    </row>
    <row r="38" spans="1:18" ht="15.75" x14ac:dyDescent="0.25">
      <c r="A38" s="2">
        <v>0</v>
      </c>
      <c r="B38" s="5" t="s">
        <v>79</v>
      </c>
      <c r="C38" s="7"/>
      <c r="D38" s="6"/>
      <c r="E38" s="10"/>
      <c r="F38" s="7"/>
      <c r="G38" s="7"/>
      <c r="H38" s="7"/>
      <c r="I38" s="7"/>
      <c r="J38" s="7"/>
      <c r="K38" s="7"/>
      <c r="L38" s="7">
        <f t="shared" si="4"/>
        <v>0</v>
      </c>
      <c r="M38" s="7"/>
      <c r="N38" s="7">
        <f t="shared" si="0"/>
        <v>0</v>
      </c>
    </row>
    <row r="39" spans="1:18" ht="15.75" x14ac:dyDescent="0.25">
      <c r="A39" s="2">
        <v>-653.79999999999995</v>
      </c>
      <c r="B39" s="5" t="s">
        <v>103</v>
      </c>
      <c r="C39" s="6"/>
      <c r="D39" s="6"/>
      <c r="E39" s="6"/>
      <c r="F39" s="7"/>
      <c r="G39" s="7"/>
      <c r="H39" s="7">
        <v>22.4</v>
      </c>
      <c r="I39" s="7"/>
      <c r="J39" s="7"/>
      <c r="K39" s="7">
        <v>15</v>
      </c>
      <c r="L39" s="7">
        <f t="shared" si="4"/>
        <v>37.4</v>
      </c>
      <c r="M39" s="7"/>
      <c r="N39" s="7">
        <f t="shared" ref="N39:N66" si="5">M39+A39-L39</f>
        <v>-691.19999999999993</v>
      </c>
    </row>
    <row r="40" spans="1:18" ht="15.75" x14ac:dyDescent="0.25">
      <c r="A40" s="2">
        <v>0</v>
      </c>
      <c r="B40" s="5" t="s">
        <v>139</v>
      </c>
      <c r="C40" s="7"/>
      <c r="D40" s="6"/>
      <c r="E40" s="6"/>
      <c r="F40" s="7"/>
      <c r="G40" s="7"/>
      <c r="H40" s="7"/>
      <c r="I40" s="7"/>
      <c r="J40" s="7"/>
      <c r="K40" s="7">
        <v>18</v>
      </c>
      <c r="L40" s="7">
        <f t="shared" si="4"/>
        <v>18</v>
      </c>
      <c r="M40" s="7"/>
      <c r="N40" s="7">
        <f t="shared" si="5"/>
        <v>-18</v>
      </c>
    </row>
    <row r="41" spans="1:18" ht="15.75" hidden="1" x14ac:dyDescent="0.25">
      <c r="A41" s="2">
        <v>0</v>
      </c>
      <c r="B41" s="5" t="s">
        <v>112</v>
      </c>
      <c r="C41" s="7"/>
      <c r="D41" s="6"/>
      <c r="E41" s="6"/>
      <c r="F41" s="7"/>
      <c r="G41" s="7"/>
      <c r="H41" s="7"/>
      <c r="I41" s="7"/>
      <c r="J41" s="7"/>
      <c r="K41" s="7"/>
      <c r="L41" s="7">
        <f t="shared" si="4"/>
        <v>0</v>
      </c>
      <c r="M41" s="7"/>
      <c r="N41" s="7">
        <f t="shared" si="5"/>
        <v>0</v>
      </c>
      <c r="R41" t="s">
        <v>74</v>
      </c>
    </row>
    <row r="42" spans="1:18" ht="15.75" hidden="1" x14ac:dyDescent="0.25">
      <c r="A42" s="2">
        <v>0</v>
      </c>
      <c r="B42" s="5" t="s">
        <v>91</v>
      </c>
      <c r="C42" s="7"/>
      <c r="D42" s="7"/>
      <c r="E42" s="7"/>
      <c r="F42" s="7"/>
      <c r="G42" s="7"/>
      <c r="H42" s="7"/>
      <c r="I42" s="7"/>
      <c r="J42" s="7"/>
      <c r="K42" s="7"/>
      <c r="L42" s="7">
        <f t="shared" ref="L42:L49" si="6">SUM(C42:K42)</f>
        <v>0</v>
      </c>
      <c r="M42" s="7"/>
      <c r="N42" s="7">
        <f t="shared" si="5"/>
        <v>0</v>
      </c>
    </row>
    <row r="43" spans="1:18" ht="15.75" x14ac:dyDescent="0.25">
      <c r="A43" s="2">
        <v>0</v>
      </c>
      <c r="B43" s="5" t="s">
        <v>31</v>
      </c>
      <c r="C43" s="7"/>
      <c r="D43" s="7"/>
      <c r="E43" s="7"/>
      <c r="F43" s="7"/>
      <c r="G43" s="7"/>
      <c r="H43" s="7"/>
      <c r="I43" s="7"/>
      <c r="J43" s="7"/>
      <c r="K43" s="7">
        <v>18</v>
      </c>
      <c r="L43" s="7">
        <f t="shared" si="6"/>
        <v>18</v>
      </c>
      <c r="M43" s="7"/>
      <c r="N43" s="7">
        <f t="shared" si="5"/>
        <v>-18</v>
      </c>
    </row>
    <row r="44" spans="1:18" ht="15.75" x14ac:dyDescent="0.25">
      <c r="A44" s="2">
        <v>-44</v>
      </c>
      <c r="B44" s="5" t="s">
        <v>37</v>
      </c>
      <c r="C44" s="7"/>
      <c r="D44" s="7"/>
      <c r="E44" s="7"/>
      <c r="F44" s="7"/>
      <c r="G44" s="7"/>
      <c r="H44" s="7"/>
      <c r="I44" s="7"/>
      <c r="J44" s="7"/>
      <c r="K44" s="7"/>
      <c r="L44" s="7">
        <f t="shared" si="6"/>
        <v>0</v>
      </c>
      <c r="M44" s="7">
        <v>44</v>
      </c>
      <c r="N44" s="7">
        <f t="shared" si="5"/>
        <v>0</v>
      </c>
      <c r="O44" t="s">
        <v>142</v>
      </c>
    </row>
    <row r="45" spans="1:18" ht="15.75" x14ac:dyDescent="0.25">
      <c r="A45" s="2">
        <v>-36</v>
      </c>
      <c r="B45" s="5" t="s">
        <v>105</v>
      </c>
      <c r="C45" s="7"/>
      <c r="D45" s="7"/>
      <c r="E45" s="7"/>
      <c r="F45" s="7"/>
      <c r="G45" s="7"/>
      <c r="H45" s="7"/>
      <c r="I45" s="7"/>
      <c r="J45" s="7">
        <v>18</v>
      </c>
      <c r="K45" s="7">
        <v>21</v>
      </c>
      <c r="L45" s="7">
        <f t="shared" si="6"/>
        <v>39</v>
      </c>
      <c r="M45" s="7"/>
      <c r="N45" s="7">
        <f t="shared" si="5"/>
        <v>-75</v>
      </c>
    </row>
    <row r="46" spans="1:18" ht="15.75" x14ac:dyDescent="0.25">
      <c r="A46" s="2">
        <v>-9.6</v>
      </c>
      <c r="B46" s="5" t="s">
        <v>54</v>
      </c>
      <c r="C46" s="7"/>
      <c r="D46" s="7"/>
      <c r="E46" s="7"/>
      <c r="F46" s="7"/>
      <c r="G46" s="7"/>
      <c r="H46" s="7"/>
      <c r="I46" s="7"/>
      <c r="J46" s="7"/>
      <c r="K46" s="7">
        <v>15</v>
      </c>
      <c r="L46" s="7">
        <f t="shared" si="6"/>
        <v>15</v>
      </c>
      <c r="M46" s="7"/>
      <c r="N46" s="7">
        <f t="shared" si="5"/>
        <v>-24.6</v>
      </c>
    </row>
    <row r="47" spans="1:18" ht="15.75" hidden="1" x14ac:dyDescent="0.25">
      <c r="A47" s="2">
        <v>0</v>
      </c>
      <c r="B47" s="5" t="s">
        <v>107</v>
      </c>
      <c r="C47" s="7"/>
      <c r="D47" s="7"/>
      <c r="E47" s="7"/>
      <c r="F47" s="7"/>
      <c r="G47" s="7"/>
      <c r="H47" s="7"/>
      <c r="I47" s="7"/>
      <c r="J47" s="7"/>
      <c r="K47" s="7"/>
      <c r="L47" s="7">
        <f t="shared" si="6"/>
        <v>0</v>
      </c>
      <c r="M47" s="7"/>
      <c r="N47" s="7">
        <f t="shared" si="5"/>
        <v>0</v>
      </c>
    </row>
    <row r="48" spans="1:18" ht="15.75" hidden="1" x14ac:dyDescent="0.25">
      <c r="A48" s="2">
        <v>0</v>
      </c>
      <c r="B48" s="5" t="s">
        <v>19</v>
      </c>
      <c r="C48" s="7"/>
      <c r="D48" s="7"/>
      <c r="E48" s="7"/>
      <c r="F48" s="7"/>
      <c r="G48" s="7"/>
      <c r="H48" s="7"/>
      <c r="I48" s="7"/>
      <c r="J48" s="7"/>
      <c r="K48" s="7"/>
      <c r="L48" s="7">
        <f t="shared" si="6"/>
        <v>0</v>
      </c>
      <c r="M48" s="7"/>
      <c r="N48" s="7">
        <f t="shared" si="5"/>
        <v>0</v>
      </c>
    </row>
    <row r="49" spans="1:18" ht="15.75" x14ac:dyDescent="0.25">
      <c r="A49" s="2">
        <v>0</v>
      </c>
      <c r="B49" s="5" t="s">
        <v>138</v>
      </c>
      <c r="C49" s="7">
        <v>18</v>
      </c>
      <c r="D49" s="7"/>
      <c r="E49" s="7"/>
      <c r="F49" s="7"/>
      <c r="G49" s="7"/>
      <c r="H49" s="7"/>
      <c r="I49" s="7"/>
      <c r="J49" s="7"/>
      <c r="K49" s="7"/>
      <c r="L49" s="7">
        <f t="shared" si="6"/>
        <v>18</v>
      </c>
      <c r="M49" s="7">
        <v>18</v>
      </c>
      <c r="N49" s="7">
        <f t="shared" si="5"/>
        <v>0</v>
      </c>
      <c r="O49" t="s">
        <v>140</v>
      </c>
    </row>
    <row r="50" spans="1:18" ht="15.75" x14ac:dyDescent="0.25">
      <c r="A50" s="2">
        <v>7</v>
      </c>
      <c r="B50" s="5" t="s">
        <v>136</v>
      </c>
      <c r="C50" s="7"/>
      <c r="D50" s="7"/>
      <c r="E50" s="7"/>
      <c r="F50" s="7"/>
      <c r="G50" s="7"/>
      <c r="H50" s="7"/>
      <c r="I50" s="7"/>
      <c r="J50" s="7"/>
      <c r="K50" s="7"/>
      <c r="L50" s="7">
        <f>SUM(C50:K50)</f>
        <v>0</v>
      </c>
      <c r="M50" s="7"/>
      <c r="N50" s="8">
        <f t="shared" si="5"/>
        <v>7</v>
      </c>
    </row>
    <row r="51" spans="1:18" ht="15.75" hidden="1" x14ac:dyDescent="0.25">
      <c r="A51" s="2">
        <v>0</v>
      </c>
      <c r="B51" s="5" t="s">
        <v>108</v>
      </c>
      <c r="C51" s="7"/>
      <c r="D51" s="7"/>
      <c r="E51" s="7"/>
      <c r="F51" s="7"/>
      <c r="G51" s="7"/>
      <c r="H51" s="7"/>
      <c r="I51" s="7"/>
      <c r="J51" s="7"/>
      <c r="K51" s="7"/>
      <c r="L51" s="7">
        <f t="shared" ref="L51:L60" si="7">SUM(C51:K51)</f>
        <v>0</v>
      </c>
      <c r="M51" s="7"/>
      <c r="N51" s="7">
        <f t="shared" si="5"/>
        <v>0</v>
      </c>
    </row>
    <row r="52" spans="1:18" ht="15.75" hidden="1" x14ac:dyDescent="0.25">
      <c r="A52" s="2">
        <v>0</v>
      </c>
      <c r="B52" s="5" t="s">
        <v>95</v>
      </c>
      <c r="C52" s="6"/>
      <c r="D52" s="7"/>
      <c r="E52" s="6"/>
      <c r="F52" s="7"/>
      <c r="G52" s="7"/>
      <c r="H52" s="7"/>
      <c r="I52" s="7"/>
      <c r="J52" s="7"/>
      <c r="K52" s="7"/>
      <c r="L52" s="7">
        <f t="shared" si="7"/>
        <v>0</v>
      </c>
      <c r="M52" s="7"/>
      <c r="N52" s="7">
        <f t="shared" si="5"/>
        <v>0</v>
      </c>
    </row>
    <row r="53" spans="1:18" ht="15.75" hidden="1" x14ac:dyDescent="0.25">
      <c r="A53" s="2">
        <v>0</v>
      </c>
      <c r="B53" s="5" t="s">
        <v>36</v>
      </c>
      <c r="C53" s="6"/>
      <c r="D53" s="7"/>
      <c r="E53" s="6"/>
      <c r="F53" s="7"/>
      <c r="G53" s="7"/>
      <c r="H53" s="7"/>
      <c r="I53" s="7"/>
      <c r="J53" s="7"/>
      <c r="K53" s="7"/>
      <c r="L53" s="7">
        <f t="shared" si="7"/>
        <v>0</v>
      </c>
      <c r="M53" s="7"/>
      <c r="N53" s="7">
        <f t="shared" si="5"/>
        <v>0</v>
      </c>
    </row>
    <row r="54" spans="1:18" ht="15.75" hidden="1" x14ac:dyDescent="0.25">
      <c r="A54" s="2">
        <v>0</v>
      </c>
      <c r="B54" s="5" t="s">
        <v>109</v>
      </c>
      <c r="C54" s="6"/>
      <c r="D54" s="7"/>
      <c r="E54" s="6"/>
      <c r="F54" s="7"/>
      <c r="G54" s="7"/>
      <c r="H54" s="7"/>
      <c r="I54" s="7"/>
      <c r="J54" s="7"/>
      <c r="K54" s="7"/>
      <c r="L54" s="7">
        <f t="shared" si="7"/>
        <v>0</v>
      </c>
      <c r="M54" s="7"/>
      <c r="N54" s="7">
        <f t="shared" si="5"/>
        <v>0</v>
      </c>
    </row>
    <row r="55" spans="1:18" ht="15.75" hidden="1" x14ac:dyDescent="0.25">
      <c r="A55" s="2">
        <v>0</v>
      </c>
      <c r="B55" s="5" t="s">
        <v>111</v>
      </c>
      <c r="C55" s="6"/>
      <c r="D55" s="7"/>
      <c r="E55" s="6"/>
      <c r="F55" s="7"/>
      <c r="G55" s="7"/>
      <c r="H55" s="7"/>
      <c r="I55" s="7"/>
      <c r="J55" s="7"/>
      <c r="K55" s="7"/>
      <c r="L55" s="7">
        <f t="shared" si="7"/>
        <v>0</v>
      </c>
      <c r="M55" s="7"/>
      <c r="N55" s="7">
        <f t="shared" si="5"/>
        <v>0</v>
      </c>
    </row>
    <row r="56" spans="1:18" ht="15.75" x14ac:dyDescent="0.25">
      <c r="A56" s="2">
        <v>0</v>
      </c>
      <c r="B56" s="5" t="s">
        <v>110</v>
      </c>
      <c r="C56" s="6"/>
      <c r="D56" s="7"/>
      <c r="E56" s="7">
        <v>144</v>
      </c>
      <c r="F56" s="7"/>
      <c r="G56" s="7"/>
      <c r="H56" s="7"/>
      <c r="I56" s="7"/>
      <c r="J56" s="7"/>
      <c r="K56" s="7"/>
      <c r="L56" s="7">
        <f t="shared" si="7"/>
        <v>144</v>
      </c>
      <c r="M56" s="7">
        <v>144</v>
      </c>
      <c r="N56" s="7">
        <f t="shared" si="5"/>
        <v>0</v>
      </c>
      <c r="O56" t="s">
        <v>146</v>
      </c>
    </row>
    <row r="57" spans="1:18" ht="15.75" hidden="1" x14ac:dyDescent="0.25">
      <c r="A57" s="2">
        <v>0</v>
      </c>
      <c r="B57" s="5" t="s">
        <v>113</v>
      </c>
      <c r="C57" s="6"/>
      <c r="D57" s="7"/>
      <c r="E57" s="7"/>
      <c r="F57" s="7"/>
      <c r="G57" s="7"/>
      <c r="H57" s="7"/>
      <c r="I57" s="7"/>
      <c r="J57" s="7"/>
      <c r="K57" s="7"/>
      <c r="L57" s="7">
        <f t="shared" si="7"/>
        <v>0</v>
      </c>
      <c r="M57" s="7"/>
      <c r="N57" s="7">
        <f t="shared" si="5"/>
        <v>0</v>
      </c>
    </row>
    <row r="58" spans="1:18" ht="15.75" hidden="1" x14ac:dyDescent="0.25">
      <c r="A58" s="2">
        <v>0</v>
      </c>
      <c r="B58" s="5" t="s">
        <v>114</v>
      </c>
      <c r="C58" s="6"/>
      <c r="D58" s="7"/>
      <c r="E58" s="7"/>
      <c r="F58" s="7"/>
      <c r="G58" s="7"/>
      <c r="H58" s="7"/>
      <c r="I58" s="7"/>
      <c r="J58" s="7"/>
      <c r="K58" s="7"/>
      <c r="L58" s="7">
        <f t="shared" si="7"/>
        <v>0</v>
      </c>
      <c r="M58" s="7"/>
      <c r="N58" s="7">
        <f t="shared" si="5"/>
        <v>0</v>
      </c>
    </row>
    <row r="59" spans="1:18" ht="15.75" hidden="1" x14ac:dyDescent="0.25">
      <c r="A59" s="2">
        <v>0</v>
      </c>
      <c r="B59" s="5" t="s">
        <v>115</v>
      </c>
      <c r="C59" s="6"/>
      <c r="D59" s="7"/>
      <c r="E59" s="7"/>
      <c r="F59" s="7"/>
      <c r="G59" s="7"/>
      <c r="H59" s="7"/>
      <c r="I59" s="7"/>
      <c r="J59" s="7"/>
      <c r="K59" s="7"/>
      <c r="L59" s="7">
        <f t="shared" si="7"/>
        <v>0</v>
      </c>
      <c r="M59" s="7"/>
      <c r="N59" s="7">
        <f t="shared" si="5"/>
        <v>0</v>
      </c>
    </row>
    <row r="60" spans="1:18" ht="15.75" hidden="1" x14ac:dyDescent="0.25">
      <c r="A60" s="2">
        <v>0</v>
      </c>
      <c r="B60" s="5" t="s">
        <v>116</v>
      </c>
      <c r="C60" s="6"/>
      <c r="D60" s="7"/>
      <c r="E60" s="7"/>
      <c r="F60" s="7"/>
      <c r="G60" s="7"/>
      <c r="H60" s="7"/>
      <c r="I60" s="7"/>
      <c r="J60" s="7"/>
      <c r="K60" s="7"/>
      <c r="L60" s="7">
        <f t="shared" si="7"/>
        <v>0</v>
      </c>
      <c r="M60" s="7"/>
      <c r="N60" s="7">
        <f t="shared" si="5"/>
        <v>0</v>
      </c>
    </row>
    <row r="61" spans="1:18" ht="15.75" x14ac:dyDescent="0.25">
      <c r="A61" s="2">
        <v>0</v>
      </c>
      <c r="B61" s="5" t="s">
        <v>117</v>
      </c>
      <c r="C61" s="7"/>
      <c r="D61" s="7"/>
      <c r="E61" s="7"/>
      <c r="F61" s="7"/>
      <c r="G61" s="7"/>
      <c r="H61" s="7">
        <v>85</v>
      </c>
      <c r="I61" s="7"/>
      <c r="J61" s="7"/>
      <c r="K61" s="7"/>
      <c r="L61" s="7">
        <f>SUM(C61:K61)</f>
        <v>85</v>
      </c>
      <c r="M61" s="7">
        <v>85</v>
      </c>
      <c r="N61" s="7">
        <f t="shared" si="5"/>
        <v>0</v>
      </c>
      <c r="O61" t="s">
        <v>143</v>
      </c>
    </row>
    <row r="62" spans="1:18" ht="15.75" hidden="1" x14ac:dyDescent="0.25">
      <c r="A62" s="2">
        <v>0</v>
      </c>
      <c r="B62" s="5" t="s">
        <v>118</v>
      </c>
      <c r="C62" s="7"/>
      <c r="D62" s="7"/>
      <c r="E62" s="7"/>
      <c r="F62" s="7"/>
      <c r="G62" s="7"/>
      <c r="H62" s="7"/>
      <c r="I62" s="7"/>
      <c r="J62" s="7"/>
      <c r="K62" s="7"/>
      <c r="L62" s="7">
        <f t="shared" ref="L62:L66" si="8">SUM(C62:K62)</f>
        <v>0</v>
      </c>
      <c r="M62" s="7"/>
      <c r="N62" s="7">
        <f t="shared" si="5"/>
        <v>0</v>
      </c>
    </row>
    <row r="63" spans="1:18" ht="15.75" hidden="1" x14ac:dyDescent="0.25">
      <c r="A63" s="2">
        <v>0</v>
      </c>
      <c r="B63" s="5" t="s">
        <v>119</v>
      </c>
      <c r="C63" s="7"/>
      <c r="D63" s="7"/>
      <c r="E63" s="7"/>
      <c r="F63" s="7"/>
      <c r="G63" s="7"/>
      <c r="H63" s="7"/>
      <c r="I63" s="7"/>
      <c r="J63" s="7"/>
      <c r="K63" s="7"/>
      <c r="L63" s="7">
        <f t="shared" si="8"/>
        <v>0</v>
      </c>
      <c r="M63" s="7"/>
      <c r="N63" s="7">
        <f t="shared" si="5"/>
        <v>0</v>
      </c>
    </row>
    <row r="64" spans="1:18" ht="15.75" x14ac:dyDescent="0.25">
      <c r="A64" s="2">
        <v>-22</v>
      </c>
      <c r="B64" s="5" t="s">
        <v>135</v>
      </c>
      <c r="C64" s="7"/>
      <c r="D64" s="7"/>
      <c r="E64" s="7"/>
      <c r="F64" s="7"/>
      <c r="G64" s="7"/>
      <c r="H64" s="7"/>
      <c r="I64" s="7"/>
      <c r="J64" s="7"/>
      <c r="K64" s="7"/>
      <c r="L64" s="7">
        <f t="shared" si="8"/>
        <v>0</v>
      </c>
      <c r="M64" s="7">
        <v>22</v>
      </c>
      <c r="N64" s="7">
        <f t="shared" si="5"/>
        <v>0</v>
      </c>
      <c r="O64" t="s">
        <v>142</v>
      </c>
      <c r="R64" t="s">
        <v>74</v>
      </c>
    </row>
    <row r="65" spans="1:15" ht="15.75" hidden="1" x14ac:dyDescent="0.25">
      <c r="A65" s="2">
        <v>0</v>
      </c>
      <c r="B65" s="5" t="s">
        <v>120</v>
      </c>
      <c r="C65" s="7"/>
      <c r="D65" s="7"/>
      <c r="E65" s="7"/>
      <c r="F65" s="7"/>
      <c r="G65" s="7"/>
      <c r="H65" s="7"/>
      <c r="I65" s="7"/>
      <c r="J65" s="7"/>
      <c r="K65" s="7"/>
      <c r="L65" s="7">
        <f t="shared" si="8"/>
        <v>0</v>
      </c>
      <c r="M65" s="7"/>
      <c r="N65" s="7">
        <f t="shared" si="5"/>
        <v>0</v>
      </c>
    </row>
    <row r="66" spans="1:15" ht="15.75" hidden="1" x14ac:dyDescent="0.25">
      <c r="A66" s="2">
        <v>0</v>
      </c>
      <c r="B66" s="5" t="s">
        <v>121</v>
      </c>
      <c r="C66" s="7"/>
      <c r="D66" s="7"/>
      <c r="E66" s="7"/>
      <c r="F66" s="7"/>
      <c r="G66" s="7"/>
      <c r="H66" s="7"/>
      <c r="I66" s="7"/>
      <c r="J66" s="7"/>
      <c r="K66" s="7"/>
      <c r="L66" s="7">
        <f t="shared" si="8"/>
        <v>0</v>
      </c>
      <c r="M66" s="7"/>
      <c r="N66" s="7">
        <f t="shared" si="5"/>
        <v>0</v>
      </c>
    </row>
    <row r="67" spans="1:15" ht="15.75" x14ac:dyDescent="0.25">
      <c r="A67" s="2">
        <f>SUM(A5:A66)</f>
        <v>-3800.9200000000005</v>
      </c>
      <c r="B67" s="6" t="s">
        <v>104</v>
      </c>
      <c r="C67" s="7">
        <f t="shared" ref="C67:I67" si="9">SUM(C5:C65)</f>
        <v>175.6</v>
      </c>
      <c r="D67" s="7">
        <f t="shared" si="9"/>
        <v>0</v>
      </c>
      <c r="E67" s="7">
        <f t="shared" si="9"/>
        <v>256.39999999999998</v>
      </c>
      <c r="F67" s="7">
        <f t="shared" si="9"/>
        <v>132.4</v>
      </c>
      <c r="G67" s="7">
        <f t="shared" si="9"/>
        <v>51.2</v>
      </c>
      <c r="H67" s="7">
        <f t="shared" si="9"/>
        <v>107.4</v>
      </c>
      <c r="I67" s="7">
        <f t="shared" si="9"/>
        <v>10.4</v>
      </c>
      <c r="J67" s="7">
        <f>SUM(J5:J65)</f>
        <v>61</v>
      </c>
      <c r="K67" s="7">
        <f>SUM(K5:K66)</f>
        <v>452.1</v>
      </c>
      <c r="L67" s="7">
        <f>SUM(L5:L66)</f>
        <v>1246.5</v>
      </c>
      <c r="M67" s="15">
        <f>SUM(M5:M66)</f>
        <v>1683.4</v>
      </c>
      <c r="N67" s="7">
        <f>SUM(N5:N66)</f>
        <v>-3364.02</v>
      </c>
    </row>
    <row r="68" spans="1:15" x14ac:dyDescent="0.25">
      <c r="K68" s="13"/>
    </row>
    <row r="69" spans="1:15" x14ac:dyDescent="0.25">
      <c r="K69" s="13"/>
    </row>
    <row r="70" spans="1:15" ht="15.75" x14ac:dyDescent="0.25">
      <c r="A70" s="57" t="s">
        <v>124</v>
      </c>
      <c r="B70" s="57" t="s">
        <v>75</v>
      </c>
      <c r="C70" s="27">
        <v>1</v>
      </c>
      <c r="D70" s="27">
        <v>2</v>
      </c>
      <c r="E70" s="27">
        <v>3</v>
      </c>
      <c r="F70" s="27">
        <v>4</v>
      </c>
      <c r="G70" s="27">
        <v>5</v>
      </c>
      <c r="H70" s="27">
        <v>6</v>
      </c>
      <c r="I70" s="27">
        <v>7</v>
      </c>
      <c r="J70" s="27">
        <v>8</v>
      </c>
      <c r="K70" s="27"/>
      <c r="L70" s="57" t="s">
        <v>68</v>
      </c>
      <c r="M70" s="61" t="s">
        <v>137</v>
      </c>
      <c r="N70" s="57" t="s">
        <v>152</v>
      </c>
    </row>
    <row r="71" spans="1:15" ht="15.75" x14ac:dyDescent="0.25">
      <c r="A71" s="58"/>
      <c r="B71" s="58"/>
      <c r="C71" s="26">
        <v>5</v>
      </c>
      <c r="D71" s="26">
        <v>10</v>
      </c>
      <c r="E71" s="26">
        <v>12</v>
      </c>
      <c r="F71" s="26">
        <v>16</v>
      </c>
      <c r="G71" s="26">
        <v>19</v>
      </c>
      <c r="H71" s="26">
        <v>23</v>
      </c>
      <c r="I71" s="26">
        <v>26</v>
      </c>
      <c r="J71" s="26">
        <v>30</v>
      </c>
      <c r="K71" s="6"/>
      <c r="L71" s="58"/>
      <c r="M71" s="62"/>
      <c r="N71" s="58"/>
    </row>
    <row r="72" spans="1:15" ht="15.75" x14ac:dyDescent="0.25">
      <c r="A72" s="2">
        <v>0</v>
      </c>
      <c r="B72" s="5" t="s">
        <v>123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7">
        <f>M72+A72-L72</f>
        <v>0</v>
      </c>
    </row>
    <row r="73" spans="1:15" ht="15.75" x14ac:dyDescent="0.25">
      <c r="A73" s="2">
        <f>N6</f>
        <v>-18</v>
      </c>
      <c r="B73" s="5" t="s">
        <v>125</v>
      </c>
      <c r="C73" s="6"/>
      <c r="D73" s="6"/>
      <c r="E73" s="6"/>
      <c r="F73" s="6"/>
      <c r="G73" s="6"/>
      <c r="H73" s="6"/>
      <c r="I73" s="6"/>
      <c r="J73" s="6"/>
      <c r="K73" s="7"/>
      <c r="L73" s="7">
        <f>SUM(C73:K73)</f>
        <v>0</v>
      </c>
      <c r="M73" s="7"/>
      <c r="N73" s="7">
        <f t="shared" ref="N73:N133" si="10">M73+A73-L73</f>
        <v>-18</v>
      </c>
    </row>
    <row r="74" spans="1:15" ht="15.75" x14ac:dyDescent="0.25">
      <c r="A74" s="2">
        <f t="shared" ref="A74:A133" si="11">N7</f>
        <v>-152</v>
      </c>
      <c r="B74" s="5" t="s">
        <v>1</v>
      </c>
      <c r="C74" s="7"/>
      <c r="D74" s="7"/>
      <c r="E74" s="7">
        <v>22</v>
      </c>
      <c r="F74" s="6"/>
      <c r="G74" s="6"/>
      <c r="H74" s="7"/>
      <c r="I74" s="6"/>
      <c r="J74" s="15"/>
      <c r="K74" s="7"/>
      <c r="L74" s="7">
        <f>SUM(C74:K74)</f>
        <v>22</v>
      </c>
      <c r="M74" s="7">
        <v>152</v>
      </c>
      <c r="N74" s="7">
        <f t="shared" si="10"/>
        <v>-22</v>
      </c>
      <c r="O74" t="s">
        <v>162</v>
      </c>
    </row>
    <row r="75" spans="1:15" ht="15.75" x14ac:dyDescent="0.25">
      <c r="A75" s="2">
        <f t="shared" si="11"/>
        <v>-32</v>
      </c>
      <c r="B75" s="5" t="s">
        <v>2</v>
      </c>
      <c r="C75" s="6"/>
      <c r="D75" s="6"/>
      <c r="E75" s="6"/>
      <c r="F75" s="7"/>
      <c r="G75" s="6"/>
      <c r="H75" s="7"/>
      <c r="I75" s="6"/>
      <c r="J75" s="6"/>
      <c r="K75" s="7"/>
      <c r="L75" s="7">
        <f>SUM(C75:K75)</f>
        <v>0</v>
      </c>
      <c r="M75" s="7"/>
      <c r="N75" s="7">
        <f t="shared" si="10"/>
        <v>-32</v>
      </c>
    </row>
    <row r="76" spans="1:15" ht="15.75" x14ac:dyDescent="0.25">
      <c r="A76" s="2">
        <f t="shared" si="11"/>
        <v>-25.8</v>
      </c>
      <c r="B76" s="5" t="s">
        <v>129</v>
      </c>
      <c r="C76" s="6"/>
      <c r="D76" s="6"/>
      <c r="E76" s="6"/>
      <c r="F76" s="6"/>
      <c r="G76" s="6"/>
      <c r="H76" s="7"/>
      <c r="I76" s="6"/>
      <c r="J76" s="6"/>
      <c r="K76" s="7"/>
      <c r="L76" s="7">
        <f t="shared" ref="L76:L93" si="12">SUM(C76:K76)</f>
        <v>0</v>
      </c>
      <c r="M76" s="7"/>
      <c r="N76" s="7">
        <f t="shared" si="10"/>
        <v>-25.8</v>
      </c>
    </row>
    <row r="77" spans="1:15" ht="15.75" x14ac:dyDescent="0.25">
      <c r="A77" s="2">
        <f t="shared" si="11"/>
        <v>-34.5</v>
      </c>
      <c r="B77" s="5" t="s">
        <v>128</v>
      </c>
      <c r="C77" s="7"/>
      <c r="D77" s="7"/>
      <c r="E77" s="7"/>
      <c r="F77" s="6"/>
      <c r="G77" s="6"/>
      <c r="H77" s="7"/>
      <c r="I77" s="7">
        <v>22</v>
      </c>
      <c r="J77" s="7"/>
      <c r="K77" s="7"/>
      <c r="L77" s="7">
        <f t="shared" si="12"/>
        <v>22</v>
      </c>
      <c r="M77" s="7">
        <v>38.5</v>
      </c>
      <c r="N77" s="7">
        <f t="shared" si="10"/>
        <v>-18</v>
      </c>
      <c r="O77" t="s">
        <v>158</v>
      </c>
    </row>
    <row r="78" spans="1:15" ht="15.75" x14ac:dyDescent="0.25">
      <c r="A78" s="2">
        <f t="shared" si="11"/>
        <v>-285.2</v>
      </c>
      <c r="B78" s="5" t="s">
        <v>127</v>
      </c>
      <c r="C78" s="6"/>
      <c r="D78" s="6"/>
      <c r="E78" s="6"/>
      <c r="F78" s="6"/>
      <c r="G78" s="6"/>
      <c r="H78" s="7"/>
      <c r="I78" s="6"/>
      <c r="J78" s="6"/>
      <c r="K78" s="7"/>
      <c r="L78" s="7">
        <f t="shared" si="12"/>
        <v>0</v>
      </c>
      <c r="M78" s="7"/>
      <c r="N78" s="7">
        <f t="shared" si="10"/>
        <v>-285.2</v>
      </c>
    </row>
    <row r="79" spans="1:15" ht="15.75" x14ac:dyDescent="0.25">
      <c r="A79" s="2">
        <f t="shared" si="11"/>
        <v>0</v>
      </c>
      <c r="B79" s="5" t="s">
        <v>126</v>
      </c>
      <c r="C79" s="6"/>
      <c r="D79" s="6"/>
      <c r="E79" s="6"/>
      <c r="F79" s="6"/>
      <c r="G79" s="6"/>
      <c r="H79" s="7"/>
      <c r="I79" s="6"/>
      <c r="J79" s="6"/>
      <c r="K79" s="7"/>
      <c r="L79" s="7">
        <f t="shared" si="12"/>
        <v>0</v>
      </c>
      <c r="M79" s="7"/>
      <c r="N79" s="7">
        <f t="shared" si="10"/>
        <v>0</v>
      </c>
    </row>
    <row r="80" spans="1:15" ht="15.75" x14ac:dyDescent="0.25">
      <c r="A80" s="2">
        <f t="shared" si="11"/>
        <v>-503.20000000000005</v>
      </c>
      <c r="B80" s="5" t="s">
        <v>130</v>
      </c>
      <c r="C80" s="7"/>
      <c r="D80" s="7"/>
      <c r="E80" s="7"/>
      <c r="F80" s="7"/>
      <c r="G80" s="7"/>
      <c r="H80" s="7"/>
      <c r="I80" s="6"/>
      <c r="J80" s="7"/>
      <c r="K80" s="7"/>
      <c r="L80" s="7">
        <f t="shared" si="12"/>
        <v>0</v>
      </c>
      <c r="M80" s="7"/>
      <c r="N80" s="7">
        <f t="shared" si="10"/>
        <v>-503.20000000000005</v>
      </c>
    </row>
    <row r="81" spans="1:15" ht="15.75" x14ac:dyDescent="0.25">
      <c r="A81" s="2">
        <f t="shared" si="11"/>
        <v>-110.63</v>
      </c>
      <c r="B81" s="5" t="s">
        <v>131</v>
      </c>
      <c r="C81" s="7"/>
      <c r="D81" s="6"/>
      <c r="E81" s="7"/>
      <c r="F81" s="7"/>
      <c r="G81" s="7"/>
      <c r="H81" s="7"/>
      <c r="I81" s="7"/>
      <c r="J81" s="6"/>
      <c r="K81" s="7"/>
      <c r="L81" s="7">
        <f t="shared" si="12"/>
        <v>0</v>
      </c>
      <c r="M81" s="7">
        <v>62</v>
      </c>
      <c r="N81" s="7">
        <f t="shared" si="10"/>
        <v>-48.629999999999995</v>
      </c>
      <c r="O81" t="s">
        <v>160</v>
      </c>
    </row>
    <row r="82" spans="1:15" ht="15.75" x14ac:dyDescent="0.25">
      <c r="A82" s="2">
        <f t="shared" si="11"/>
        <v>-16.5</v>
      </c>
      <c r="B82" s="5" t="s">
        <v>132</v>
      </c>
      <c r="C82" s="7"/>
      <c r="D82" s="6"/>
      <c r="E82" s="7"/>
      <c r="F82" s="7"/>
      <c r="G82" s="7"/>
      <c r="H82" s="7"/>
      <c r="I82" s="7"/>
      <c r="J82" s="6"/>
      <c r="K82" s="7"/>
      <c r="L82" s="7">
        <f t="shared" si="12"/>
        <v>0</v>
      </c>
      <c r="M82" s="7"/>
      <c r="N82" s="7">
        <f t="shared" si="10"/>
        <v>-16.5</v>
      </c>
    </row>
    <row r="83" spans="1:15" ht="15.75" x14ac:dyDescent="0.25">
      <c r="A83" s="2">
        <f t="shared" si="11"/>
        <v>-16.5</v>
      </c>
      <c r="B83" s="5" t="s">
        <v>9</v>
      </c>
      <c r="C83" s="6"/>
      <c r="D83" s="6"/>
      <c r="E83" s="7"/>
      <c r="F83" s="7"/>
      <c r="G83" s="7"/>
      <c r="H83" s="6"/>
      <c r="I83" s="6"/>
      <c r="J83" s="6"/>
      <c r="K83" s="7"/>
      <c r="L83" s="7">
        <f t="shared" si="12"/>
        <v>0</v>
      </c>
      <c r="M83" s="7"/>
      <c r="N83" s="7">
        <f t="shared" si="10"/>
        <v>-16.5</v>
      </c>
    </row>
    <row r="84" spans="1:15" ht="15.75" x14ac:dyDescent="0.25">
      <c r="A84" s="2">
        <f t="shared" si="11"/>
        <v>-38.5</v>
      </c>
      <c r="B84" s="5" t="s">
        <v>133</v>
      </c>
      <c r="C84" s="7"/>
      <c r="D84" s="7"/>
      <c r="E84" s="7"/>
      <c r="F84" s="7"/>
      <c r="G84" s="7"/>
      <c r="H84" s="7"/>
      <c r="I84" s="7"/>
      <c r="J84" s="7"/>
      <c r="K84" s="7"/>
      <c r="L84" s="7">
        <f t="shared" si="12"/>
        <v>0</v>
      </c>
      <c r="M84" s="8">
        <v>55</v>
      </c>
      <c r="N84" s="7">
        <f t="shared" si="10"/>
        <v>16.5</v>
      </c>
      <c r="O84" t="s">
        <v>155</v>
      </c>
    </row>
    <row r="85" spans="1:15" ht="15.75" x14ac:dyDescent="0.25">
      <c r="A85" s="2">
        <f t="shared" si="11"/>
        <v>-34.5</v>
      </c>
      <c r="B85" s="5" t="s">
        <v>96</v>
      </c>
      <c r="C85" s="7"/>
      <c r="D85" s="7"/>
      <c r="E85" s="7"/>
      <c r="F85" s="7"/>
      <c r="G85" s="7"/>
      <c r="H85" s="7"/>
      <c r="I85" s="7"/>
      <c r="J85" s="7"/>
      <c r="K85" s="7"/>
      <c r="L85" s="7">
        <f t="shared" si="12"/>
        <v>0</v>
      </c>
      <c r="M85" s="7"/>
      <c r="N85" s="7">
        <f t="shared" si="10"/>
        <v>-34.5</v>
      </c>
    </row>
    <row r="86" spans="1:15" ht="15.75" x14ac:dyDescent="0.25">
      <c r="A86" s="2">
        <f t="shared" si="11"/>
        <v>-16.5</v>
      </c>
      <c r="B86" s="5" t="s">
        <v>134</v>
      </c>
      <c r="C86" s="6"/>
      <c r="D86" s="6"/>
      <c r="E86" s="6"/>
      <c r="F86" s="6"/>
      <c r="G86" s="6"/>
      <c r="H86" s="6"/>
      <c r="I86" s="6"/>
      <c r="J86" s="6"/>
      <c r="K86" s="7"/>
      <c r="L86" s="7">
        <f t="shared" si="12"/>
        <v>0</v>
      </c>
      <c r="M86" s="7">
        <v>16.5</v>
      </c>
      <c r="N86" s="7">
        <f t="shared" si="10"/>
        <v>0</v>
      </c>
      <c r="O86" t="s">
        <v>154</v>
      </c>
    </row>
    <row r="87" spans="1:15" ht="15.75" x14ac:dyDescent="0.25">
      <c r="A87" s="2">
        <f t="shared" si="11"/>
        <v>26.1</v>
      </c>
      <c r="B87" s="5" t="s">
        <v>99</v>
      </c>
      <c r="C87" s="7"/>
      <c r="D87" s="6"/>
      <c r="E87" s="6"/>
      <c r="F87" s="6"/>
      <c r="G87" s="6"/>
      <c r="H87" s="6"/>
      <c r="I87" s="6"/>
      <c r="J87" s="6"/>
      <c r="K87" s="7"/>
      <c r="L87" s="7">
        <f t="shared" si="12"/>
        <v>0</v>
      </c>
      <c r="M87" s="7"/>
      <c r="N87" s="7">
        <f t="shared" si="10"/>
        <v>26.1</v>
      </c>
    </row>
    <row r="88" spans="1:15" ht="15.75" x14ac:dyDescent="0.25">
      <c r="A88" s="2">
        <f t="shared" si="11"/>
        <v>0</v>
      </c>
      <c r="B88" s="5" t="s">
        <v>21</v>
      </c>
      <c r="C88" s="7"/>
      <c r="D88" s="7"/>
      <c r="E88" s="7"/>
      <c r="F88" s="7"/>
      <c r="G88" s="7"/>
      <c r="H88" s="7"/>
      <c r="I88" s="7"/>
      <c r="J88" s="7"/>
      <c r="K88" s="7"/>
      <c r="L88" s="7">
        <f t="shared" si="12"/>
        <v>0</v>
      </c>
      <c r="M88" s="7"/>
      <c r="N88" s="7">
        <f t="shared" si="10"/>
        <v>0</v>
      </c>
    </row>
    <row r="89" spans="1:15" ht="15.75" x14ac:dyDescent="0.25">
      <c r="A89" s="2">
        <f t="shared" si="11"/>
        <v>-395.49</v>
      </c>
      <c r="B89" s="5" t="s">
        <v>53</v>
      </c>
      <c r="C89" s="7"/>
      <c r="D89" s="7"/>
      <c r="E89" s="7"/>
      <c r="F89" s="7"/>
      <c r="G89" s="7"/>
      <c r="H89" s="7"/>
      <c r="I89" s="7"/>
      <c r="J89" s="7"/>
      <c r="K89" s="7"/>
      <c r="L89" s="7">
        <f t="shared" si="12"/>
        <v>0</v>
      </c>
      <c r="M89" s="7"/>
      <c r="N89" s="7">
        <f t="shared" si="10"/>
        <v>-395.49</v>
      </c>
    </row>
    <row r="90" spans="1:15" ht="15.75" x14ac:dyDescent="0.25">
      <c r="A90" s="2">
        <f t="shared" si="11"/>
        <v>-212.20000000000005</v>
      </c>
      <c r="B90" s="5" t="s">
        <v>33</v>
      </c>
      <c r="C90" s="7">
        <v>16</v>
      </c>
      <c r="D90" s="7">
        <v>80</v>
      </c>
      <c r="E90" s="7"/>
      <c r="F90" s="7"/>
      <c r="G90" s="7">
        <v>28.8</v>
      </c>
      <c r="H90" s="7"/>
      <c r="I90" s="7"/>
      <c r="J90" s="7"/>
      <c r="K90" s="7"/>
      <c r="L90" s="7">
        <f t="shared" si="12"/>
        <v>124.8</v>
      </c>
      <c r="M90" s="7"/>
      <c r="N90" s="7">
        <f t="shared" si="10"/>
        <v>-337.00000000000006</v>
      </c>
    </row>
    <row r="91" spans="1:15" ht="15.75" x14ac:dyDescent="0.25">
      <c r="A91" s="2">
        <f t="shared" si="11"/>
        <v>0</v>
      </c>
      <c r="B91" s="5" t="s">
        <v>87</v>
      </c>
      <c r="C91" s="7">
        <v>22</v>
      </c>
      <c r="D91" s="7"/>
      <c r="E91" s="7"/>
      <c r="F91" s="7"/>
      <c r="G91" s="7"/>
      <c r="H91" s="7"/>
      <c r="I91" s="7"/>
      <c r="J91" s="7"/>
      <c r="K91" s="7"/>
      <c r="L91" s="7">
        <f t="shared" si="12"/>
        <v>22</v>
      </c>
      <c r="M91" s="7"/>
      <c r="N91" s="7">
        <f t="shared" si="10"/>
        <v>-22</v>
      </c>
    </row>
    <row r="92" spans="1:15" ht="15.75" x14ac:dyDescent="0.25">
      <c r="A92" s="2">
        <f t="shared" si="11"/>
        <v>0</v>
      </c>
      <c r="B92" s="5" t="s">
        <v>23</v>
      </c>
      <c r="C92" s="7">
        <v>6</v>
      </c>
      <c r="D92" s="7"/>
      <c r="E92" s="7"/>
      <c r="F92" s="7"/>
      <c r="G92" s="7"/>
      <c r="H92" s="7"/>
      <c r="I92" s="7"/>
      <c r="J92" s="7"/>
      <c r="K92" s="7"/>
      <c r="L92" s="7">
        <f t="shared" si="12"/>
        <v>6</v>
      </c>
      <c r="M92" s="7">
        <v>6</v>
      </c>
      <c r="N92" s="7">
        <f t="shared" si="10"/>
        <v>0</v>
      </c>
      <c r="O92" t="s">
        <v>167</v>
      </c>
    </row>
    <row r="93" spans="1:15" ht="15.75" x14ac:dyDescent="0.25">
      <c r="A93" s="2">
        <f t="shared" si="11"/>
        <v>0</v>
      </c>
      <c r="B93" s="5" t="s">
        <v>24</v>
      </c>
      <c r="C93" s="7"/>
      <c r="D93" s="7"/>
      <c r="E93" s="7"/>
      <c r="F93" s="7"/>
      <c r="G93" s="7">
        <v>22</v>
      </c>
      <c r="H93" s="7"/>
      <c r="I93" s="7"/>
      <c r="J93" s="7"/>
      <c r="K93" s="7"/>
      <c r="L93" s="7">
        <f t="shared" si="12"/>
        <v>22</v>
      </c>
      <c r="M93" s="7"/>
      <c r="N93" s="7">
        <f t="shared" si="10"/>
        <v>-22</v>
      </c>
    </row>
    <row r="94" spans="1:15" ht="15.75" x14ac:dyDescent="0.25">
      <c r="A94" s="2">
        <f t="shared" si="11"/>
        <v>0</v>
      </c>
      <c r="B94" s="5" t="s">
        <v>51</v>
      </c>
      <c r="C94" s="7"/>
      <c r="D94" s="7"/>
      <c r="E94" s="7">
        <v>18.399999999999999</v>
      </c>
      <c r="F94" s="7"/>
      <c r="G94" s="7"/>
      <c r="H94" s="7"/>
      <c r="I94" s="7"/>
      <c r="J94" s="7"/>
      <c r="K94" s="7"/>
      <c r="L94" s="7">
        <f>SUM(C94:K94)</f>
        <v>18.399999999999999</v>
      </c>
      <c r="M94" s="7">
        <v>18.399999999999999</v>
      </c>
      <c r="N94" s="7">
        <f t="shared" si="10"/>
        <v>0</v>
      </c>
      <c r="O94" t="s">
        <v>166</v>
      </c>
    </row>
    <row r="95" spans="1:15" ht="15.75" x14ac:dyDescent="0.25">
      <c r="A95" s="2">
        <f t="shared" si="11"/>
        <v>-16.5</v>
      </c>
      <c r="B95" s="5" t="s">
        <v>25</v>
      </c>
      <c r="C95" s="7"/>
      <c r="D95" s="7"/>
      <c r="E95" s="7"/>
      <c r="F95" s="7"/>
      <c r="G95" s="7"/>
      <c r="H95" s="7"/>
      <c r="I95" s="7"/>
      <c r="J95" s="7"/>
      <c r="K95" s="7"/>
      <c r="L95" s="7">
        <f>SUM(C95:K95)</f>
        <v>0</v>
      </c>
      <c r="M95" s="7">
        <v>16.5</v>
      </c>
      <c r="N95" s="7">
        <f t="shared" si="10"/>
        <v>0</v>
      </c>
      <c r="O95" t="s">
        <v>170</v>
      </c>
    </row>
    <row r="96" spans="1:15" ht="15.75" x14ac:dyDescent="0.25">
      <c r="A96" s="2">
        <f t="shared" si="11"/>
        <v>-50</v>
      </c>
      <c r="B96" s="5" t="s">
        <v>27</v>
      </c>
      <c r="C96" s="7"/>
      <c r="D96" s="7"/>
      <c r="E96" s="7"/>
      <c r="F96" s="7"/>
      <c r="G96" s="7"/>
      <c r="H96" s="7"/>
      <c r="I96" s="7">
        <v>19.2</v>
      </c>
      <c r="J96" s="7"/>
      <c r="K96" s="7"/>
      <c r="L96" s="7">
        <f>SUM(C96:K96)</f>
        <v>19.2</v>
      </c>
      <c r="M96" s="7"/>
      <c r="N96" s="7">
        <f t="shared" si="10"/>
        <v>-69.2</v>
      </c>
    </row>
    <row r="97" spans="1:17" ht="15.75" x14ac:dyDescent="0.25">
      <c r="A97" s="2">
        <f t="shared" si="11"/>
        <v>-16</v>
      </c>
      <c r="B97" s="5" t="s">
        <v>29</v>
      </c>
      <c r="C97" s="7"/>
      <c r="D97" s="7"/>
      <c r="E97" s="7"/>
      <c r="F97" s="7"/>
      <c r="G97" s="7"/>
      <c r="H97" s="7"/>
      <c r="I97" s="7"/>
      <c r="J97" s="7"/>
      <c r="K97" s="7"/>
      <c r="L97" s="7">
        <f t="shared" ref="L97:L98" si="13">SUM(C97:K97)</f>
        <v>0</v>
      </c>
      <c r="M97" s="7"/>
      <c r="N97" s="7">
        <f t="shared" si="10"/>
        <v>-16</v>
      </c>
    </row>
    <row r="98" spans="1:17" ht="15.75" x14ac:dyDescent="0.25">
      <c r="A98" s="2">
        <f t="shared" si="11"/>
        <v>-64.2</v>
      </c>
      <c r="B98" s="5" t="s">
        <v>30</v>
      </c>
      <c r="C98" s="7"/>
      <c r="D98" s="7"/>
      <c r="E98" s="7"/>
      <c r="F98" s="7"/>
      <c r="G98" s="7"/>
      <c r="H98" s="7"/>
      <c r="I98" s="7"/>
      <c r="J98" s="7"/>
      <c r="K98" s="7"/>
      <c r="L98" s="7">
        <f t="shared" si="13"/>
        <v>0</v>
      </c>
      <c r="M98" s="7"/>
      <c r="N98" s="7">
        <f t="shared" si="10"/>
        <v>-64.2</v>
      </c>
    </row>
    <row r="99" spans="1:17" ht="15.75" x14ac:dyDescent="0.25">
      <c r="A99" s="2">
        <f t="shared" si="11"/>
        <v>0</v>
      </c>
      <c r="B99" s="5" t="s">
        <v>88</v>
      </c>
      <c r="C99" s="7"/>
      <c r="D99" s="7"/>
      <c r="E99" s="7"/>
      <c r="F99" s="7"/>
      <c r="G99" s="7"/>
      <c r="H99" s="7"/>
      <c r="I99" s="7"/>
      <c r="J99" s="7"/>
      <c r="K99" s="7"/>
      <c r="L99" s="7">
        <f>SUM(C99:K99)</f>
        <v>0</v>
      </c>
      <c r="M99" s="7"/>
      <c r="N99" s="7">
        <f t="shared" si="10"/>
        <v>0</v>
      </c>
    </row>
    <row r="100" spans="1:17" ht="15.75" x14ac:dyDescent="0.25">
      <c r="A100" s="2">
        <f t="shared" si="11"/>
        <v>-187.60000000000002</v>
      </c>
      <c r="B100" s="5" t="s">
        <v>101</v>
      </c>
      <c r="C100" s="7"/>
      <c r="D100" s="7"/>
      <c r="E100" s="7">
        <v>22</v>
      </c>
      <c r="F100" s="7"/>
      <c r="G100" s="7">
        <v>24</v>
      </c>
      <c r="H100" s="7"/>
      <c r="I100" s="7"/>
      <c r="J100" s="7"/>
      <c r="K100" s="7"/>
      <c r="L100" s="7">
        <f t="shared" ref="L100:L116" si="14">SUM(C100:K100)</f>
        <v>46</v>
      </c>
      <c r="M100" s="7">
        <v>187.6</v>
      </c>
      <c r="N100" s="7">
        <f t="shared" si="10"/>
        <v>-46.000000000000028</v>
      </c>
      <c r="O100" t="s">
        <v>159</v>
      </c>
    </row>
    <row r="101" spans="1:17" ht="15.75" x14ac:dyDescent="0.25">
      <c r="A101" s="2">
        <f t="shared" si="11"/>
        <v>-9.8000000000000007</v>
      </c>
      <c r="B101" s="5" t="s">
        <v>41</v>
      </c>
      <c r="C101" s="6"/>
      <c r="D101" s="6"/>
      <c r="E101" s="6"/>
      <c r="F101" s="7"/>
      <c r="G101" s="7"/>
      <c r="H101" s="7"/>
      <c r="I101" s="7"/>
      <c r="J101" s="7"/>
      <c r="K101" s="7"/>
      <c r="L101" s="7">
        <f t="shared" si="14"/>
        <v>0</v>
      </c>
      <c r="M101" s="7"/>
      <c r="N101" s="7">
        <f t="shared" si="10"/>
        <v>-9.8000000000000007</v>
      </c>
    </row>
    <row r="102" spans="1:17" ht="15.75" x14ac:dyDescent="0.25">
      <c r="A102" s="2">
        <f t="shared" si="11"/>
        <v>-24</v>
      </c>
      <c r="B102" s="5" t="s">
        <v>102</v>
      </c>
      <c r="C102" s="6"/>
      <c r="D102" s="6"/>
      <c r="E102" s="7"/>
      <c r="F102" s="7"/>
      <c r="G102" s="7"/>
      <c r="H102" s="7"/>
      <c r="I102" s="7"/>
      <c r="J102" s="7"/>
      <c r="K102" s="7"/>
      <c r="L102" s="7">
        <f t="shared" si="14"/>
        <v>0</v>
      </c>
      <c r="M102" s="7"/>
      <c r="N102" s="7">
        <f t="shared" si="10"/>
        <v>-24</v>
      </c>
    </row>
    <row r="103" spans="1:17" ht="15.75" x14ac:dyDescent="0.25">
      <c r="A103" s="2">
        <f t="shared" si="11"/>
        <v>-268.7</v>
      </c>
      <c r="B103" s="5" t="s">
        <v>45</v>
      </c>
      <c r="C103" s="7"/>
      <c r="D103" s="6"/>
      <c r="E103" s="6"/>
      <c r="F103" s="7"/>
      <c r="G103" s="7"/>
      <c r="H103" s="7"/>
      <c r="I103" s="7"/>
      <c r="J103" s="7">
        <v>8</v>
      </c>
      <c r="K103" s="7"/>
      <c r="L103" s="7">
        <f t="shared" si="14"/>
        <v>8</v>
      </c>
      <c r="M103" s="7">
        <v>100</v>
      </c>
      <c r="N103" s="7">
        <f t="shared" si="10"/>
        <v>-176.7</v>
      </c>
      <c r="O103" t="s">
        <v>168</v>
      </c>
    </row>
    <row r="104" spans="1:17" ht="15.75" x14ac:dyDescent="0.25">
      <c r="A104" s="2">
        <f t="shared" si="11"/>
        <v>-42</v>
      </c>
      <c r="B104" s="5" t="s">
        <v>46</v>
      </c>
      <c r="C104" s="7">
        <v>9.6</v>
      </c>
      <c r="D104" s="6"/>
      <c r="E104" s="10">
        <v>36</v>
      </c>
      <c r="F104" s="7"/>
      <c r="G104" s="7"/>
      <c r="H104" s="7"/>
      <c r="I104" s="7"/>
      <c r="J104" s="7">
        <v>22</v>
      </c>
      <c r="K104" s="7"/>
      <c r="L104" s="7">
        <f t="shared" si="14"/>
        <v>67.599999999999994</v>
      </c>
      <c r="M104" s="7">
        <f>21+9.6+36</f>
        <v>66.599999999999994</v>
      </c>
      <c r="N104" s="7">
        <f t="shared" si="10"/>
        <v>-43</v>
      </c>
      <c r="O104" t="s">
        <v>153</v>
      </c>
      <c r="P104" t="s">
        <v>161</v>
      </c>
      <c r="Q104" t="s">
        <v>165</v>
      </c>
    </row>
    <row r="105" spans="1:17" ht="15.75" x14ac:dyDescent="0.25">
      <c r="A105" s="2">
        <f t="shared" si="11"/>
        <v>0</v>
      </c>
      <c r="B105" s="5" t="s">
        <v>79</v>
      </c>
      <c r="C105" s="7"/>
      <c r="D105" s="6"/>
      <c r="E105" s="10"/>
      <c r="F105" s="7">
        <v>22</v>
      </c>
      <c r="G105" s="7"/>
      <c r="H105" s="7"/>
      <c r="I105" s="7"/>
      <c r="J105" s="7">
        <v>22</v>
      </c>
      <c r="K105" s="7"/>
      <c r="L105" s="7">
        <f t="shared" si="14"/>
        <v>44</v>
      </c>
      <c r="M105" s="7"/>
      <c r="N105" s="7">
        <f t="shared" si="10"/>
        <v>-44</v>
      </c>
    </row>
    <row r="106" spans="1:17" ht="15.75" x14ac:dyDescent="0.25">
      <c r="A106" s="2">
        <f t="shared" si="11"/>
        <v>-691.19999999999993</v>
      </c>
      <c r="B106" s="5" t="s">
        <v>103</v>
      </c>
      <c r="C106" s="6"/>
      <c r="D106" s="6"/>
      <c r="E106" s="6"/>
      <c r="F106" s="7"/>
      <c r="G106" s="7"/>
      <c r="H106" s="7"/>
      <c r="I106" s="7"/>
      <c r="J106" s="7"/>
      <c r="K106" s="7"/>
      <c r="L106" s="7">
        <f t="shared" si="14"/>
        <v>0</v>
      </c>
      <c r="M106" s="7"/>
      <c r="N106" s="7">
        <f t="shared" si="10"/>
        <v>-691.19999999999993</v>
      </c>
    </row>
    <row r="107" spans="1:17" ht="15.75" x14ac:dyDescent="0.25">
      <c r="A107" s="2">
        <f t="shared" si="11"/>
        <v>-18</v>
      </c>
      <c r="B107" s="5" t="s">
        <v>139</v>
      </c>
      <c r="C107" s="7"/>
      <c r="D107" s="6"/>
      <c r="E107" s="6"/>
      <c r="F107" s="7"/>
      <c r="G107" s="7"/>
      <c r="H107" s="7"/>
      <c r="I107" s="7"/>
      <c r="J107" s="7"/>
      <c r="K107" s="7"/>
      <c r="L107" s="7">
        <f t="shared" si="14"/>
        <v>0</v>
      </c>
      <c r="M107" s="7">
        <v>18</v>
      </c>
      <c r="N107" s="7">
        <f t="shared" si="10"/>
        <v>0</v>
      </c>
      <c r="O107" t="s">
        <v>163</v>
      </c>
    </row>
    <row r="108" spans="1:17" ht="15.75" hidden="1" x14ac:dyDescent="0.25">
      <c r="A108" s="2">
        <f t="shared" si="11"/>
        <v>0</v>
      </c>
      <c r="B108" s="5" t="s">
        <v>112</v>
      </c>
      <c r="C108" s="7"/>
      <c r="D108" s="6"/>
      <c r="E108" s="6"/>
      <c r="F108" s="7"/>
      <c r="G108" s="7"/>
      <c r="H108" s="7"/>
      <c r="I108" s="7"/>
      <c r="J108" s="7"/>
      <c r="K108" s="7"/>
      <c r="L108" s="7">
        <f t="shared" si="14"/>
        <v>0</v>
      </c>
      <c r="M108" s="7"/>
      <c r="N108" s="7">
        <f t="shared" si="10"/>
        <v>0</v>
      </c>
    </row>
    <row r="109" spans="1:17" ht="15.75" hidden="1" x14ac:dyDescent="0.25">
      <c r="A109" s="2">
        <f t="shared" si="11"/>
        <v>0</v>
      </c>
      <c r="B109" s="5" t="s">
        <v>91</v>
      </c>
      <c r="C109" s="7"/>
      <c r="D109" s="7"/>
      <c r="E109" s="7"/>
      <c r="F109" s="7"/>
      <c r="G109" s="7"/>
      <c r="H109" s="7"/>
      <c r="I109" s="7"/>
      <c r="J109" s="7"/>
      <c r="K109" s="7"/>
      <c r="L109" s="7">
        <f t="shared" si="14"/>
        <v>0</v>
      </c>
      <c r="M109" s="7"/>
      <c r="N109" s="7">
        <f t="shared" si="10"/>
        <v>0</v>
      </c>
    </row>
    <row r="110" spans="1:17" ht="15.75" x14ac:dyDescent="0.25">
      <c r="A110" s="2">
        <f t="shared" si="11"/>
        <v>-18</v>
      </c>
      <c r="B110" s="5" t="s">
        <v>31</v>
      </c>
      <c r="C110" s="7">
        <v>38</v>
      </c>
      <c r="D110" s="7"/>
      <c r="E110" s="7"/>
      <c r="F110" s="7"/>
      <c r="G110" s="7"/>
      <c r="H110" s="7"/>
      <c r="I110" s="7"/>
      <c r="J110" s="7"/>
      <c r="K110" s="7"/>
      <c r="L110" s="7">
        <f t="shared" si="14"/>
        <v>38</v>
      </c>
      <c r="M110" s="7">
        <f>18+38</f>
        <v>56</v>
      </c>
      <c r="N110" s="7">
        <f t="shared" si="10"/>
        <v>0</v>
      </c>
      <c r="O110" t="s">
        <v>157</v>
      </c>
      <c r="P110" t="s">
        <v>164</v>
      </c>
    </row>
    <row r="111" spans="1:17" ht="15.75" hidden="1" x14ac:dyDescent="0.25">
      <c r="A111" s="2">
        <f t="shared" si="11"/>
        <v>0</v>
      </c>
      <c r="B111" s="5" t="s">
        <v>37</v>
      </c>
      <c r="C111" s="7"/>
      <c r="D111" s="7"/>
      <c r="E111" s="7"/>
      <c r="F111" s="7"/>
      <c r="G111" s="7"/>
      <c r="H111" s="7"/>
      <c r="I111" s="7"/>
      <c r="J111" s="7"/>
      <c r="K111" s="7"/>
      <c r="L111" s="7">
        <f t="shared" si="14"/>
        <v>0</v>
      </c>
      <c r="M111" s="7"/>
      <c r="N111" s="7">
        <f t="shared" si="10"/>
        <v>0</v>
      </c>
    </row>
    <row r="112" spans="1:17" ht="15.75" x14ac:dyDescent="0.25">
      <c r="A112" s="2">
        <f t="shared" si="11"/>
        <v>-75</v>
      </c>
      <c r="B112" s="5" t="s">
        <v>105</v>
      </c>
      <c r="C112" s="7"/>
      <c r="D112" s="7"/>
      <c r="E112" s="7"/>
      <c r="F112" s="7"/>
      <c r="G112" s="7"/>
      <c r="H112" s="7"/>
      <c r="I112" s="7"/>
      <c r="J112" s="7"/>
      <c r="K112" s="7"/>
      <c r="L112" s="7">
        <f t="shared" si="14"/>
        <v>0</v>
      </c>
      <c r="M112" s="7"/>
      <c r="N112" s="7">
        <f t="shared" si="10"/>
        <v>-75</v>
      </c>
    </row>
    <row r="113" spans="1:15" ht="15.75" x14ac:dyDescent="0.25">
      <c r="A113" s="2">
        <f t="shared" si="11"/>
        <v>-24.6</v>
      </c>
      <c r="B113" s="5" t="s">
        <v>54</v>
      </c>
      <c r="C113" s="7"/>
      <c r="D113" s="7"/>
      <c r="E113" s="7">
        <v>8</v>
      </c>
      <c r="F113" s="7"/>
      <c r="G113" s="7"/>
      <c r="H113" s="7"/>
      <c r="I113" s="7"/>
      <c r="J113" s="7"/>
      <c r="K113" s="7"/>
      <c r="L113" s="7">
        <f t="shared" si="14"/>
        <v>8</v>
      </c>
      <c r="M113" s="7">
        <v>24.6</v>
      </c>
      <c r="N113" s="7">
        <f t="shared" si="10"/>
        <v>-8</v>
      </c>
      <c r="O113" t="s">
        <v>156</v>
      </c>
    </row>
    <row r="114" spans="1:15" ht="15.75" hidden="1" x14ac:dyDescent="0.25">
      <c r="A114" s="2">
        <f t="shared" si="11"/>
        <v>0</v>
      </c>
      <c r="B114" s="5" t="s">
        <v>107</v>
      </c>
      <c r="C114" s="7"/>
      <c r="D114" s="7"/>
      <c r="E114" s="7"/>
      <c r="F114" s="7"/>
      <c r="G114" s="7"/>
      <c r="H114" s="7"/>
      <c r="I114" s="7"/>
      <c r="J114" s="7"/>
      <c r="K114" s="7"/>
      <c r="L114" s="7">
        <f t="shared" si="14"/>
        <v>0</v>
      </c>
      <c r="M114" s="7"/>
      <c r="N114" s="7">
        <f t="shared" si="10"/>
        <v>0</v>
      </c>
    </row>
    <row r="115" spans="1:15" ht="15.75" x14ac:dyDescent="0.25">
      <c r="A115" s="2">
        <f t="shared" si="11"/>
        <v>0</v>
      </c>
      <c r="B115" s="5" t="s">
        <v>19</v>
      </c>
      <c r="C115" s="7"/>
      <c r="D115" s="7"/>
      <c r="E115" s="7"/>
      <c r="F115" s="7"/>
      <c r="G115" s="7"/>
      <c r="H115" s="7"/>
      <c r="I115" s="7"/>
      <c r="J115" s="7">
        <v>22</v>
      </c>
      <c r="K115" s="7"/>
      <c r="L115" s="7">
        <f t="shared" si="14"/>
        <v>22</v>
      </c>
      <c r="M115" s="7">
        <v>22</v>
      </c>
      <c r="N115" s="7">
        <f t="shared" si="10"/>
        <v>0</v>
      </c>
      <c r="O115" t="s">
        <v>171</v>
      </c>
    </row>
    <row r="116" spans="1:15" ht="15.75" hidden="1" x14ac:dyDescent="0.25">
      <c r="A116" s="2">
        <f t="shared" si="11"/>
        <v>0</v>
      </c>
      <c r="B116" s="5" t="s">
        <v>138</v>
      </c>
      <c r="C116" s="7"/>
      <c r="D116" s="7"/>
      <c r="E116" s="7"/>
      <c r="F116" s="7"/>
      <c r="G116" s="7"/>
      <c r="H116" s="7"/>
      <c r="I116" s="7"/>
      <c r="J116" s="7"/>
      <c r="K116" s="7"/>
      <c r="L116" s="7">
        <f t="shared" si="14"/>
        <v>0</v>
      </c>
      <c r="M116" s="7"/>
      <c r="N116" s="7">
        <f t="shared" si="10"/>
        <v>0</v>
      </c>
    </row>
    <row r="117" spans="1:15" ht="15.75" x14ac:dyDescent="0.25">
      <c r="A117" s="2">
        <f t="shared" si="11"/>
        <v>7</v>
      </c>
      <c r="B117" s="5" t="s">
        <v>136</v>
      </c>
      <c r="C117" s="7"/>
      <c r="D117" s="7"/>
      <c r="E117" s="7"/>
      <c r="F117" s="7"/>
      <c r="G117" s="7"/>
      <c r="H117" s="7"/>
      <c r="I117" s="7"/>
      <c r="J117" s="7"/>
      <c r="K117" s="7"/>
      <c r="L117" s="7">
        <f>SUM(C117:K117)</f>
        <v>0</v>
      </c>
      <c r="M117" s="7"/>
      <c r="N117" s="8">
        <f t="shared" si="10"/>
        <v>7</v>
      </c>
    </row>
    <row r="118" spans="1:15" ht="15.75" hidden="1" x14ac:dyDescent="0.25">
      <c r="A118" s="2">
        <f t="shared" si="11"/>
        <v>0</v>
      </c>
      <c r="B118" s="5" t="s">
        <v>108</v>
      </c>
      <c r="C118" s="7"/>
      <c r="D118" s="7"/>
      <c r="E118" s="7"/>
      <c r="F118" s="7"/>
      <c r="G118" s="7"/>
      <c r="H118" s="7"/>
      <c r="I118" s="7"/>
      <c r="J118" s="7"/>
      <c r="K118" s="7"/>
      <c r="L118" s="7">
        <f t="shared" ref="L118:L127" si="15">SUM(C118:K118)</f>
        <v>0</v>
      </c>
      <c r="M118" s="7"/>
      <c r="N118" s="7">
        <f t="shared" si="10"/>
        <v>0</v>
      </c>
    </row>
    <row r="119" spans="1:15" ht="15.75" hidden="1" x14ac:dyDescent="0.25">
      <c r="A119" s="2">
        <f t="shared" si="11"/>
        <v>0</v>
      </c>
      <c r="B119" s="5" t="s">
        <v>95</v>
      </c>
      <c r="C119" s="6"/>
      <c r="D119" s="7"/>
      <c r="E119" s="6"/>
      <c r="F119" s="7"/>
      <c r="G119" s="7"/>
      <c r="H119" s="7"/>
      <c r="I119" s="7"/>
      <c r="J119" s="7"/>
      <c r="K119" s="7"/>
      <c r="L119" s="7">
        <f t="shared" si="15"/>
        <v>0</v>
      </c>
      <c r="M119" s="7"/>
      <c r="N119" s="7">
        <f t="shared" si="10"/>
        <v>0</v>
      </c>
    </row>
    <row r="120" spans="1:15" ht="15.75" hidden="1" x14ac:dyDescent="0.25">
      <c r="A120" s="2">
        <f t="shared" si="11"/>
        <v>0</v>
      </c>
      <c r="B120" s="5" t="s">
        <v>36</v>
      </c>
      <c r="C120" s="6"/>
      <c r="D120" s="7"/>
      <c r="E120" s="6"/>
      <c r="F120" s="7"/>
      <c r="G120" s="7"/>
      <c r="H120" s="7"/>
      <c r="I120" s="7"/>
      <c r="J120" s="7"/>
      <c r="K120" s="7"/>
      <c r="L120" s="7">
        <f t="shared" si="15"/>
        <v>0</v>
      </c>
      <c r="M120" s="7"/>
      <c r="N120" s="7">
        <f t="shared" si="10"/>
        <v>0</v>
      </c>
    </row>
    <row r="121" spans="1:15" ht="15.75" hidden="1" x14ac:dyDescent="0.25">
      <c r="A121" s="2">
        <f t="shared" si="11"/>
        <v>0</v>
      </c>
      <c r="B121" s="5" t="s">
        <v>109</v>
      </c>
      <c r="C121" s="6"/>
      <c r="D121" s="7"/>
      <c r="E121" s="6"/>
      <c r="F121" s="7"/>
      <c r="G121" s="7"/>
      <c r="H121" s="7"/>
      <c r="I121" s="7"/>
      <c r="J121" s="7"/>
      <c r="K121" s="7"/>
      <c r="L121" s="7">
        <f t="shared" si="15"/>
        <v>0</v>
      </c>
      <c r="M121" s="7"/>
      <c r="N121" s="7">
        <f t="shared" si="10"/>
        <v>0</v>
      </c>
    </row>
    <row r="122" spans="1:15" ht="15.75" hidden="1" x14ac:dyDescent="0.25">
      <c r="A122" s="2">
        <f t="shared" si="11"/>
        <v>0</v>
      </c>
      <c r="B122" s="5" t="s">
        <v>111</v>
      </c>
      <c r="C122" s="6"/>
      <c r="D122" s="7"/>
      <c r="E122" s="6"/>
      <c r="F122" s="7"/>
      <c r="G122" s="7"/>
      <c r="H122" s="7"/>
      <c r="I122" s="7"/>
      <c r="J122" s="7"/>
      <c r="K122" s="7"/>
      <c r="L122" s="7">
        <f t="shared" si="15"/>
        <v>0</v>
      </c>
      <c r="M122" s="7"/>
      <c r="N122" s="7">
        <f t="shared" si="10"/>
        <v>0</v>
      </c>
    </row>
    <row r="123" spans="1:15" ht="15.75" hidden="1" x14ac:dyDescent="0.25">
      <c r="A123" s="2">
        <f t="shared" si="11"/>
        <v>0</v>
      </c>
      <c r="B123" s="5" t="s">
        <v>110</v>
      </c>
      <c r="C123" s="6"/>
      <c r="D123" s="7"/>
      <c r="E123" s="7"/>
      <c r="F123" s="7"/>
      <c r="G123" s="7"/>
      <c r="H123" s="7"/>
      <c r="I123" s="7"/>
      <c r="J123" s="7"/>
      <c r="K123" s="7"/>
      <c r="L123" s="7">
        <f t="shared" si="15"/>
        <v>0</v>
      </c>
      <c r="M123" s="7"/>
      <c r="N123" s="7">
        <f t="shared" si="10"/>
        <v>0</v>
      </c>
    </row>
    <row r="124" spans="1:15" ht="15.75" hidden="1" x14ac:dyDescent="0.25">
      <c r="A124" s="2">
        <f t="shared" si="11"/>
        <v>0</v>
      </c>
      <c r="B124" s="5" t="s">
        <v>113</v>
      </c>
      <c r="C124" s="6"/>
      <c r="D124" s="7"/>
      <c r="E124" s="7"/>
      <c r="F124" s="7"/>
      <c r="G124" s="7"/>
      <c r="H124" s="7"/>
      <c r="I124" s="7"/>
      <c r="J124" s="7"/>
      <c r="K124" s="7"/>
      <c r="L124" s="7">
        <f t="shared" si="15"/>
        <v>0</v>
      </c>
      <c r="M124" s="7"/>
      <c r="N124" s="7">
        <f t="shared" si="10"/>
        <v>0</v>
      </c>
    </row>
    <row r="125" spans="1:15" ht="15.75" hidden="1" x14ac:dyDescent="0.25">
      <c r="A125" s="2">
        <f t="shared" si="11"/>
        <v>0</v>
      </c>
      <c r="B125" s="5" t="s">
        <v>114</v>
      </c>
      <c r="C125" s="6"/>
      <c r="D125" s="7"/>
      <c r="E125" s="7"/>
      <c r="F125" s="7"/>
      <c r="G125" s="7"/>
      <c r="H125" s="7"/>
      <c r="I125" s="7"/>
      <c r="J125" s="7"/>
      <c r="K125" s="7"/>
      <c r="L125" s="7">
        <f t="shared" si="15"/>
        <v>0</v>
      </c>
      <c r="M125" s="7"/>
      <c r="N125" s="7">
        <f t="shared" si="10"/>
        <v>0</v>
      </c>
    </row>
    <row r="126" spans="1:15" ht="15.75" x14ac:dyDescent="0.25">
      <c r="A126" s="2">
        <f t="shared" si="11"/>
        <v>0</v>
      </c>
      <c r="B126" s="5" t="s">
        <v>115</v>
      </c>
      <c r="C126" s="6"/>
      <c r="D126" s="7"/>
      <c r="E126" s="7"/>
      <c r="F126" s="7"/>
      <c r="G126" s="7"/>
      <c r="H126" s="7"/>
      <c r="I126" s="7"/>
      <c r="J126" s="7">
        <v>22.4</v>
      </c>
      <c r="K126" s="7"/>
      <c r="L126" s="7">
        <f t="shared" si="15"/>
        <v>22.4</v>
      </c>
      <c r="M126" s="7"/>
      <c r="N126" s="7">
        <f t="shared" si="10"/>
        <v>-22.4</v>
      </c>
    </row>
    <row r="127" spans="1:15" ht="15.75" x14ac:dyDescent="0.25">
      <c r="A127" s="2">
        <f t="shared" si="11"/>
        <v>0</v>
      </c>
      <c r="B127" s="5" t="s">
        <v>116</v>
      </c>
      <c r="C127" s="6"/>
      <c r="D127" s="7"/>
      <c r="E127" s="7"/>
      <c r="F127" s="7"/>
      <c r="G127" s="7">
        <v>22</v>
      </c>
      <c r="H127" s="7"/>
      <c r="I127" s="7">
        <v>22</v>
      </c>
      <c r="J127" s="7">
        <v>22</v>
      </c>
      <c r="K127" s="7"/>
      <c r="L127" s="7">
        <f t="shared" si="15"/>
        <v>66</v>
      </c>
      <c r="M127" s="7">
        <v>22</v>
      </c>
      <c r="N127" s="7">
        <f t="shared" si="10"/>
        <v>-44</v>
      </c>
      <c r="O127" t="s">
        <v>169</v>
      </c>
    </row>
    <row r="128" spans="1:15" ht="15.75" hidden="1" x14ac:dyDescent="0.25">
      <c r="A128" s="2">
        <f t="shared" si="11"/>
        <v>0</v>
      </c>
      <c r="B128" s="5" t="s">
        <v>117</v>
      </c>
      <c r="C128" s="7"/>
      <c r="D128" s="7"/>
      <c r="E128" s="7"/>
      <c r="F128" s="7"/>
      <c r="G128" s="7"/>
      <c r="H128" s="7"/>
      <c r="I128" s="7"/>
      <c r="J128" s="7"/>
      <c r="K128" s="7"/>
      <c r="L128" s="7">
        <f>SUM(C128:K128)</f>
        <v>0</v>
      </c>
      <c r="M128" s="7"/>
      <c r="N128" s="7">
        <f t="shared" si="10"/>
        <v>0</v>
      </c>
    </row>
    <row r="129" spans="1:16" ht="15.75" hidden="1" x14ac:dyDescent="0.25">
      <c r="A129" s="2">
        <f t="shared" si="11"/>
        <v>0</v>
      </c>
      <c r="B129" s="5" t="s">
        <v>118</v>
      </c>
      <c r="C129" s="7"/>
      <c r="D129" s="7"/>
      <c r="E129" s="7"/>
      <c r="F129" s="7"/>
      <c r="G129" s="7"/>
      <c r="H129" s="7"/>
      <c r="I129" s="7"/>
      <c r="J129" s="7"/>
      <c r="K129" s="7"/>
      <c r="L129" s="7">
        <f t="shared" ref="L129:L133" si="16">SUM(C129:K129)</f>
        <v>0</v>
      </c>
      <c r="M129" s="7"/>
      <c r="N129" s="7">
        <f t="shared" si="10"/>
        <v>0</v>
      </c>
    </row>
    <row r="130" spans="1:16" ht="15.75" hidden="1" x14ac:dyDescent="0.25">
      <c r="A130" s="2">
        <f t="shared" si="11"/>
        <v>0</v>
      </c>
      <c r="B130" s="5" t="s">
        <v>119</v>
      </c>
      <c r="C130" s="7"/>
      <c r="D130" s="7"/>
      <c r="E130" s="7"/>
      <c r="F130" s="7"/>
      <c r="G130" s="7"/>
      <c r="H130" s="7"/>
      <c r="I130" s="7"/>
      <c r="J130" s="7"/>
      <c r="K130" s="7"/>
      <c r="L130" s="7">
        <f t="shared" si="16"/>
        <v>0</v>
      </c>
      <c r="M130" s="7"/>
      <c r="N130" s="7">
        <f t="shared" si="10"/>
        <v>0</v>
      </c>
    </row>
    <row r="131" spans="1:16" ht="15.75" x14ac:dyDescent="0.25">
      <c r="A131" s="2">
        <f t="shared" si="11"/>
        <v>0</v>
      </c>
      <c r="B131" s="5" t="s">
        <v>135</v>
      </c>
      <c r="C131" s="7">
        <v>21</v>
      </c>
      <c r="D131" s="7"/>
      <c r="E131" s="7"/>
      <c r="F131" s="7"/>
      <c r="G131" s="7"/>
      <c r="H131" s="7"/>
      <c r="I131" s="7"/>
      <c r="J131" s="7"/>
      <c r="K131" s="7"/>
      <c r="L131" s="7">
        <f t="shared" si="16"/>
        <v>21</v>
      </c>
      <c r="M131" s="7"/>
      <c r="N131" s="7">
        <f t="shared" si="10"/>
        <v>-21</v>
      </c>
    </row>
    <row r="132" spans="1:16" ht="15.75" x14ac:dyDescent="0.25">
      <c r="A132" s="2">
        <f t="shared" si="11"/>
        <v>0</v>
      </c>
      <c r="B132" s="5" t="s">
        <v>120</v>
      </c>
      <c r="C132" s="7"/>
      <c r="D132" s="7"/>
      <c r="E132" s="7"/>
      <c r="F132" s="7"/>
      <c r="G132" s="7"/>
      <c r="H132" s="7"/>
      <c r="I132" s="7"/>
      <c r="J132" s="7"/>
      <c r="K132" s="7"/>
      <c r="L132" s="7">
        <f t="shared" si="16"/>
        <v>0</v>
      </c>
      <c r="M132" s="7"/>
      <c r="N132" s="7">
        <f t="shared" si="10"/>
        <v>0</v>
      </c>
    </row>
    <row r="133" spans="1:16" ht="15.75" x14ac:dyDescent="0.25">
      <c r="A133" s="2">
        <f t="shared" si="11"/>
        <v>0</v>
      </c>
      <c r="B133" s="5" t="s">
        <v>121</v>
      </c>
      <c r="C133" s="7"/>
      <c r="D133" s="7"/>
      <c r="E133" s="7"/>
      <c r="F133" s="7"/>
      <c r="G133" s="7"/>
      <c r="H133" s="7"/>
      <c r="I133" s="7"/>
      <c r="J133" s="7"/>
      <c r="K133" s="7"/>
      <c r="L133" s="7">
        <f t="shared" si="16"/>
        <v>0</v>
      </c>
      <c r="M133" s="7"/>
      <c r="N133" s="7">
        <f t="shared" si="10"/>
        <v>0</v>
      </c>
    </row>
    <row r="134" spans="1:16" ht="15.75" x14ac:dyDescent="0.25">
      <c r="A134" s="2">
        <f>SUM(A72:A133)</f>
        <v>-3364.02</v>
      </c>
      <c r="B134" s="6" t="s">
        <v>104</v>
      </c>
      <c r="C134" s="7">
        <f t="shared" ref="C134:I134" si="17">SUM(C72:C132)</f>
        <v>112.6</v>
      </c>
      <c r="D134" s="7">
        <f t="shared" si="17"/>
        <v>80</v>
      </c>
      <c r="E134" s="7">
        <f t="shared" si="17"/>
        <v>106.4</v>
      </c>
      <c r="F134" s="7">
        <f t="shared" si="17"/>
        <v>22</v>
      </c>
      <c r="G134" s="7">
        <f t="shared" si="17"/>
        <v>96.8</v>
      </c>
      <c r="H134" s="7">
        <f t="shared" si="17"/>
        <v>0</v>
      </c>
      <c r="I134" s="7">
        <f t="shared" si="17"/>
        <v>63.2</v>
      </c>
      <c r="J134" s="7">
        <f>SUM(J72:J132)</f>
        <v>118.4</v>
      </c>
      <c r="K134" s="7">
        <f>SUM(K72:K133)</f>
        <v>0</v>
      </c>
      <c r="L134" s="7">
        <f>SUM(L72:L133)</f>
        <v>599.4</v>
      </c>
      <c r="M134" s="15">
        <f>SUM(M72:M133)</f>
        <v>861.7</v>
      </c>
      <c r="N134" s="7">
        <f>SUM(N72:N133)</f>
        <v>-3101.72</v>
      </c>
    </row>
    <row r="137" spans="1:16" ht="15.75" x14ac:dyDescent="0.25">
      <c r="A137" s="57" t="s">
        <v>152</v>
      </c>
      <c r="B137" s="57" t="s">
        <v>75</v>
      </c>
      <c r="C137" s="27">
        <v>9</v>
      </c>
      <c r="D137" s="27">
        <v>10</v>
      </c>
      <c r="E137" s="27">
        <v>11</v>
      </c>
      <c r="F137" s="27">
        <v>12</v>
      </c>
      <c r="G137" s="27">
        <v>13</v>
      </c>
      <c r="H137" s="27">
        <v>14</v>
      </c>
      <c r="I137" s="27">
        <v>15</v>
      </c>
      <c r="J137" s="27">
        <v>16</v>
      </c>
      <c r="K137" s="27"/>
      <c r="L137" s="57" t="s">
        <v>68</v>
      </c>
      <c r="M137" s="61" t="s">
        <v>137</v>
      </c>
      <c r="N137" s="57" t="s">
        <v>172</v>
      </c>
    </row>
    <row r="138" spans="1:16" ht="15.75" x14ac:dyDescent="0.25">
      <c r="A138" s="58"/>
      <c r="B138" s="58"/>
      <c r="C138" s="26">
        <v>2</v>
      </c>
      <c r="D138" s="26">
        <v>6</v>
      </c>
      <c r="E138" s="26">
        <v>9</v>
      </c>
      <c r="F138" s="26">
        <v>13</v>
      </c>
      <c r="G138" s="26">
        <v>16</v>
      </c>
      <c r="H138" s="26">
        <v>20</v>
      </c>
      <c r="I138" s="26">
        <v>23</v>
      </c>
      <c r="J138" s="26">
        <v>27</v>
      </c>
      <c r="K138" s="6"/>
      <c r="L138" s="58"/>
      <c r="M138" s="62"/>
      <c r="N138" s="58"/>
    </row>
    <row r="139" spans="1:16" ht="15.75" hidden="1" x14ac:dyDescent="0.25">
      <c r="A139" s="2">
        <v>0</v>
      </c>
      <c r="B139" s="5" t="s">
        <v>123</v>
      </c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7">
        <f>M139+A139-L139</f>
        <v>0</v>
      </c>
    </row>
    <row r="140" spans="1:16" ht="15.75" x14ac:dyDescent="0.25">
      <c r="A140" s="2">
        <f>N73</f>
        <v>-18</v>
      </c>
      <c r="B140" s="5" t="s">
        <v>125</v>
      </c>
      <c r="C140" s="6"/>
      <c r="D140" s="6"/>
      <c r="E140" s="6"/>
      <c r="F140" s="6"/>
      <c r="G140" s="6"/>
      <c r="H140" s="6"/>
      <c r="I140" s="7">
        <v>15</v>
      </c>
      <c r="J140" s="6"/>
      <c r="K140" s="7"/>
      <c r="L140" s="7">
        <f>SUM(C140:K140)</f>
        <v>15</v>
      </c>
      <c r="M140" s="7">
        <v>33</v>
      </c>
      <c r="N140" s="7">
        <f t="shared" ref="N140:N202" si="18">M140+A140-L140</f>
        <v>0</v>
      </c>
      <c r="O140" t="s">
        <v>207</v>
      </c>
    </row>
    <row r="141" spans="1:16" ht="15.75" x14ac:dyDescent="0.25">
      <c r="A141" s="2">
        <f t="shared" ref="A141:A143" si="19">N74</f>
        <v>-22</v>
      </c>
      <c r="B141" s="5" t="s">
        <v>194</v>
      </c>
      <c r="C141" s="7">
        <v>25</v>
      </c>
      <c r="D141" s="7"/>
      <c r="E141" s="7"/>
      <c r="F141" s="7">
        <v>36</v>
      </c>
      <c r="G141" s="6"/>
      <c r="H141" s="7"/>
      <c r="I141" s="7">
        <v>47</v>
      </c>
      <c r="J141" s="15">
        <v>25</v>
      </c>
      <c r="K141" s="7"/>
      <c r="L141" s="7">
        <f>SUM(C141:K141)</f>
        <v>133</v>
      </c>
      <c r="M141" s="7">
        <f>22+61</f>
        <v>83</v>
      </c>
      <c r="N141" s="7">
        <f t="shared" si="18"/>
        <v>-72</v>
      </c>
      <c r="O141" t="s">
        <v>189</v>
      </c>
      <c r="P141" t="s">
        <v>203</v>
      </c>
    </row>
    <row r="142" spans="1:16" ht="15.75" x14ac:dyDescent="0.25">
      <c r="A142" s="2">
        <f t="shared" si="19"/>
        <v>-32</v>
      </c>
      <c r="B142" s="5" t="s">
        <v>2</v>
      </c>
      <c r="C142" s="6"/>
      <c r="D142" s="6"/>
      <c r="E142" s="6"/>
      <c r="F142" s="7"/>
      <c r="G142" s="6"/>
      <c r="H142" s="7"/>
      <c r="I142" s="6"/>
      <c r="J142" s="6"/>
      <c r="K142" s="7"/>
      <c r="L142" s="7">
        <f>SUM(C142:K142)</f>
        <v>0</v>
      </c>
      <c r="M142" s="7"/>
      <c r="N142" s="7">
        <f t="shared" si="18"/>
        <v>-32</v>
      </c>
    </row>
    <row r="143" spans="1:16" ht="15.75" x14ac:dyDescent="0.25">
      <c r="A143" s="2">
        <f t="shared" si="19"/>
        <v>-25.8</v>
      </c>
      <c r="B143" s="5" t="s">
        <v>129</v>
      </c>
      <c r="C143" s="6"/>
      <c r="D143" s="6"/>
      <c r="E143" s="6"/>
      <c r="F143" s="6"/>
      <c r="G143" s="6"/>
      <c r="H143" s="7"/>
      <c r="I143" s="6"/>
      <c r="J143" s="6"/>
      <c r="K143" s="7"/>
      <c r="L143" s="7">
        <f t="shared" ref="L143:L162" si="20">SUM(C143:K143)</f>
        <v>0</v>
      </c>
      <c r="M143" s="7"/>
      <c r="N143" s="7">
        <f t="shared" si="18"/>
        <v>-25.8</v>
      </c>
    </row>
    <row r="144" spans="1:16" ht="15.75" x14ac:dyDescent="0.25">
      <c r="A144" s="2"/>
      <c r="B144" s="5" t="s">
        <v>195</v>
      </c>
      <c r="C144" s="6"/>
      <c r="D144" s="6"/>
      <c r="E144" s="6"/>
      <c r="F144" s="6"/>
      <c r="G144" s="6"/>
      <c r="H144" s="7"/>
      <c r="I144" s="7">
        <v>15</v>
      </c>
      <c r="J144" s="6"/>
      <c r="K144" s="7"/>
      <c r="L144" s="7">
        <f t="shared" ref="L144" si="21">SUM(C144:K144)</f>
        <v>15</v>
      </c>
      <c r="M144" s="7">
        <v>15</v>
      </c>
      <c r="N144" s="7">
        <f t="shared" ref="N144" si="22">M144+A144-L144</f>
        <v>0</v>
      </c>
      <c r="O144" t="s">
        <v>200</v>
      </c>
    </row>
    <row r="145" spans="1:17" ht="15.75" x14ac:dyDescent="0.25">
      <c r="A145" s="2">
        <f t="shared" ref="A145:A156" si="23">N77</f>
        <v>-18</v>
      </c>
      <c r="B145" s="5" t="s">
        <v>128</v>
      </c>
      <c r="C145" s="7"/>
      <c r="D145" s="7"/>
      <c r="E145" s="7"/>
      <c r="F145" s="6"/>
      <c r="G145" s="6"/>
      <c r="H145" s="7"/>
      <c r="I145" s="7">
        <v>20</v>
      </c>
      <c r="J145" s="7"/>
      <c r="K145" s="7"/>
      <c r="L145" s="7">
        <f t="shared" si="20"/>
        <v>20</v>
      </c>
      <c r="M145" s="7">
        <f>22+133.2</f>
        <v>155.19999999999999</v>
      </c>
      <c r="N145" s="7">
        <f t="shared" si="18"/>
        <v>117.19999999999999</v>
      </c>
      <c r="O145" t="s">
        <v>176</v>
      </c>
      <c r="P145" t="s">
        <v>208</v>
      </c>
    </row>
    <row r="146" spans="1:17" ht="15.75" x14ac:dyDescent="0.25">
      <c r="A146" s="2">
        <f t="shared" si="23"/>
        <v>-285.2</v>
      </c>
      <c r="B146" s="5" t="s">
        <v>127</v>
      </c>
      <c r="C146" s="6"/>
      <c r="D146" s="6"/>
      <c r="E146" s="6"/>
      <c r="F146" s="6"/>
      <c r="G146" s="6"/>
      <c r="H146" s="7"/>
      <c r="I146" s="6"/>
      <c r="J146" s="7">
        <v>25</v>
      </c>
      <c r="K146" s="7"/>
      <c r="L146" s="7">
        <f t="shared" si="20"/>
        <v>25</v>
      </c>
      <c r="M146" s="7"/>
      <c r="N146" s="7">
        <f t="shared" si="18"/>
        <v>-310.2</v>
      </c>
    </row>
    <row r="147" spans="1:17" ht="15.75" x14ac:dyDescent="0.25">
      <c r="A147" s="2">
        <f t="shared" si="23"/>
        <v>0</v>
      </c>
      <c r="B147" s="5" t="s">
        <v>126</v>
      </c>
      <c r="C147" s="6"/>
      <c r="D147" s="6"/>
      <c r="E147" s="6"/>
      <c r="F147" s="6"/>
      <c r="G147" s="6"/>
      <c r="H147" s="7"/>
      <c r="I147" s="6"/>
      <c r="J147" s="6"/>
      <c r="K147" s="7"/>
      <c r="L147" s="7">
        <f t="shared" si="20"/>
        <v>0</v>
      </c>
      <c r="M147" s="7"/>
      <c r="N147" s="7">
        <f t="shared" si="18"/>
        <v>0</v>
      </c>
    </row>
    <row r="148" spans="1:17" ht="15.75" x14ac:dyDescent="0.25">
      <c r="A148" s="2">
        <f t="shared" si="23"/>
        <v>-503.20000000000005</v>
      </c>
      <c r="B148" s="5" t="s">
        <v>130</v>
      </c>
      <c r="C148" s="7"/>
      <c r="D148" s="7"/>
      <c r="E148" s="7"/>
      <c r="F148" s="7"/>
      <c r="G148" s="7"/>
      <c r="H148" s="7"/>
      <c r="I148" s="6"/>
      <c r="J148" s="7"/>
      <c r="K148" s="7"/>
      <c r="L148" s="7">
        <f t="shared" si="20"/>
        <v>0</v>
      </c>
      <c r="M148" s="7"/>
      <c r="N148" s="7">
        <f t="shared" si="18"/>
        <v>-503.20000000000005</v>
      </c>
    </row>
    <row r="149" spans="1:17" ht="15.75" x14ac:dyDescent="0.25">
      <c r="A149" s="2">
        <f t="shared" si="23"/>
        <v>-48.629999999999995</v>
      </c>
      <c r="B149" s="5" t="s">
        <v>131</v>
      </c>
      <c r="C149" s="7"/>
      <c r="D149" s="6"/>
      <c r="E149" s="7"/>
      <c r="F149" s="7"/>
      <c r="G149" s="7">
        <v>22.5</v>
      </c>
      <c r="H149" s="7"/>
      <c r="I149" s="7"/>
      <c r="J149" s="6"/>
      <c r="K149" s="7"/>
      <c r="L149" s="7">
        <f t="shared" si="20"/>
        <v>22.5</v>
      </c>
      <c r="M149" s="7"/>
      <c r="N149" s="7">
        <f t="shared" si="18"/>
        <v>-71.13</v>
      </c>
    </row>
    <row r="150" spans="1:17" ht="15.75" x14ac:dyDescent="0.25">
      <c r="A150" s="2">
        <f t="shared" si="23"/>
        <v>-16.5</v>
      </c>
      <c r="B150" s="5" t="s">
        <v>132</v>
      </c>
      <c r="C150" s="7"/>
      <c r="D150" s="6"/>
      <c r="E150" s="7"/>
      <c r="F150" s="7"/>
      <c r="G150" s="7"/>
      <c r="H150" s="7"/>
      <c r="I150" s="7">
        <v>45</v>
      </c>
      <c r="J150" s="7">
        <v>25</v>
      </c>
      <c r="K150" s="7"/>
      <c r="L150" s="7">
        <f t="shared" si="20"/>
        <v>70</v>
      </c>
      <c r="M150" s="7">
        <v>61.5</v>
      </c>
      <c r="N150" s="7">
        <f t="shared" si="18"/>
        <v>-25</v>
      </c>
      <c r="O150" t="s">
        <v>201</v>
      </c>
    </row>
    <row r="151" spans="1:17" ht="15.75" x14ac:dyDescent="0.25">
      <c r="A151" s="2">
        <f t="shared" si="23"/>
        <v>-16.5</v>
      </c>
      <c r="B151" s="5" t="s">
        <v>9</v>
      </c>
      <c r="C151" s="6"/>
      <c r="D151" s="6"/>
      <c r="E151" s="7"/>
      <c r="F151" s="7"/>
      <c r="G151" s="7"/>
      <c r="H151" s="6"/>
      <c r="I151" s="7">
        <v>20</v>
      </c>
      <c r="J151" s="6"/>
      <c r="K151" s="7"/>
      <c r="L151" s="7">
        <f t="shared" si="20"/>
        <v>20</v>
      </c>
      <c r="M151" s="7"/>
      <c r="N151" s="7">
        <f t="shared" si="18"/>
        <v>-36.5</v>
      </c>
    </row>
    <row r="152" spans="1:17" ht="15.75" x14ac:dyDescent="0.25">
      <c r="A152" s="2">
        <f t="shared" si="23"/>
        <v>16.5</v>
      </c>
      <c r="B152" s="5" t="s">
        <v>133</v>
      </c>
      <c r="C152" s="7">
        <v>25</v>
      </c>
      <c r="D152" s="7"/>
      <c r="E152" s="7"/>
      <c r="F152" s="7"/>
      <c r="G152" s="7"/>
      <c r="H152" s="7"/>
      <c r="I152" s="7"/>
      <c r="J152" s="7"/>
      <c r="K152" s="7"/>
      <c r="L152" s="7">
        <f t="shared" si="20"/>
        <v>25</v>
      </c>
      <c r="M152" s="8"/>
      <c r="N152" s="7">
        <f t="shared" si="18"/>
        <v>-8.5</v>
      </c>
    </row>
    <row r="153" spans="1:17" ht="15.75" x14ac:dyDescent="0.25">
      <c r="A153" s="2">
        <f t="shared" si="23"/>
        <v>-34.5</v>
      </c>
      <c r="B153" s="5" t="s">
        <v>96</v>
      </c>
      <c r="C153" s="7"/>
      <c r="D153" s="7"/>
      <c r="E153" s="7"/>
      <c r="F153" s="7"/>
      <c r="G153" s="7"/>
      <c r="H153" s="7"/>
      <c r="I153" s="7">
        <v>15</v>
      </c>
      <c r="J153" s="7"/>
      <c r="K153" s="7"/>
      <c r="L153" s="7">
        <f t="shared" si="20"/>
        <v>15</v>
      </c>
      <c r="M153" s="7"/>
      <c r="N153" s="7">
        <f t="shared" si="18"/>
        <v>-49.5</v>
      </c>
    </row>
    <row r="154" spans="1:17" ht="15.75" x14ac:dyDescent="0.25">
      <c r="A154" s="2">
        <f t="shared" si="23"/>
        <v>0</v>
      </c>
      <c r="B154" s="5" t="s">
        <v>134</v>
      </c>
      <c r="C154" s="6"/>
      <c r="D154" s="6"/>
      <c r="E154" s="6"/>
      <c r="F154" s="6"/>
      <c r="G154" s="6"/>
      <c r="H154" s="6"/>
      <c r="I154" s="7">
        <v>20</v>
      </c>
      <c r="J154" s="6"/>
      <c r="K154" s="7"/>
      <c r="L154" s="7">
        <f t="shared" si="20"/>
        <v>20</v>
      </c>
      <c r="M154" s="7"/>
      <c r="N154" s="7">
        <f t="shared" si="18"/>
        <v>-20</v>
      </c>
    </row>
    <row r="155" spans="1:17" ht="15.75" x14ac:dyDescent="0.25">
      <c r="A155" s="2">
        <f t="shared" si="23"/>
        <v>26.1</v>
      </c>
      <c r="B155" s="5" t="s">
        <v>99</v>
      </c>
      <c r="C155" s="7"/>
      <c r="D155" s="6"/>
      <c r="E155" s="6"/>
      <c r="F155" s="6"/>
      <c r="G155" s="6"/>
      <c r="H155" s="6"/>
      <c r="I155" s="6"/>
      <c r="J155" s="6"/>
      <c r="K155" s="7"/>
      <c r="L155" s="7">
        <f t="shared" si="20"/>
        <v>0</v>
      </c>
      <c r="M155" s="7"/>
      <c r="N155" s="7">
        <f t="shared" si="18"/>
        <v>26.1</v>
      </c>
    </row>
    <row r="156" spans="1:17" ht="15.75" x14ac:dyDescent="0.25">
      <c r="A156" s="2">
        <f t="shared" si="23"/>
        <v>0</v>
      </c>
      <c r="B156" s="5" t="s">
        <v>21</v>
      </c>
      <c r="C156" s="7"/>
      <c r="D156" s="7"/>
      <c r="E156" s="7"/>
      <c r="F156" s="7">
        <v>20</v>
      </c>
      <c r="G156" s="7"/>
      <c r="H156" s="7"/>
      <c r="I156" s="7"/>
      <c r="J156" s="7"/>
      <c r="K156" s="7"/>
      <c r="L156" s="7">
        <f t="shared" si="20"/>
        <v>20</v>
      </c>
      <c r="M156" s="7">
        <v>20</v>
      </c>
      <c r="N156" s="7">
        <f t="shared" si="18"/>
        <v>0</v>
      </c>
      <c r="O156" t="s">
        <v>183</v>
      </c>
    </row>
    <row r="157" spans="1:17" ht="15.75" x14ac:dyDescent="0.25">
      <c r="A157" s="2">
        <v>0</v>
      </c>
      <c r="B157" s="5" t="s">
        <v>47</v>
      </c>
      <c r="C157" s="7"/>
      <c r="D157" s="7"/>
      <c r="E157" s="7"/>
      <c r="F157" s="7"/>
      <c r="G157" s="7">
        <v>32.4</v>
      </c>
      <c r="H157" s="7"/>
      <c r="I157" s="7"/>
      <c r="J157" s="7"/>
      <c r="K157" s="7"/>
      <c r="L157" s="7">
        <f t="shared" ref="L157" si="24">SUM(C157:K157)</f>
        <v>32.4</v>
      </c>
      <c r="M157" s="7">
        <v>32.4</v>
      </c>
      <c r="N157" s="7">
        <f t="shared" ref="N157" si="25">M157+A157-L157</f>
        <v>0</v>
      </c>
      <c r="O157" t="s">
        <v>179</v>
      </c>
    </row>
    <row r="158" spans="1:17" ht="15.75" x14ac:dyDescent="0.25">
      <c r="A158" s="2">
        <f t="shared" ref="A158:A202" si="26">N89</f>
        <v>-395.49</v>
      </c>
      <c r="B158" s="5" t="s">
        <v>53</v>
      </c>
      <c r="C158" s="7"/>
      <c r="D158" s="7"/>
      <c r="E158" s="7"/>
      <c r="F158" s="7"/>
      <c r="G158" s="7">
        <v>130.5</v>
      </c>
      <c r="H158" s="7"/>
      <c r="I158" s="7"/>
      <c r="J158" s="7"/>
      <c r="K158" s="7"/>
      <c r="L158" s="7">
        <f t="shared" si="20"/>
        <v>130.5</v>
      </c>
      <c r="M158" s="7"/>
      <c r="N158" s="7">
        <f t="shared" si="18"/>
        <v>-525.99</v>
      </c>
    </row>
    <row r="159" spans="1:17" ht="15.75" x14ac:dyDescent="0.25">
      <c r="A159" s="2">
        <f t="shared" si="26"/>
        <v>-337.00000000000006</v>
      </c>
      <c r="B159" s="5" t="s">
        <v>33</v>
      </c>
      <c r="C159" s="7">
        <v>123.3</v>
      </c>
      <c r="D159" s="7"/>
      <c r="E159" s="7"/>
      <c r="F159" s="7"/>
      <c r="G159" s="7">
        <v>43</v>
      </c>
      <c r="H159" s="7"/>
      <c r="I159" s="7">
        <v>20</v>
      </c>
      <c r="J159" s="7"/>
      <c r="K159" s="7"/>
      <c r="L159" s="7">
        <f t="shared" si="20"/>
        <v>186.3</v>
      </c>
      <c r="M159" s="7">
        <f>123.3+43+20</f>
        <v>186.3</v>
      </c>
      <c r="N159" s="7">
        <f t="shared" si="18"/>
        <v>-337.00000000000006</v>
      </c>
      <c r="O159" t="s">
        <v>177</v>
      </c>
      <c r="P159" t="s">
        <v>202</v>
      </c>
      <c r="Q159" t="s">
        <v>206</v>
      </c>
    </row>
    <row r="160" spans="1:17" ht="15.75" x14ac:dyDescent="0.25">
      <c r="A160" s="2">
        <f t="shared" si="26"/>
        <v>-22</v>
      </c>
      <c r="B160" s="5" t="s">
        <v>87</v>
      </c>
      <c r="C160" s="7"/>
      <c r="D160" s="7"/>
      <c r="E160" s="7"/>
      <c r="F160" s="7"/>
      <c r="G160" s="7"/>
      <c r="H160" s="7"/>
      <c r="I160" s="7"/>
      <c r="J160" s="7"/>
      <c r="K160" s="7"/>
      <c r="L160" s="7">
        <f t="shared" si="20"/>
        <v>0</v>
      </c>
      <c r="M160" s="7">
        <v>22</v>
      </c>
      <c r="N160" s="7">
        <f t="shared" si="18"/>
        <v>0</v>
      </c>
      <c r="O160" t="s">
        <v>182</v>
      </c>
    </row>
    <row r="161" spans="1:16" ht="15.75" x14ac:dyDescent="0.25">
      <c r="A161" s="2">
        <f t="shared" si="26"/>
        <v>0</v>
      </c>
      <c r="B161" s="5" t="s">
        <v>23</v>
      </c>
      <c r="C161" s="7"/>
      <c r="D161" s="7"/>
      <c r="E161" s="7">
        <v>18</v>
      </c>
      <c r="F161" s="7"/>
      <c r="G161" s="7">
        <v>18</v>
      </c>
      <c r="H161" s="7"/>
      <c r="I161" s="7"/>
      <c r="J161" s="7"/>
      <c r="K161" s="7"/>
      <c r="L161" s="7">
        <f t="shared" si="20"/>
        <v>36</v>
      </c>
      <c r="M161" s="7">
        <v>18</v>
      </c>
      <c r="N161" s="7">
        <f t="shared" si="18"/>
        <v>-18</v>
      </c>
      <c r="O161" t="s">
        <v>180</v>
      </c>
    </row>
    <row r="162" spans="1:16" ht="15.75" x14ac:dyDescent="0.25">
      <c r="A162" s="2">
        <f t="shared" si="26"/>
        <v>-22</v>
      </c>
      <c r="B162" s="5" t="s">
        <v>24</v>
      </c>
      <c r="C162" s="7"/>
      <c r="D162" s="7"/>
      <c r="E162" s="7"/>
      <c r="F162" s="7"/>
      <c r="G162" s="7"/>
      <c r="H162" s="7"/>
      <c r="I162" s="7"/>
      <c r="J162" s="7"/>
      <c r="K162" s="7"/>
      <c r="L162" s="7">
        <f t="shared" si="20"/>
        <v>0</v>
      </c>
      <c r="M162" s="7">
        <v>22</v>
      </c>
      <c r="N162" s="7">
        <f t="shared" si="18"/>
        <v>0</v>
      </c>
      <c r="O162" t="s">
        <v>190</v>
      </c>
    </row>
    <row r="163" spans="1:16" ht="15.75" hidden="1" x14ac:dyDescent="0.25">
      <c r="A163" s="2">
        <f t="shared" si="26"/>
        <v>0</v>
      </c>
      <c r="B163" s="5" t="s">
        <v>51</v>
      </c>
      <c r="C163" s="7"/>
      <c r="D163" s="7"/>
      <c r="E163" s="7"/>
      <c r="F163" s="7"/>
      <c r="G163" s="7"/>
      <c r="H163" s="7"/>
      <c r="I163" s="7"/>
      <c r="J163" s="7"/>
      <c r="K163" s="7"/>
      <c r="L163" s="7">
        <f>SUM(C163:K163)</f>
        <v>0</v>
      </c>
      <c r="M163" s="7"/>
      <c r="N163" s="7">
        <f t="shared" si="18"/>
        <v>0</v>
      </c>
    </row>
    <row r="164" spans="1:16" ht="15.75" hidden="1" x14ac:dyDescent="0.25">
      <c r="A164" s="2">
        <f t="shared" si="26"/>
        <v>0</v>
      </c>
      <c r="B164" s="5" t="s">
        <v>25</v>
      </c>
      <c r="C164" s="7"/>
      <c r="D164" s="7"/>
      <c r="E164" s="7"/>
      <c r="F164" s="7"/>
      <c r="G164" s="7"/>
      <c r="H164" s="7"/>
      <c r="I164" s="7"/>
      <c r="J164" s="7"/>
      <c r="K164" s="7"/>
      <c r="L164" s="7">
        <f>SUM(C164:K164)</f>
        <v>0</v>
      </c>
      <c r="M164" s="7"/>
      <c r="N164" s="7">
        <f t="shared" si="18"/>
        <v>0</v>
      </c>
    </row>
    <row r="165" spans="1:16" ht="15.75" x14ac:dyDescent="0.25">
      <c r="A165" s="2">
        <f t="shared" si="26"/>
        <v>-69.2</v>
      </c>
      <c r="B165" s="5" t="s">
        <v>27</v>
      </c>
      <c r="C165" s="7"/>
      <c r="D165" s="7"/>
      <c r="E165" s="7"/>
      <c r="F165" s="7"/>
      <c r="G165" s="7">
        <v>21.6</v>
      </c>
      <c r="H165" s="7"/>
      <c r="I165" s="7">
        <v>28.8</v>
      </c>
      <c r="J165" s="7"/>
      <c r="K165" s="7"/>
      <c r="L165" s="7">
        <f>SUM(C165:K165)</f>
        <v>50.400000000000006</v>
      </c>
      <c r="M165" s="7">
        <f>44.8+21.6</f>
        <v>66.400000000000006</v>
      </c>
      <c r="N165" s="7">
        <f t="shared" si="18"/>
        <v>-53.2</v>
      </c>
      <c r="O165" t="s">
        <v>193</v>
      </c>
      <c r="P165" t="s">
        <v>204</v>
      </c>
    </row>
    <row r="166" spans="1:16" ht="15.75" x14ac:dyDescent="0.25">
      <c r="A166" s="2">
        <f t="shared" si="26"/>
        <v>-16</v>
      </c>
      <c r="B166" s="5" t="s">
        <v>29</v>
      </c>
      <c r="C166" s="7"/>
      <c r="D166" s="7"/>
      <c r="E166" s="7"/>
      <c r="F166" s="7"/>
      <c r="G166" s="7">
        <v>36</v>
      </c>
      <c r="H166" s="7"/>
      <c r="I166" s="7"/>
      <c r="J166" s="7"/>
      <c r="K166" s="7"/>
      <c r="L166" s="7">
        <f t="shared" ref="L166:L167" si="27">SUM(C166:K166)</f>
        <v>36</v>
      </c>
      <c r="M166" s="7">
        <v>48</v>
      </c>
      <c r="N166" s="7">
        <f t="shared" si="18"/>
        <v>-4</v>
      </c>
      <c r="O166" t="s">
        <v>181</v>
      </c>
    </row>
    <row r="167" spans="1:16" ht="15.75" x14ac:dyDescent="0.25">
      <c r="A167" s="2">
        <f t="shared" si="26"/>
        <v>-64.2</v>
      </c>
      <c r="B167" s="5" t="s">
        <v>30</v>
      </c>
      <c r="C167" s="7"/>
      <c r="D167" s="7"/>
      <c r="E167" s="7"/>
      <c r="F167" s="7"/>
      <c r="G167" s="7"/>
      <c r="H167" s="7"/>
      <c r="I167" s="7"/>
      <c r="J167" s="7"/>
      <c r="K167" s="7"/>
      <c r="L167" s="7">
        <f t="shared" si="27"/>
        <v>0</v>
      </c>
      <c r="M167" s="7"/>
      <c r="N167" s="7">
        <f t="shared" si="18"/>
        <v>-64.2</v>
      </c>
    </row>
    <row r="168" spans="1:16" ht="15.75" hidden="1" x14ac:dyDescent="0.25">
      <c r="A168" s="2">
        <f t="shared" si="26"/>
        <v>0</v>
      </c>
      <c r="B168" s="5" t="s">
        <v>88</v>
      </c>
      <c r="C168" s="7"/>
      <c r="D168" s="7"/>
      <c r="E168" s="7"/>
      <c r="F168" s="7"/>
      <c r="G168" s="7"/>
      <c r="H168" s="7"/>
      <c r="I168" s="7"/>
      <c r="J168" s="7"/>
      <c r="K168" s="7"/>
      <c r="L168" s="7">
        <f>SUM(C168:K168)</f>
        <v>0</v>
      </c>
      <c r="M168" s="7"/>
      <c r="N168" s="7">
        <f t="shared" si="18"/>
        <v>0</v>
      </c>
    </row>
    <row r="169" spans="1:16" ht="15.75" x14ac:dyDescent="0.25">
      <c r="A169" s="2">
        <f t="shared" si="26"/>
        <v>-46.000000000000028</v>
      </c>
      <c r="B169" s="5" t="s">
        <v>101</v>
      </c>
      <c r="C169" s="7"/>
      <c r="D169" s="7"/>
      <c r="E169" s="7"/>
      <c r="F169" s="7">
        <v>25</v>
      </c>
      <c r="G169" s="7"/>
      <c r="H169" s="7"/>
      <c r="I169" s="7">
        <v>57.8</v>
      </c>
      <c r="J169" s="7"/>
      <c r="K169" s="7"/>
      <c r="L169" s="7">
        <f t="shared" ref="L169:L185" si="28">SUM(C169:K169)</f>
        <v>82.8</v>
      </c>
      <c r="M169" s="7">
        <v>46</v>
      </c>
      <c r="N169" s="7">
        <f t="shared" si="18"/>
        <v>-82.800000000000026</v>
      </c>
      <c r="O169" t="s">
        <v>178</v>
      </c>
    </row>
    <row r="170" spans="1:16" ht="15.75" x14ac:dyDescent="0.25">
      <c r="A170" s="2">
        <f t="shared" si="26"/>
        <v>-9.8000000000000007</v>
      </c>
      <c r="B170" s="5" t="s">
        <v>41</v>
      </c>
      <c r="C170" s="6"/>
      <c r="D170" s="6"/>
      <c r="E170" s="6"/>
      <c r="F170" s="7"/>
      <c r="G170" s="7"/>
      <c r="H170" s="7"/>
      <c r="I170" s="7"/>
      <c r="J170" s="7"/>
      <c r="K170" s="7"/>
      <c r="L170" s="7">
        <f t="shared" si="28"/>
        <v>0</v>
      </c>
      <c r="M170" s="7"/>
      <c r="N170" s="7">
        <f t="shared" si="18"/>
        <v>-9.8000000000000007</v>
      </c>
    </row>
    <row r="171" spans="1:16" ht="15.75" x14ac:dyDescent="0.25">
      <c r="A171" s="2">
        <f t="shared" si="26"/>
        <v>-24</v>
      </c>
      <c r="B171" s="5" t="s">
        <v>102</v>
      </c>
      <c r="C171" s="6"/>
      <c r="D171" s="6"/>
      <c r="E171" s="7"/>
      <c r="F171" s="7"/>
      <c r="G171" s="7">
        <v>50</v>
      </c>
      <c r="H171" s="7"/>
      <c r="I171" s="7">
        <v>20</v>
      </c>
      <c r="J171" s="7"/>
      <c r="K171" s="7"/>
      <c r="L171" s="7">
        <f t="shared" si="28"/>
        <v>70</v>
      </c>
      <c r="M171" s="7">
        <v>24</v>
      </c>
      <c r="N171" s="7">
        <f t="shared" si="18"/>
        <v>-70</v>
      </c>
      <c r="O171" t="s">
        <v>198</v>
      </c>
    </row>
    <row r="172" spans="1:16" ht="15.75" x14ac:dyDescent="0.25">
      <c r="A172" s="2">
        <f t="shared" si="26"/>
        <v>-176.7</v>
      </c>
      <c r="B172" s="5" t="s">
        <v>45</v>
      </c>
      <c r="C172" s="7"/>
      <c r="D172" s="6">
        <v>355.5</v>
      </c>
      <c r="E172" s="6"/>
      <c r="F172" s="7"/>
      <c r="G172" s="7"/>
      <c r="H172" s="7"/>
      <c r="I172" s="7"/>
      <c r="J172" s="7"/>
      <c r="K172" s="7"/>
      <c r="L172" s="7">
        <f t="shared" si="28"/>
        <v>355.5</v>
      </c>
      <c r="M172" s="7">
        <v>200</v>
      </c>
      <c r="N172" s="7">
        <f t="shared" si="18"/>
        <v>-332.2</v>
      </c>
      <c r="O172" t="s">
        <v>173</v>
      </c>
    </row>
    <row r="173" spans="1:16" ht="15.75" x14ac:dyDescent="0.25">
      <c r="A173" s="2">
        <f t="shared" si="26"/>
        <v>-43</v>
      </c>
      <c r="B173" s="5" t="s">
        <v>46</v>
      </c>
      <c r="C173" s="7">
        <v>50</v>
      </c>
      <c r="D173" s="6"/>
      <c r="E173" s="10"/>
      <c r="F173" s="7">
        <v>10.8</v>
      </c>
      <c r="G173" s="7"/>
      <c r="H173" s="7"/>
      <c r="I173" s="7">
        <v>25</v>
      </c>
      <c r="J173" s="7"/>
      <c r="K173" s="7"/>
      <c r="L173" s="7">
        <f t="shared" si="28"/>
        <v>85.8</v>
      </c>
      <c r="M173" s="7">
        <v>10.8</v>
      </c>
      <c r="N173" s="7">
        <f t="shared" si="18"/>
        <v>-118</v>
      </c>
      <c r="O173" t="s">
        <v>199</v>
      </c>
    </row>
    <row r="174" spans="1:16" ht="15.75" x14ac:dyDescent="0.25">
      <c r="A174" s="2">
        <f t="shared" si="26"/>
        <v>-44</v>
      </c>
      <c r="B174" s="5" t="s">
        <v>79</v>
      </c>
      <c r="C174" s="7"/>
      <c r="D174" s="6"/>
      <c r="E174" s="10"/>
      <c r="F174" s="7"/>
      <c r="G174" s="7"/>
      <c r="H174" s="7"/>
      <c r="I174" s="7"/>
      <c r="J174" s="7"/>
      <c r="K174" s="7"/>
      <c r="L174" s="7">
        <f t="shared" si="28"/>
        <v>0</v>
      </c>
      <c r="M174" s="7">
        <v>44</v>
      </c>
      <c r="N174" s="7">
        <f t="shared" si="18"/>
        <v>0</v>
      </c>
      <c r="O174" t="s">
        <v>188</v>
      </c>
    </row>
    <row r="175" spans="1:16" ht="15.75" x14ac:dyDescent="0.25">
      <c r="A175" s="2">
        <f t="shared" si="26"/>
        <v>-691.19999999999993</v>
      </c>
      <c r="B175" s="5" t="s">
        <v>103</v>
      </c>
      <c r="C175" s="6"/>
      <c r="D175" s="6"/>
      <c r="E175" s="6"/>
      <c r="F175" s="7"/>
      <c r="G175" s="7"/>
      <c r="H175" s="7"/>
      <c r="I175" s="7"/>
      <c r="J175" s="7"/>
      <c r="K175" s="7"/>
      <c r="L175" s="7">
        <f t="shared" si="28"/>
        <v>0</v>
      </c>
      <c r="M175" s="7"/>
      <c r="N175" s="7">
        <f t="shared" si="18"/>
        <v>-691.19999999999993</v>
      </c>
    </row>
    <row r="176" spans="1:16" ht="15.75" x14ac:dyDescent="0.25">
      <c r="A176" s="2">
        <f t="shared" si="26"/>
        <v>0</v>
      </c>
      <c r="B176" s="5" t="s">
        <v>139</v>
      </c>
      <c r="C176" s="7"/>
      <c r="D176" s="6"/>
      <c r="E176" s="6"/>
      <c r="F176" s="7"/>
      <c r="G176" s="7"/>
      <c r="H176" s="7"/>
      <c r="I176" s="7">
        <v>15</v>
      </c>
      <c r="J176" s="7"/>
      <c r="K176" s="7"/>
      <c r="L176" s="7">
        <f t="shared" si="28"/>
        <v>15</v>
      </c>
      <c r="M176" s="7"/>
      <c r="N176" s="7">
        <f t="shared" si="18"/>
        <v>-15</v>
      </c>
    </row>
    <row r="177" spans="1:16" ht="15.75" x14ac:dyDescent="0.25">
      <c r="A177" s="2">
        <f t="shared" si="26"/>
        <v>0</v>
      </c>
      <c r="B177" s="5" t="s">
        <v>191</v>
      </c>
      <c r="C177" s="7"/>
      <c r="D177" s="6"/>
      <c r="E177" s="6"/>
      <c r="F177" s="7"/>
      <c r="G177" s="7"/>
      <c r="H177" s="7"/>
      <c r="I177" s="7">
        <v>128.19999999999999</v>
      </c>
      <c r="J177" s="7"/>
      <c r="K177" s="7"/>
      <c r="L177" s="7">
        <f t="shared" si="28"/>
        <v>128.19999999999999</v>
      </c>
      <c r="M177" s="7">
        <f>128.2+123.2</f>
        <v>251.39999999999998</v>
      </c>
      <c r="N177" s="7">
        <f t="shared" si="18"/>
        <v>123.19999999999999</v>
      </c>
      <c r="O177" t="s">
        <v>192</v>
      </c>
      <c r="P177" t="s">
        <v>197</v>
      </c>
    </row>
    <row r="178" spans="1:16" ht="15.75" hidden="1" x14ac:dyDescent="0.25">
      <c r="A178" s="2">
        <f t="shared" si="26"/>
        <v>0</v>
      </c>
      <c r="B178" s="5" t="s">
        <v>91</v>
      </c>
      <c r="C178" s="7"/>
      <c r="D178" s="7"/>
      <c r="E178" s="7"/>
      <c r="F178" s="7"/>
      <c r="G178" s="7"/>
      <c r="H178" s="7"/>
      <c r="I178" s="7"/>
      <c r="J178" s="7"/>
      <c r="K178" s="7"/>
      <c r="L178" s="7">
        <f t="shared" si="28"/>
        <v>0</v>
      </c>
      <c r="M178" s="7"/>
      <c r="N178" s="7">
        <f t="shared" si="18"/>
        <v>0</v>
      </c>
    </row>
    <row r="179" spans="1:16" ht="15.75" x14ac:dyDescent="0.25">
      <c r="A179" s="2">
        <f t="shared" si="26"/>
        <v>0</v>
      </c>
      <c r="B179" s="5" t="s">
        <v>31</v>
      </c>
      <c r="C179" s="7"/>
      <c r="D179" s="7"/>
      <c r="E179" s="7"/>
      <c r="F179" s="7">
        <v>104.4</v>
      </c>
      <c r="G179" s="7">
        <v>20</v>
      </c>
      <c r="H179" s="7">
        <v>20</v>
      </c>
      <c r="I179" s="7">
        <v>37.5</v>
      </c>
      <c r="J179" s="7"/>
      <c r="K179" s="7"/>
      <c r="L179" s="7">
        <f t="shared" si="28"/>
        <v>181.9</v>
      </c>
      <c r="M179" s="7">
        <v>181.9</v>
      </c>
      <c r="N179" s="7">
        <f t="shared" si="18"/>
        <v>0</v>
      </c>
      <c r="O179" t="s">
        <v>209</v>
      </c>
    </row>
    <row r="180" spans="1:16" ht="15.75" hidden="1" x14ac:dyDescent="0.25">
      <c r="A180" s="2">
        <f t="shared" si="26"/>
        <v>0</v>
      </c>
      <c r="B180" s="5" t="s">
        <v>37</v>
      </c>
      <c r="C180" s="7"/>
      <c r="D180" s="7"/>
      <c r="E180" s="7"/>
      <c r="F180" s="7"/>
      <c r="G180" s="7"/>
      <c r="H180" s="7"/>
      <c r="I180" s="7"/>
      <c r="J180" s="7"/>
      <c r="K180" s="7"/>
      <c r="L180" s="7">
        <f t="shared" si="28"/>
        <v>0</v>
      </c>
      <c r="M180" s="7"/>
      <c r="N180" s="7">
        <f t="shared" si="18"/>
        <v>0</v>
      </c>
    </row>
    <row r="181" spans="1:16" ht="15.75" x14ac:dyDescent="0.25">
      <c r="A181" s="2">
        <f t="shared" si="26"/>
        <v>-75</v>
      </c>
      <c r="B181" s="5" t="s">
        <v>105</v>
      </c>
      <c r="C181" s="7"/>
      <c r="D181" s="7"/>
      <c r="E181" s="7"/>
      <c r="F181" s="7"/>
      <c r="G181" s="7"/>
      <c r="H181" s="7"/>
      <c r="I181" s="7">
        <v>20</v>
      </c>
      <c r="J181" s="7"/>
      <c r="K181" s="7"/>
      <c r="L181" s="7">
        <f t="shared" si="28"/>
        <v>20</v>
      </c>
      <c r="M181" s="7">
        <v>75</v>
      </c>
      <c r="N181" s="7">
        <f t="shared" si="18"/>
        <v>-20</v>
      </c>
      <c r="O181" t="s">
        <v>175</v>
      </c>
    </row>
    <row r="182" spans="1:16" ht="15.75" x14ac:dyDescent="0.25">
      <c r="A182" s="2">
        <f t="shared" si="26"/>
        <v>-8</v>
      </c>
      <c r="B182" s="5" t="s">
        <v>54</v>
      </c>
      <c r="C182" s="7"/>
      <c r="D182" s="7"/>
      <c r="E182" s="7"/>
      <c r="F182" s="7"/>
      <c r="G182" s="7"/>
      <c r="H182" s="7"/>
      <c r="I182" s="7"/>
      <c r="J182" s="7"/>
      <c r="K182" s="7"/>
      <c r="L182" s="7">
        <f t="shared" si="28"/>
        <v>0</v>
      </c>
      <c r="M182" s="7"/>
      <c r="N182" s="7">
        <f t="shared" si="18"/>
        <v>-8</v>
      </c>
    </row>
    <row r="183" spans="1:16" ht="15.75" hidden="1" x14ac:dyDescent="0.25">
      <c r="A183" s="2">
        <f t="shared" si="26"/>
        <v>0</v>
      </c>
      <c r="B183" s="5" t="s">
        <v>107</v>
      </c>
      <c r="C183" s="7"/>
      <c r="D183" s="7"/>
      <c r="E183" s="7"/>
      <c r="F183" s="7"/>
      <c r="G183" s="7"/>
      <c r="H183" s="7"/>
      <c r="I183" s="7"/>
      <c r="J183" s="7"/>
      <c r="K183" s="7"/>
      <c r="L183" s="7">
        <f t="shared" si="28"/>
        <v>0</v>
      </c>
      <c r="M183" s="7"/>
      <c r="N183" s="7">
        <f t="shared" si="18"/>
        <v>0</v>
      </c>
    </row>
    <row r="184" spans="1:16" ht="15.75" x14ac:dyDescent="0.25">
      <c r="A184" s="2">
        <f t="shared" si="26"/>
        <v>0</v>
      </c>
      <c r="B184" s="5" t="s">
        <v>19</v>
      </c>
      <c r="C184" s="7"/>
      <c r="D184" s="7"/>
      <c r="E184" s="7">
        <v>14.4</v>
      </c>
      <c r="F184" s="7"/>
      <c r="G184" s="7"/>
      <c r="H184" s="7"/>
      <c r="I184" s="7"/>
      <c r="J184" s="7"/>
      <c r="K184" s="7"/>
      <c r="L184" s="7">
        <f t="shared" si="28"/>
        <v>14.4</v>
      </c>
      <c r="M184" s="7">
        <v>14.4</v>
      </c>
      <c r="N184" s="7">
        <f t="shared" si="18"/>
        <v>0</v>
      </c>
      <c r="O184" t="s">
        <v>187</v>
      </c>
    </row>
    <row r="185" spans="1:16" ht="15.75" hidden="1" x14ac:dyDescent="0.25">
      <c r="A185" s="2">
        <f t="shared" si="26"/>
        <v>0</v>
      </c>
      <c r="B185" s="5" t="s">
        <v>138</v>
      </c>
      <c r="C185" s="7"/>
      <c r="D185" s="7"/>
      <c r="E185" s="7"/>
      <c r="F185" s="7"/>
      <c r="G185" s="7"/>
      <c r="H185" s="7"/>
      <c r="I185" s="7"/>
      <c r="J185" s="7"/>
      <c r="K185" s="7"/>
      <c r="L185" s="7">
        <f t="shared" si="28"/>
        <v>0</v>
      </c>
      <c r="M185" s="7"/>
      <c r="N185" s="7">
        <f t="shared" si="18"/>
        <v>0</v>
      </c>
    </row>
    <row r="186" spans="1:16" ht="15.75" x14ac:dyDescent="0.25">
      <c r="A186" s="2">
        <f t="shared" si="26"/>
        <v>7</v>
      </c>
      <c r="B186" s="5" t="s">
        <v>136</v>
      </c>
      <c r="C186" s="7"/>
      <c r="D186" s="7"/>
      <c r="E186" s="7"/>
      <c r="F186" s="7"/>
      <c r="G186" s="7"/>
      <c r="H186" s="7"/>
      <c r="I186" s="7"/>
      <c r="J186" s="7"/>
      <c r="K186" s="7"/>
      <c r="L186" s="7">
        <f>SUM(C186:K186)</f>
        <v>0</v>
      </c>
      <c r="M186" s="7"/>
      <c r="N186" s="8">
        <f t="shared" si="18"/>
        <v>7</v>
      </c>
    </row>
    <row r="187" spans="1:16" ht="15.75" hidden="1" x14ac:dyDescent="0.25">
      <c r="A187" s="2">
        <f t="shared" si="26"/>
        <v>0</v>
      </c>
      <c r="B187" s="5" t="s">
        <v>108</v>
      </c>
      <c r="C187" s="7"/>
      <c r="D187" s="7"/>
      <c r="E187" s="7"/>
      <c r="F187" s="7"/>
      <c r="G187" s="7"/>
      <c r="H187" s="7"/>
      <c r="I187" s="7"/>
      <c r="J187" s="7"/>
      <c r="K187" s="7"/>
      <c r="L187" s="7">
        <f t="shared" ref="L187:L196" si="29">SUM(C187:K187)</f>
        <v>0</v>
      </c>
      <c r="M187" s="7"/>
      <c r="N187" s="7">
        <f t="shared" si="18"/>
        <v>0</v>
      </c>
    </row>
    <row r="188" spans="1:16" ht="15.75" x14ac:dyDescent="0.25">
      <c r="A188" s="2">
        <f t="shared" si="26"/>
        <v>0</v>
      </c>
      <c r="B188" s="5" t="s">
        <v>95</v>
      </c>
      <c r="C188" s="6"/>
      <c r="D188" s="7"/>
      <c r="E188" s="6"/>
      <c r="F188" s="7"/>
      <c r="G188" s="7"/>
      <c r="H188" s="7"/>
      <c r="I188" s="7">
        <v>54</v>
      </c>
      <c r="J188" s="7"/>
      <c r="K188" s="7"/>
      <c r="L188" s="7">
        <f t="shared" si="29"/>
        <v>54</v>
      </c>
      <c r="M188" s="7">
        <v>54</v>
      </c>
      <c r="N188" s="7">
        <f t="shared" si="18"/>
        <v>0</v>
      </c>
      <c r="O188" t="s">
        <v>196</v>
      </c>
    </row>
    <row r="189" spans="1:16" ht="15.75" x14ac:dyDescent="0.25">
      <c r="A189" s="2">
        <f t="shared" si="26"/>
        <v>0</v>
      </c>
      <c r="B189" s="5" t="s">
        <v>36</v>
      </c>
      <c r="C189" s="6"/>
      <c r="D189" s="7"/>
      <c r="E189" s="6"/>
      <c r="F189" s="7"/>
      <c r="G189" s="7"/>
      <c r="H189" s="7"/>
      <c r="I189" s="7"/>
      <c r="J189" s="7"/>
      <c r="K189" s="7"/>
      <c r="L189" s="7">
        <f t="shared" si="29"/>
        <v>0</v>
      </c>
      <c r="M189" s="7"/>
      <c r="N189" s="7">
        <f t="shared" si="18"/>
        <v>0</v>
      </c>
    </row>
    <row r="190" spans="1:16" ht="15.75" x14ac:dyDescent="0.25">
      <c r="A190" s="2">
        <f t="shared" si="26"/>
        <v>0</v>
      </c>
      <c r="B190" s="5" t="s">
        <v>185</v>
      </c>
      <c r="C190" s="6"/>
      <c r="D190" s="7"/>
      <c r="E190" s="6"/>
      <c r="F190" s="7"/>
      <c r="G190" s="7"/>
      <c r="H190" s="7"/>
      <c r="I190" s="7"/>
      <c r="J190" s="7"/>
      <c r="K190" s="7"/>
      <c r="L190" s="7">
        <f t="shared" si="29"/>
        <v>0</v>
      </c>
      <c r="M190" s="7">
        <v>55.4</v>
      </c>
      <c r="N190" s="7">
        <f t="shared" si="18"/>
        <v>55.4</v>
      </c>
      <c r="O190" t="s">
        <v>186</v>
      </c>
    </row>
    <row r="191" spans="1:16" ht="15.75" hidden="1" x14ac:dyDescent="0.25">
      <c r="A191" s="2">
        <f t="shared" si="26"/>
        <v>0</v>
      </c>
      <c r="B191" s="5" t="s">
        <v>111</v>
      </c>
      <c r="C191" s="6"/>
      <c r="D191" s="7"/>
      <c r="E191" s="6"/>
      <c r="F191" s="7"/>
      <c r="G191" s="7"/>
      <c r="H191" s="7"/>
      <c r="I191" s="7"/>
      <c r="J191" s="7"/>
      <c r="K191" s="7"/>
      <c r="L191" s="7">
        <f t="shared" si="29"/>
        <v>0</v>
      </c>
      <c r="M191" s="7"/>
      <c r="N191" s="7">
        <f t="shared" si="18"/>
        <v>0</v>
      </c>
    </row>
    <row r="192" spans="1:16" ht="15.75" hidden="1" x14ac:dyDescent="0.25">
      <c r="A192" s="2">
        <f t="shared" si="26"/>
        <v>0</v>
      </c>
      <c r="B192" s="5" t="s">
        <v>110</v>
      </c>
      <c r="C192" s="6"/>
      <c r="D192" s="7"/>
      <c r="E192" s="7"/>
      <c r="F192" s="7"/>
      <c r="G192" s="7"/>
      <c r="H192" s="7"/>
      <c r="I192" s="7"/>
      <c r="J192" s="7"/>
      <c r="K192" s="7"/>
      <c r="L192" s="7">
        <f t="shared" si="29"/>
        <v>0</v>
      </c>
      <c r="M192" s="7"/>
      <c r="N192" s="7">
        <f t="shared" si="18"/>
        <v>0</v>
      </c>
    </row>
    <row r="193" spans="1:15" ht="15.75" hidden="1" x14ac:dyDescent="0.25">
      <c r="A193" s="2">
        <f t="shared" si="26"/>
        <v>0</v>
      </c>
      <c r="B193" s="5" t="s">
        <v>113</v>
      </c>
      <c r="C193" s="6"/>
      <c r="D193" s="7"/>
      <c r="E193" s="7"/>
      <c r="F193" s="7"/>
      <c r="G193" s="7"/>
      <c r="H193" s="7"/>
      <c r="I193" s="7"/>
      <c r="J193" s="7"/>
      <c r="K193" s="7"/>
      <c r="L193" s="7">
        <f t="shared" si="29"/>
        <v>0</v>
      </c>
      <c r="M193" s="7"/>
      <c r="N193" s="7">
        <f t="shared" si="18"/>
        <v>0</v>
      </c>
    </row>
    <row r="194" spans="1:15" ht="15.75" hidden="1" x14ac:dyDescent="0.25">
      <c r="A194" s="2">
        <f t="shared" si="26"/>
        <v>0</v>
      </c>
      <c r="B194" s="5" t="s">
        <v>114</v>
      </c>
      <c r="C194" s="6"/>
      <c r="D194" s="7"/>
      <c r="E194" s="7"/>
      <c r="F194" s="7"/>
      <c r="G194" s="7"/>
      <c r="H194" s="7"/>
      <c r="I194" s="7"/>
      <c r="J194" s="7"/>
      <c r="K194" s="7"/>
      <c r="L194" s="7">
        <f t="shared" si="29"/>
        <v>0</v>
      </c>
      <c r="M194" s="7"/>
      <c r="N194" s="7">
        <f t="shared" si="18"/>
        <v>0</v>
      </c>
    </row>
    <row r="195" spans="1:15" ht="15.75" x14ac:dyDescent="0.25">
      <c r="A195" s="2">
        <f t="shared" si="26"/>
        <v>-22.4</v>
      </c>
      <c r="B195" s="5" t="s">
        <v>115</v>
      </c>
      <c r="C195" s="6"/>
      <c r="D195" s="7"/>
      <c r="E195" s="7"/>
      <c r="F195" s="7"/>
      <c r="G195" s="7"/>
      <c r="H195" s="7"/>
      <c r="I195" s="7"/>
      <c r="J195" s="7"/>
      <c r="K195" s="7"/>
      <c r="L195" s="7">
        <f t="shared" si="29"/>
        <v>0</v>
      </c>
      <c r="M195" s="7"/>
      <c r="N195" s="7">
        <f t="shared" si="18"/>
        <v>-22.4</v>
      </c>
    </row>
    <row r="196" spans="1:15" ht="15.75" x14ac:dyDescent="0.25">
      <c r="A196" s="2">
        <f t="shared" si="26"/>
        <v>-44</v>
      </c>
      <c r="B196" s="5" t="s">
        <v>116</v>
      </c>
      <c r="C196" s="6"/>
      <c r="D196" s="7"/>
      <c r="E196" s="7"/>
      <c r="F196" s="7"/>
      <c r="G196" s="7"/>
      <c r="H196" s="7"/>
      <c r="I196" s="7"/>
      <c r="J196" s="7"/>
      <c r="K196" s="7"/>
      <c r="L196" s="7">
        <f t="shared" si="29"/>
        <v>0</v>
      </c>
      <c r="M196" s="7">
        <v>44</v>
      </c>
      <c r="N196" s="7">
        <f t="shared" si="18"/>
        <v>0</v>
      </c>
      <c r="O196" t="s">
        <v>174</v>
      </c>
    </row>
    <row r="197" spans="1:15" ht="15.75" hidden="1" x14ac:dyDescent="0.25">
      <c r="A197" s="2">
        <f t="shared" si="26"/>
        <v>0</v>
      </c>
      <c r="B197" s="5" t="s">
        <v>117</v>
      </c>
      <c r="C197" s="7"/>
      <c r="D197" s="7"/>
      <c r="E197" s="7"/>
      <c r="F197" s="7"/>
      <c r="G197" s="7"/>
      <c r="H197" s="7"/>
      <c r="I197" s="7"/>
      <c r="J197" s="7"/>
      <c r="K197" s="7"/>
      <c r="L197" s="7">
        <f>SUM(C197:K197)</f>
        <v>0</v>
      </c>
      <c r="M197" s="7"/>
      <c r="N197" s="7">
        <f t="shared" si="18"/>
        <v>0</v>
      </c>
    </row>
    <row r="198" spans="1:15" ht="15.75" hidden="1" x14ac:dyDescent="0.25">
      <c r="A198" s="2">
        <f t="shared" si="26"/>
        <v>0</v>
      </c>
      <c r="B198" s="5" t="s">
        <v>118</v>
      </c>
      <c r="C198" s="7"/>
      <c r="D198" s="7"/>
      <c r="E198" s="7"/>
      <c r="F198" s="7"/>
      <c r="G198" s="7"/>
      <c r="H198" s="7"/>
      <c r="I198" s="7"/>
      <c r="J198" s="7"/>
      <c r="K198" s="7"/>
      <c r="L198" s="7">
        <f t="shared" ref="L198:L202" si="30">SUM(C198:K198)</f>
        <v>0</v>
      </c>
      <c r="M198" s="7"/>
      <c r="N198" s="7">
        <f t="shared" si="18"/>
        <v>0</v>
      </c>
    </row>
    <row r="199" spans="1:15" ht="15.75" hidden="1" x14ac:dyDescent="0.25">
      <c r="A199" s="2">
        <f t="shared" si="26"/>
        <v>0</v>
      </c>
      <c r="B199" s="5" t="s">
        <v>119</v>
      </c>
      <c r="C199" s="7"/>
      <c r="D199" s="7"/>
      <c r="E199" s="7"/>
      <c r="F199" s="7"/>
      <c r="G199" s="7"/>
      <c r="H199" s="7"/>
      <c r="I199" s="7"/>
      <c r="J199" s="7"/>
      <c r="K199" s="7"/>
      <c r="L199" s="7">
        <f t="shared" si="30"/>
        <v>0</v>
      </c>
      <c r="M199" s="7"/>
      <c r="N199" s="7">
        <f t="shared" si="18"/>
        <v>0</v>
      </c>
    </row>
    <row r="200" spans="1:15" ht="15.75" x14ac:dyDescent="0.25">
      <c r="A200" s="2">
        <f t="shared" si="26"/>
        <v>-21</v>
      </c>
      <c r="B200" s="5" t="s">
        <v>135</v>
      </c>
      <c r="C200" s="7"/>
      <c r="D200" s="7"/>
      <c r="E200" s="7"/>
      <c r="F200" s="7"/>
      <c r="G200" s="7"/>
      <c r="H200" s="7"/>
      <c r="I200" s="7"/>
      <c r="J200" s="7"/>
      <c r="K200" s="7"/>
      <c r="L200" s="7">
        <f t="shared" si="30"/>
        <v>0</v>
      </c>
      <c r="M200" s="7">
        <v>21</v>
      </c>
      <c r="N200" s="7">
        <f t="shared" si="18"/>
        <v>0</v>
      </c>
      <c r="O200" t="s">
        <v>184</v>
      </c>
    </row>
    <row r="201" spans="1:15" ht="15.75" hidden="1" x14ac:dyDescent="0.25">
      <c r="A201" s="2">
        <f t="shared" si="26"/>
        <v>0</v>
      </c>
      <c r="B201" s="5" t="s">
        <v>120</v>
      </c>
      <c r="C201" s="7"/>
      <c r="D201" s="7"/>
      <c r="E201" s="7"/>
      <c r="F201" s="7"/>
      <c r="G201" s="7"/>
      <c r="H201" s="7"/>
      <c r="I201" s="7"/>
      <c r="J201" s="7"/>
      <c r="K201" s="7"/>
      <c r="L201" s="7">
        <f t="shared" si="30"/>
        <v>0</v>
      </c>
      <c r="M201" s="7"/>
      <c r="N201" s="7">
        <f t="shared" si="18"/>
        <v>0</v>
      </c>
    </row>
    <row r="202" spans="1:15" ht="15.75" x14ac:dyDescent="0.25">
      <c r="A202" s="2">
        <f t="shared" si="26"/>
        <v>0</v>
      </c>
      <c r="B202" s="5" t="s">
        <v>121</v>
      </c>
      <c r="C202" s="7"/>
      <c r="D202" s="7"/>
      <c r="E202" s="7"/>
      <c r="F202" s="7"/>
      <c r="G202" s="7"/>
      <c r="H202" s="7"/>
      <c r="I202" s="7"/>
      <c r="J202" s="7"/>
      <c r="K202" s="7"/>
      <c r="L202" s="7">
        <f t="shared" si="30"/>
        <v>0</v>
      </c>
      <c r="M202" s="7">
        <v>72</v>
      </c>
      <c r="N202" s="7">
        <f t="shared" si="18"/>
        <v>72</v>
      </c>
      <c r="O202" t="s">
        <v>205</v>
      </c>
    </row>
    <row r="203" spans="1:15" ht="15.75" x14ac:dyDescent="0.25">
      <c r="A203" s="2">
        <f>SUM(A139:A202)</f>
        <v>-3101.72</v>
      </c>
      <c r="B203" s="6" t="s">
        <v>104</v>
      </c>
      <c r="C203" s="7">
        <f t="shared" ref="C203:I203" si="31">SUM(C139:C201)</f>
        <v>223.3</v>
      </c>
      <c r="D203" s="7">
        <f t="shared" si="31"/>
        <v>355.5</v>
      </c>
      <c r="E203" s="7">
        <f t="shared" si="31"/>
        <v>32.4</v>
      </c>
      <c r="F203" s="7">
        <f t="shared" si="31"/>
        <v>196.2</v>
      </c>
      <c r="G203" s="7">
        <f t="shared" si="31"/>
        <v>374</v>
      </c>
      <c r="H203" s="7">
        <f t="shared" si="31"/>
        <v>20</v>
      </c>
      <c r="I203" s="7">
        <f t="shared" si="31"/>
        <v>603.29999999999995</v>
      </c>
      <c r="J203" s="7">
        <f>SUM(J139:J201)</f>
        <v>75</v>
      </c>
      <c r="K203" s="7">
        <f>SUM(K139:K202)</f>
        <v>0</v>
      </c>
      <c r="L203" s="7">
        <f>SUM(L139:L202)</f>
        <v>1879.7000000000003</v>
      </c>
      <c r="M203" s="15">
        <f>SUM(M139:M202)</f>
        <v>1856.7000000000003</v>
      </c>
      <c r="N203" s="7">
        <f>SUM(N139:N202)</f>
        <v>-3124.7200000000003</v>
      </c>
    </row>
    <row r="206" spans="1:15" ht="15.75" x14ac:dyDescent="0.25">
      <c r="A206" s="57" t="s">
        <v>172</v>
      </c>
      <c r="B206" s="57" t="s">
        <v>75</v>
      </c>
      <c r="C206" s="27">
        <v>17</v>
      </c>
      <c r="D206" s="27">
        <v>18</v>
      </c>
      <c r="E206" s="27">
        <v>19</v>
      </c>
      <c r="F206" s="27">
        <v>20</v>
      </c>
      <c r="G206" s="27">
        <v>21</v>
      </c>
      <c r="H206" s="27">
        <v>22</v>
      </c>
      <c r="I206" s="27">
        <v>23</v>
      </c>
      <c r="J206" s="27">
        <v>24</v>
      </c>
      <c r="K206" s="27">
        <v>25</v>
      </c>
      <c r="L206" s="57" t="s">
        <v>68</v>
      </c>
      <c r="M206" s="61" t="s">
        <v>137</v>
      </c>
      <c r="N206" s="57" t="s">
        <v>210</v>
      </c>
    </row>
    <row r="207" spans="1:15" ht="15.75" x14ac:dyDescent="0.25">
      <c r="A207" s="58"/>
      <c r="B207" s="58"/>
      <c r="C207" s="26">
        <v>2</v>
      </c>
      <c r="D207" s="26">
        <v>6</v>
      </c>
      <c r="E207" s="26">
        <v>9</v>
      </c>
      <c r="F207" s="26">
        <v>13</v>
      </c>
      <c r="G207" s="26">
        <v>16</v>
      </c>
      <c r="H207" s="26">
        <v>20</v>
      </c>
      <c r="I207" s="26">
        <v>23</v>
      </c>
      <c r="J207" s="26">
        <v>27</v>
      </c>
      <c r="K207" s="6">
        <v>30</v>
      </c>
      <c r="L207" s="58"/>
      <c r="M207" s="62"/>
      <c r="N207" s="58"/>
    </row>
    <row r="208" spans="1:15" ht="15.75" x14ac:dyDescent="0.25">
      <c r="A208" s="2">
        <v>0</v>
      </c>
      <c r="B208" s="5" t="s">
        <v>123</v>
      </c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7">
        <f>M208+A208-L208</f>
        <v>0</v>
      </c>
    </row>
    <row r="209" spans="1:16" ht="15.75" x14ac:dyDescent="0.25">
      <c r="A209" s="2">
        <f>N140</f>
        <v>0</v>
      </c>
      <c r="B209" s="5" t="s">
        <v>125</v>
      </c>
      <c r="C209" s="6"/>
      <c r="D209" s="7">
        <v>15</v>
      </c>
      <c r="E209" s="6"/>
      <c r="F209" s="6"/>
      <c r="G209" s="6"/>
      <c r="H209" s="6"/>
      <c r="I209" s="7"/>
      <c r="J209" s="6"/>
      <c r="K209" s="7"/>
      <c r="L209" s="7">
        <f>SUM(C209:K209)</f>
        <v>15</v>
      </c>
      <c r="M209" s="7"/>
      <c r="N209" s="7">
        <f t="shared" ref="N209:N272" si="32">M209+A209-L209</f>
        <v>-15</v>
      </c>
    </row>
    <row r="210" spans="1:16" ht="15.75" x14ac:dyDescent="0.25">
      <c r="A210" s="2">
        <f t="shared" ref="A210:A244" si="33">N141</f>
        <v>-72</v>
      </c>
      <c r="B210" s="5" t="s">
        <v>194</v>
      </c>
      <c r="C210" s="7"/>
      <c r="D210" s="7">
        <v>45</v>
      </c>
      <c r="E210" s="7">
        <v>25</v>
      </c>
      <c r="F210" s="7">
        <v>25</v>
      </c>
      <c r="G210" s="6"/>
      <c r="H210" s="7"/>
      <c r="I210" s="7"/>
      <c r="J210" s="15"/>
      <c r="K210" s="7"/>
      <c r="L210" s="7">
        <f>SUM(C210:K210)</f>
        <v>95</v>
      </c>
      <c r="M210" s="7">
        <v>72</v>
      </c>
      <c r="N210" s="7">
        <f t="shared" si="32"/>
        <v>-95</v>
      </c>
      <c r="O210" t="s">
        <v>222</v>
      </c>
    </row>
    <row r="211" spans="1:16" ht="15.75" x14ac:dyDescent="0.25">
      <c r="A211" s="2">
        <f t="shared" si="33"/>
        <v>-32</v>
      </c>
      <c r="B211" s="5" t="s">
        <v>2</v>
      </c>
      <c r="C211" s="6"/>
      <c r="D211" s="7"/>
      <c r="E211" s="6"/>
      <c r="F211" s="7"/>
      <c r="G211" s="6"/>
      <c r="H211" s="7"/>
      <c r="I211" s="6"/>
      <c r="J211" s="6"/>
      <c r="K211" s="7"/>
      <c r="L211" s="7">
        <f>SUM(C211:K211)</f>
        <v>0</v>
      </c>
      <c r="M211" s="7"/>
      <c r="N211" s="7">
        <f t="shared" si="32"/>
        <v>-32</v>
      </c>
    </row>
    <row r="212" spans="1:16" ht="15.75" x14ac:dyDescent="0.25">
      <c r="A212" s="2">
        <f t="shared" si="33"/>
        <v>-25.8</v>
      </c>
      <c r="B212" s="5" t="s">
        <v>129</v>
      </c>
      <c r="C212" s="6"/>
      <c r="D212" s="7"/>
      <c r="E212" s="6"/>
      <c r="F212" s="6"/>
      <c r="G212" s="6"/>
      <c r="H212" s="7"/>
      <c r="I212" s="6"/>
      <c r="J212" s="6"/>
      <c r="K212" s="7"/>
      <c r="L212" s="7">
        <f t="shared" ref="L212:L231" si="34">SUM(C212:K212)</f>
        <v>0</v>
      </c>
      <c r="M212" s="7"/>
      <c r="N212" s="7">
        <f t="shared" si="32"/>
        <v>-25.8</v>
      </c>
    </row>
    <row r="213" spans="1:16" ht="15.75" x14ac:dyDescent="0.25">
      <c r="A213" s="2">
        <f t="shared" si="33"/>
        <v>0</v>
      </c>
      <c r="B213" s="5" t="s">
        <v>195</v>
      </c>
      <c r="C213" s="6"/>
      <c r="D213" s="7">
        <v>15</v>
      </c>
      <c r="E213" s="6"/>
      <c r="F213" s="6"/>
      <c r="G213" s="6"/>
      <c r="H213" s="7"/>
      <c r="I213" s="7"/>
      <c r="J213" s="6"/>
      <c r="K213" s="7"/>
      <c r="L213" s="7">
        <f t="shared" si="34"/>
        <v>15</v>
      </c>
      <c r="M213" s="7"/>
      <c r="N213" s="7">
        <f t="shared" si="32"/>
        <v>-15</v>
      </c>
    </row>
    <row r="214" spans="1:16" ht="15.75" x14ac:dyDescent="0.25">
      <c r="A214" s="2">
        <f t="shared" si="33"/>
        <v>117.19999999999999</v>
      </c>
      <c r="B214" s="5" t="s">
        <v>128</v>
      </c>
      <c r="C214" s="7">
        <v>133.19999999999999</v>
      </c>
      <c r="D214" s="7">
        <v>20</v>
      </c>
      <c r="E214" s="7"/>
      <c r="F214" s="6"/>
      <c r="G214" s="6"/>
      <c r="H214" s="7"/>
      <c r="I214" s="7"/>
      <c r="J214" s="7"/>
      <c r="K214" s="7"/>
      <c r="L214" s="7">
        <f t="shared" si="34"/>
        <v>153.19999999999999</v>
      </c>
      <c r="M214" s="7"/>
      <c r="N214" s="7">
        <f t="shared" si="32"/>
        <v>-36</v>
      </c>
    </row>
    <row r="215" spans="1:16" ht="15.75" x14ac:dyDescent="0.25">
      <c r="A215" s="2">
        <f t="shared" si="33"/>
        <v>-310.2</v>
      </c>
      <c r="B215" s="5" t="s">
        <v>127</v>
      </c>
      <c r="C215" s="6"/>
      <c r="D215" s="7"/>
      <c r="E215" s="6"/>
      <c r="F215" s="6"/>
      <c r="G215" s="6"/>
      <c r="H215" s="7"/>
      <c r="I215" s="6"/>
      <c r="J215" s="7"/>
      <c r="K215" s="7"/>
      <c r="L215" s="7">
        <f t="shared" si="34"/>
        <v>0</v>
      </c>
      <c r="M215" s="7">
        <v>25</v>
      </c>
      <c r="N215" s="7">
        <f t="shared" si="32"/>
        <v>-285.2</v>
      </c>
      <c r="O215" t="s">
        <v>218</v>
      </c>
    </row>
    <row r="216" spans="1:16" ht="15.75" hidden="1" x14ac:dyDescent="0.25">
      <c r="A216" s="2">
        <f t="shared" si="33"/>
        <v>0</v>
      </c>
      <c r="B216" s="5" t="s">
        <v>126</v>
      </c>
      <c r="C216" s="6"/>
      <c r="D216" s="7"/>
      <c r="E216" s="6"/>
      <c r="F216" s="6"/>
      <c r="G216" s="6"/>
      <c r="H216" s="7"/>
      <c r="I216" s="6"/>
      <c r="J216" s="6"/>
      <c r="K216" s="7"/>
      <c r="L216" s="7">
        <f t="shared" si="34"/>
        <v>0</v>
      </c>
      <c r="M216" s="7"/>
      <c r="N216" s="7">
        <f t="shared" si="32"/>
        <v>0</v>
      </c>
    </row>
    <row r="217" spans="1:16" ht="15.75" x14ac:dyDescent="0.25">
      <c r="A217" s="2">
        <f t="shared" si="33"/>
        <v>-503.20000000000005</v>
      </c>
      <c r="B217" s="5" t="s">
        <v>130</v>
      </c>
      <c r="C217" s="7"/>
      <c r="D217" s="7"/>
      <c r="E217" s="7"/>
      <c r="F217" s="7"/>
      <c r="G217" s="7"/>
      <c r="H217" s="7"/>
      <c r="I217" s="6"/>
      <c r="J217" s="7"/>
      <c r="K217" s="7"/>
      <c r="L217" s="7">
        <f t="shared" si="34"/>
        <v>0</v>
      </c>
      <c r="M217" s="7"/>
      <c r="N217" s="7">
        <f t="shared" si="32"/>
        <v>-503.20000000000005</v>
      </c>
    </row>
    <row r="218" spans="1:16" ht="15.75" x14ac:dyDescent="0.25">
      <c r="A218" s="2">
        <f t="shared" si="33"/>
        <v>-71.13</v>
      </c>
      <c r="B218" s="5" t="s">
        <v>131</v>
      </c>
      <c r="C218" s="7"/>
      <c r="D218" s="7"/>
      <c r="E218" s="7"/>
      <c r="F218" s="7"/>
      <c r="G218" s="7"/>
      <c r="H218" s="7"/>
      <c r="I218" s="7"/>
      <c r="J218" s="6"/>
      <c r="K218" s="7"/>
      <c r="L218" s="7">
        <f t="shared" si="34"/>
        <v>0</v>
      </c>
      <c r="M218" s="7"/>
      <c r="N218" s="7">
        <f t="shared" si="32"/>
        <v>-71.13</v>
      </c>
    </row>
    <row r="219" spans="1:16" ht="15.75" x14ac:dyDescent="0.25">
      <c r="A219" s="2">
        <f t="shared" si="33"/>
        <v>-25</v>
      </c>
      <c r="B219" s="5" t="s">
        <v>132</v>
      </c>
      <c r="C219" s="7"/>
      <c r="D219" s="7">
        <v>20</v>
      </c>
      <c r="E219" s="7"/>
      <c r="F219" s="7"/>
      <c r="G219" s="7"/>
      <c r="H219" s="7"/>
      <c r="I219" s="7"/>
      <c r="J219" s="7"/>
      <c r="K219" s="7"/>
      <c r="L219" s="7">
        <f t="shared" si="34"/>
        <v>20</v>
      </c>
      <c r="M219" s="7"/>
      <c r="N219" s="7">
        <f t="shared" si="32"/>
        <v>-45</v>
      </c>
    </row>
    <row r="220" spans="1:16" ht="15.75" x14ac:dyDescent="0.25">
      <c r="A220" s="2">
        <f t="shared" si="33"/>
        <v>-36.5</v>
      </c>
      <c r="B220" s="5" t="s">
        <v>9</v>
      </c>
      <c r="C220" s="6"/>
      <c r="D220" s="7">
        <v>20</v>
      </c>
      <c r="E220" s="7"/>
      <c r="F220" s="7"/>
      <c r="G220" s="7"/>
      <c r="H220" s="6"/>
      <c r="I220" s="7"/>
      <c r="J220" s="6"/>
      <c r="K220" s="7"/>
      <c r="L220" s="7">
        <f t="shared" si="34"/>
        <v>20</v>
      </c>
      <c r="M220" s="7">
        <v>56.5</v>
      </c>
      <c r="N220" s="7">
        <f t="shared" si="32"/>
        <v>0</v>
      </c>
      <c r="O220" t="s">
        <v>234</v>
      </c>
    </row>
    <row r="221" spans="1:16" ht="15.75" x14ac:dyDescent="0.25">
      <c r="A221" s="2">
        <f t="shared" si="33"/>
        <v>-8.5</v>
      </c>
      <c r="B221" s="5" t="s">
        <v>133</v>
      </c>
      <c r="C221" s="7"/>
      <c r="D221" s="7"/>
      <c r="E221" s="7"/>
      <c r="F221" s="7"/>
      <c r="G221" s="7"/>
      <c r="H221" s="7"/>
      <c r="I221" s="7"/>
      <c r="J221" s="7"/>
      <c r="K221" s="7"/>
      <c r="L221" s="7">
        <f t="shared" si="34"/>
        <v>0</v>
      </c>
      <c r="M221" s="8"/>
      <c r="N221" s="7">
        <f t="shared" si="32"/>
        <v>-8.5</v>
      </c>
    </row>
    <row r="222" spans="1:16" ht="15.75" x14ac:dyDescent="0.25">
      <c r="A222" s="2">
        <f t="shared" si="33"/>
        <v>-49.5</v>
      </c>
      <c r="B222" s="5" t="s">
        <v>96</v>
      </c>
      <c r="C222" s="7"/>
      <c r="D222" s="7">
        <v>20</v>
      </c>
      <c r="E222" s="7"/>
      <c r="F222" s="7"/>
      <c r="G222" s="7">
        <v>18.899999999999999</v>
      </c>
      <c r="H222" s="7"/>
      <c r="I222" s="7"/>
      <c r="J222" s="7"/>
      <c r="K222" s="7"/>
      <c r="L222" s="7">
        <f t="shared" si="34"/>
        <v>38.9</v>
      </c>
      <c r="M222" s="7"/>
      <c r="N222" s="7">
        <f t="shared" si="32"/>
        <v>-88.4</v>
      </c>
    </row>
    <row r="223" spans="1:16" ht="15.75" x14ac:dyDescent="0.25">
      <c r="A223" s="2">
        <f t="shared" si="33"/>
        <v>-20</v>
      </c>
      <c r="B223" s="5" t="s">
        <v>134</v>
      </c>
      <c r="C223" s="6"/>
      <c r="D223" s="7">
        <v>20</v>
      </c>
      <c r="E223" s="6"/>
      <c r="F223" s="6"/>
      <c r="G223" s="6"/>
      <c r="H223" s="6"/>
      <c r="I223" s="7"/>
      <c r="J223" s="6"/>
      <c r="K223" s="7"/>
      <c r="L223" s="7">
        <f t="shared" si="34"/>
        <v>20</v>
      </c>
      <c r="M223" s="7">
        <f>20+20</f>
        <v>40</v>
      </c>
      <c r="N223" s="7">
        <f t="shared" si="32"/>
        <v>0</v>
      </c>
      <c r="O223" t="s">
        <v>212</v>
      </c>
      <c r="P223" t="s">
        <v>217</v>
      </c>
    </row>
    <row r="224" spans="1:16" ht="15.75" x14ac:dyDescent="0.25">
      <c r="A224" s="2">
        <f t="shared" si="33"/>
        <v>26.1</v>
      </c>
      <c r="B224" s="5" t="s">
        <v>99</v>
      </c>
      <c r="C224" s="7"/>
      <c r="D224" s="6"/>
      <c r="E224" s="6"/>
      <c r="F224" s="6"/>
      <c r="G224" s="6"/>
      <c r="H224" s="6"/>
      <c r="I224" s="6"/>
      <c r="J224" s="6"/>
      <c r="K224" s="7"/>
      <c r="L224" s="7">
        <f t="shared" si="34"/>
        <v>0</v>
      </c>
      <c r="M224" s="7"/>
      <c r="N224" s="7">
        <f t="shared" si="32"/>
        <v>26.1</v>
      </c>
    </row>
    <row r="225" spans="1:18" ht="15.75" x14ac:dyDescent="0.25">
      <c r="A225" s="2">
        <f t="shared" si="33"/>
        <v>0</v>
      </c>
      <c r="B225" s="5" t="s">
        <v>21</v>
      </c>
      <c r="C225" s="7"/>
      <c r="D225" s="7"/>
      <c r="E225" s="7"/>
      <c r="F225" s="7"/>
      <c r="G225" s="7"/>
      <c r="H225" s="7"/>
      <c r="I225" s="7"/>
      <c r="J225" s="7">
        <v>10</v>
      </c>
      <c r="K225" s="7"/>
      <c r="L225" s="7">
        <f t="shared" si="34"/>
        <v>10</v>
      </c>
      <c r="M225" s="7"/>
      <c r="N225" s="7">
        <f t="shared" si="32"/>
        <v>-10</v>
      </c>
    </row>
    <row r="226" spans="1:18" ht="15.75" hidden="1" x14ac:dyDescent="0.25">
      <c r="A226" s="2">
        <f t="shared" si="33"/>
        <v>0</v>
      </c>
      <c r="B226" s="5" t="s">
        <v>47</v>
      </c>
      <c r="C226" s="7"/>
      <c r="D226" s="7"/>
      <c r="E226" s="7"/>
      <c r="F226" s="7"/>
      <c r="G226" s="7"/>
      <c r="H226" s="7"/>
      <c r="I226" s="7"/>
      <c r="J226" s="7"/>
      <c r="K226" s="7"/>
      <c r="L226" s="7">
        <f t="shared" si="34"/>
        <v>0</v>
      </c>
      <c r="M226" s="7"/>
      <c r="N226" s="7">
        <f t="shared" si="32"/>
        <v>0</v>
      </c>
    </row>
    <row r="227" spans="1:18" ht="15.75" x14ac:dyDescent="0.25">
      <c r="A227" s="2">
        <f t="shared" si="33"/>
        <v>-525.99</v>
      </c>
      <c r="B227" s="5" t="s">
        <v>53</v>
      </c>
      <c r="C227" s="7"/>
      <c r="D227" s="7"/>
      <c r="E227" s="7"/>
      <c r="F227" s="7"/>
      <c r="G227" s="7"/>
      <c r="H227" s="7"/>
      <c r="I227" s="7"/>
      <c r="J227" s="7"/>
      <c r="K227" s="7"/>
      <c r="L227" s="7">
        <f t="shared" si="34"/>
        <v>0</v>
      </c>
      <c r="M227" s="7"/>
      <c r="N227" s="7">
        <f t="shared" si="32"/>
        <v>-525.99</v>
      </c>
    </row>
    <row r="228" spans="1:18" ht="15.75" x14ac:dyDescent="0.25">
      <c r="A228" s="2">
        <f t="shared" si="33"/>
        <v>-337.00000000000006</v>
      </c>
      <c r="B228" s="5" t="s">
        <v>33</v>
      </c>
      <c r="C228" s="7">
        <v>108</v>
      </c>
      <c r="D228" s="7">
        <v>45</v>
      </c>
      <c r="E228" s="7"/>
      <c r="F228" s="7"/>
      <c r="G228" s="7"/>
      <c r="H228" s="7"/>
      <c r="I228" s="7">
        <v>45</v>
      </c>
      <c r="J228" s="7"/>
      <c r="K228" s="7"/>
      <c r="L228" s="7">
        <f t="shared" si="34"/>
        <v>198</v>
      </c>
      <c r="M228" s="7">
        <v>153</v>
      </c>
      <c r="N228" s="7">
        <f t="shared" si="32"/>
        <v>-382.00000000000006</v>
      </c>
      <c r="O228" t="s">
        <v>219</v>
      </c>
    </row>
    <row r="229" spans="1:18" ht="15.75" hidden="1" x14ac:dyDescent="0.25">
      <c r="A229" s="2">
        <f t="shared" si="33"/>
        <v>0</v>
      </c>
      <c r="B229" s="5" t="s">
        <v>87</v>
      </c>
      <c r="C229" s="7"/>
      <c r="D229" s="7"/>
      <c r="E229" s="7"/>
      <c r="F229" s="7"/>
      <c r="G229" s="7"/>
      <c r="H229" s="7"/>
      <c r="I229" s="7"/>
      <c r="J229" s="7"/>
      <c r="K229" s="7"/>
      <c r="L229" s="7">
        <f t="shared" si="34"/>
        <v>0</v>
      </c>
      <c r="M229" s="7"/>
      <c r="N229" s="7">
        <f t="shared" si="32"/>
        <v>0</v>
      </c>
    </row>
    <row r="230" spans="1:18" ht="15.75" x14ac:dyDescent="0.25">
      <c r="A230" s="2">
        <f t="shared" si="33"/>
        <v>-18</v>
      </c>
      <c r="B230" s="5" t="s">
        <v>23</v>
      </c>
      <c r="C230" s="7"/>
      <c r="D230" s="7">
        <v>32.4</v>
      </c>
      <c r="E230" s="7"/>
      <c r="F230" s="7"/>
      <c r="G230" s="7">
        <v>29.7</v>
      </c>
      <c r="H230" s="7"/>
      <c r="I230" s="7"/>
      <c r="J230" s="7"/>
      <c r="K230" s="7"/>
      <c r="L230" s="7">
        <f t="shared" si="34"/>
        <v>62.099999999999994</v>
      </c>
      <c r="M230" s="7">
        <f>18+32.4+29.7</f>
        <v>80.099999999999994</v>
      </c>
      <c r="N230" s="7">
        <f t="shared" si="32"/>
        <v>0</v>
      </c>
      <c r="O230" t="s">
        <v>215</v>
      </c>
      <c r="P230" t="s">
        <v>227</v>
      </c>
      <c r="Q230" t="s">
        <v>232</v>
      </c>
    </row>
    <row r="231" spans="1:18" ht="15.75" hidden="1" x14ac:dyDescent="0.25">
      <c r="A231" s="2">
        <f t="shared" si="33"/>
        <v>0</v>
      </c>
      <c r="B231" s="5" t="s">
        <v>24</v>
      </c>
      <c r="C231" s="7"/>
      <c r="D231" s="7"/>
      <c r="E231" s="7"/>
      <c r="F231" s="7"/>
      <c r="G231" s="7"/>
      <c r="H231" s="7"/>
      <c r="I231" s="7"/>
      <c r="J231" s="7"/>
      <c r="K231" s="7"/>
      <c r="L231" s="7">
        <f t="shared" si="34"/>
        <v>0</v>
      </c>
      <c r="M231" s="7"/>
      <c r="N231" s="7">
        <f t="shared" si="32"/>
        <v>0</v>
      </c>
    </row>
    <row r="232" spans="1:18" ht="15.75" hidden="1" x14ac:dyDescent="0.25">
      <c r="A232" s="2">
        <f t="shared" si="33"/>
        <v>0</v>
      </c>
      <c r="B232" s="5" t="s">
        <v>51</v>
      </c>
      <c r="C232" s="7"/>
      <c r="D232" s="7"/>
      <c r="E232" s="7"/>
      <c r="F232" s="7"/>
      <c r="G232" s="7"/>
      <c r="H232" s="7"/>
      <c r="I232" s="7"/>
      <c r="J232" s="7"/>
      <c r="K232" s="7"/>
      <c r="L232" s="7">
        <f>SUM(C232:K232)</f>
        <v>0</v>
      </c>
      <c r="M232" s="7"/>
      <c r="N232" s="7">
        <f t="shared" si="32"/>
        <v>0</v>
      </c>
    </row>
    <row r="233" spans="1:18" ht="15.75" hidden="1" x14ac:dyDescent="0.25">
      <c r="A233" s="2">
        <f t="shared" si="33"/>
        <v>0</v>
      </c>
      <c r="B233" s="5" t="s">
        <v>25</v>
      </c>
      <c r="C233" s="7"/>
      <c r="D233" s="7"/>
      <c r="E233" s="7"/>
      <c r="F233" s="7"/>
      <c r="G233" s="7"/>
      <c r="H233" s="7"/>
      <c r="I233" s="7"/>
      <c r="J233" s="7"/>
      <c r="K233" s="7"/>
      <c r="L233" s="7">
        <f>SUM(C233:K233)</f>
        <v>0</v>
      </c>
      <c r="M233" s="7"/>
      <c r="N233" s="7">
        <f t="shared" si="32"/>
        <v>0</v>
      </c>
    </row>
    <row r="234" spans="1:18" ht="15.75" x14ac:dyDescent="0.25">
      <c r="A234" s="2">
        <f t="shared" si="33"/>
        <v>-53.2</v>
      </c>
      <c r="B234" s="5" t="s">
        <v>27</v>
      </c>
      <c r="C234" s="7"/>
      <c r="D234" s="7"/>
      <c r="E234" s="7"/>
      <c r="F234" s="7"/>
      <c r="G234" s="7"/>
      <c r="H234" s="7"/>
      <c r="I234" s="7"/>
      <c r="J234" s="7"/>
      <c r="K234" s="7">
        <v>36</v>
      </c>
      <c r="L234" s="7">
        <f>SUM(C234:K234)</f>
        <v>36</v>
      </c>
      <c r="M234" s="7"/>
      <c r="N234" s="7">
        <f t="shared" si="32"/>
        <v>-89.2</v>
      </c>
    </row>
    <row r="235" spans="1:18" ht="15.75" x14ac:dyDescent="0.25">
      <c r="A235" s="2">
        <f t="shared" si="33"/>
        <v>-4</v>
      </c>
      <c r="B235" s="5" t="s">
        <v>29</v>
      </c>
      <c r="C235" s="7"/>
      <c r="D235" s="7"/>
      <c r="E235" s="7"/>
      <c r="F235" s="7">
        <v>18</v>
      </c>
      <c r="G235" s="7">
        <v>36</v>
      </c>
      <c r="H235" s="7"/>
      <c r="I235" s="7"/>
      <c r="J235" s="7"/>
      <c r="K235" s="7"/>
      <c r="L235" s="7">
        <f t="shared" ref="L235:L236" si="35">SUM(C235:K235)</f>
        <v>54</v>
      </c>
      <c r="M235" s="7">
        <v>50</v>
      </c>
      <c r="N235" s="7">
        <f t="shared" si="32"/>
        <v>-8</v>
      </c>
      <c r="O235" t="s">
        <v>231</v>
      </c>
    </row>
    <row r="236" spans="1:18" ht="15.75" x14ac:dyDescent="0.25">
      <c r="A236" s="2">
        <f t="shared" si="33"/>
        <v>-64.2</v>
      </c>
      <c r="B236" s="5" t="s">
        <v>30</v>
      </c>
      <c r="C236" s="7"/>
      <c r="D236" s="7"/>
      <c r="E236" s="7"/>
      <c r="F236" s="7"/>
      <c r="G236" s="7"/>
      <c r="H236" s="7"/>
      <c r="I236" s="7"/>
      <c r="J236" s="7"/>
      <c r="K236" s="7"/>
      <c r="L236" s="7">
        <f t="shared" si="35"/>
        <v>0</v>
      </c>
      <c r="M236" s="7"/>
      <c r="N236" s="7">
        <f t="shared" si="32"/>
        <v>-64.2</v>
      </c>
    </row>
    <row r="237" spans="1:18" ht="15.75" x14ac:dyDescent="0.25">
      <c r="A237" s="2">
        <f t="shared" si="33"/>
        <v>0</v>
      </c>
      <c r="B237" s="5" t="s">
        <v>56</v>
      </c>
      <c r="C237" s="7"/>
      <c r="D237" s="7"/>
      <c r="E237" s="7"/>
      <c r="F237" s="7"/>
      <c r="G237" s="7"/>
      <c r="H237" s="7"/>
      <c r="I237" s="7">
        <v>86.4</v>
      </c>
      <c r="J237" s="7"/>
      <c r="K237" s="7"/>
      <c r="L237" s="7">
        <f>SUM(C237:K237)</f>
        <v>86.4</v>
      </c>
      <c r="M237" s="7"/>
      <c r="N237" s="7">
        <f t="shared" si="32"/>
        <v>-86.4</v>
      </c>
    </row>
    <row r="238" spans="1:18" ht="15.75" x14ac:dyDescent="0.25">
      <c r="A238" s="2">
        <f t="shared" si="33"/>
        <v>-82.800000000000026</v>
      </c>
      <c r="B238" s="5" t="s">
        <v>101</v>
      </c>
      <c r="C238" s="7"/>
      <c r="D238" s="7">
        <v>20</v>
      </c>
      <c r="E238" s="7"/>
      <c r="F238" s="7"/>
      <c r="G238" s="7">
        <v>50</v>
      </c>
      <c r="H238" s="7"/>
      <c r="I238" s="7">
        <v>49.1</v>
      </c>
      <c r="J238" s="7"/>
      <c r="K238" s="7"/>
      <c r="L238" s="7">
        <f t="shared" ref="L238:L255" si="36">SUM(C238:K238)</f>
        <v>119.1</v>
      </c>
      <c r="M238" s="7">
        <f>25+20+57.8+50</f>
        <v>152.80000000000001</v>
      </c>
      <c r="N238" s="7">
        <f t="shared" si="32"/>
        <v>-49.100000000000009</v>
      </c>
      <c r="O238" t="s">
        <v>220</v>
      </c>
      <c r="P238" t="s">
        <v>221</v>
      </c>
      <c r="Q238" t="s">
        <v>223</v>
      </c>
      <c r="R238" t="s">
        <v>235</v>
      </c>
    </row>
    <row r="239" spans="1:18" ht="15.75" x14ac:dyDescent="0.25">
      <c r="A239" s="2">
        <f t="shared" si="33"/>
        <v>-9.8000000000000007</v>
      </c>
      <c r="B239" s="5" t="s">
        <v>41</v>
      </c>
      <c r="C239" s="6"/>
      <c r="D239" s="6"/>
      <c r="E239" s="7">
        <v>18.899999999999999</v>
      </c>
      <c r="F239" s="7"/>
      <c r="G239" s="7"/>
      <c r="H239" s="7"/>
      <c r="I239" s="7"/>
      <c r="J239" s="7"/>
      <c r="K239" s="7"/>
      <c r="L239" s="7">
        <f t="shared" si="36"/>
        <v>18.899999999999999</v>
      </c>
      <c r="M239" s="7">
        <v>18.899999999999999</v>
      </c>
      <c r="N239" s="7">
        <f t="shared" si="32"/>
        <v>-9.8000000000000007</v>
      </c>
      <c r="O239" t="s">
        <v>216</v>
      </c>
    </row>
    <row r="240" spans="1:18" ht="15.75" x14ac:dyDescent="0.25">
      <c r="A240" s="2">
        <f t="shared" si="33"/>
        <v>-70</v>
      </c>
      <c r="B240" s="5" t="s">
        <v>102</v>
      </c>
      <c r="C240" s="6"/>
      <c r="D240" s="7">
        <v>25</v>
      </c>
      <c r="E240" s="7"/>
      <c r="F240" s="7"/>
      <c r="G240" s="7"/>
      <c r="H240" s="7"/>
      <c r="I240" s="7"/>
      <c r="J240" s="7"/>
      <c r="K240" s="7"/>
      <c r="L240" s="7">
        <f t="shared" si="36"/>
        <v>25</v>
      </c>
      <c r="M240" s="7"/>
      <c r="N240" s="7">
        <f t="shared" si="32"/>
        <v>-95</v>
      </c>
    </row>
    <row r="241" spans="1:15" ht="15.75" x14ac:dyDescent="0.25">
      <c r="A241" s="2">
        <f t="shared" si="33"/>
        <v>-332.2</v>
      </c>
      <c r="B241" s="5" t="s">
        <v>45</v>
      </c>
      <c r="C241" s="7"/>
      <c r="D241" s="6"/>
      <c r="E241" s="6"/>
      <c r="F241" s="7"/>
      <c r="G241" s="7"/>
      <c r="H241" s="7">
        <v>13.5</v>
      </c>
      <c r="I241" s="7"/>
      <c r="J241" s="7"/>
      <c r="K241" s="7"/>
      <c r="L241" s="7">
        <f t="shared" si="36"/>
        <v>13.5</v>
      </c>
      <c r="M241" s="7">
        <v>100</v>
      </c>
      <c r="N241" s="7">
        <f t="shared" si="32"/>
        <v>-245.7</v>
      </c>
      <c r="O241" t="s">
        <v>226</v>
      </c>
    </row>
    <row r="242" spans="1:15" ht="15.75" x14ac:dyDescent="0.25">
      <c r="A242" s="2">
        <f t="shared" si="33"/>
        <v>-118</v>
      </c>
      <c r="B242" s="5" t="s">
        <v>46</v>
      </c>
      <c r="C242" s="7"/>
      <c r="D242" s="7">
        <v>20</v>
      </c>
      <c r="E242" s="10"/>
      <c r="F242" s="7">
        <v>25</v>
      </c>
      <c r="G242" s="7"/>
      <c r="H242" s="7"/>
      <c r="I242" s="7"/>
      <c r="J242" s="7"/>
      <c r="K242" s="7"/>
      <c r="L242" s="7">
        <f t="shared" si="36"/>
        <v>45</v>
      </c>
      <c r="M242" s="7">
        <v>138</v>
      </c>
      <c r="N242" s="7">
        <f t="shared" si="32"/>
        <v>-25</v>
      </c>
      <c r="O242" t="s">
        <v>230</v>
      </c>
    </row>
    <row r="243" spans="1:15" ht="15.75" x14ac:dyDescent="0.25">
      <c r="A243" s="2">
        <f t="shared" si="33"/>
        <v>0</v>
      </c>
      <c r="B243" s="5" t="s">
        <v>79</v>
      </c>
      <c r="C243" s="7"/>
      <c r="D243" s="6"/>
      <c r="E243" s="10"/>
      <c r="F243" s="7"/>
      <c r="G243" s="7"/>
      <c r="H243" s="7"/>
      <c r="I243" s="7">
        <v>20.3</v>
      </c>
      <c r="J243" s="7"/>
      <c r="K243" s="7"/>
      <c r="L243" s="7">
        <f t="shared" si="36"/>
        <v>20.3</v>
      </c>
      <c r="M243" s="7"/>
      <c r="N243" s="7">
        <f t="shared" si="32"/>
        <v>-20.3</v>
      </c>
    </row>
    <row r="244" spans="1:15" ht="15.75" x14ac:dyDescent="0.25">
      <c r="A244" s="2">
        <f t="shared" si="33"/>
        <v>-691.19999999999993</v>
      </c>
      <c r="B244" s="5" t="s">
        <v>103</v>
      </c>
      <c r="C244" s="6"/>
      <c r="D244" s="6"/>
      <c r="E244" s="6"/>
      <c r="F244" s="7">
        <v>176.4</v>
      </c>
      <c r="G244" s="7"/>
      <c r="H244" s="7">
        <v>205.2</v>
      </c>
      <c r="I244" s="7">
        <v>82.8</v>
      </c>
      <c r="J244" s="7"/>
      <c r="K244" s="7"/>
      <c r="L244" s="7">
        <f t="shared" si="36"/>
        <v>464.40000000000003</v>
      </c>
      <c r="M244" s="7">
        <v>792.2</v>
      </c>
      <c r="N244" s="7">
        <f t="shared" si="32"/>
        <v>-363.39999999999992</v>
      </c>
      <c r="O244" t="s">
        <v>214</v>
      </c>
    </row>
    <row r="245" spans="1:15" ht="15.75" x14ac:dyDescent="0.25">
      <c r="A245" s="2"/>
      <c r="B245" s="5" t="s">
        <v>211</v>
      </c>
      <c r="C245" s="6"/>
      <c r="D245" s="7">
        <v>15</v>
      </c>
      <c r="E245" s="6"/>
      <c r="F245" s="7"/>
      <c r="G245" s="7"/>
      <c r="H245" s="7"/>
      <c r="I245" s="7"/>
      <c r="J245" s="7"/>
      <c r="K245" s="7"/>
      <c r="L245" s="7">
        <f t="shared" ref="L245" si="37">SUM(C245:K245)</f>
        <v>15</v>
      </c>
      <c r="M245" s="7">
        <v>15</v>
      </c>
      <c r="N245" s="7">
        <f t="shared" ref="N245" si="38">M245+A245-L245</f>
        <v>0</v>
      </c>
      <c r="O245" t="s">
        <v>213</v>
      </c>
    </row>
    <row r="246" spans="1:15" ht="15.75" x14ac:dyDescent="0.25">
      <c r="A246" s="2">
        <f t="shared" ref="A246:A272" si="39">N176</f>
        <v>-15</v>
      </c>
      <c r="B246" s="5" t="s">
        <v>139</v>
      </c>
      <c r="C246" s="7"/>
      <c r="D246" s="7">
        <v>20</v>
      </c>
      <c r="E246" s="6"/>
      <c r="F246" s="7"/>
      <c r="G246" s="7"/>
      <c r="H246" s="7"/>
      <c r="I246" s="7"/>
      <c r="J246" s="7"/>
      <c r="K246" s="7"/>
      <c r="L246" s="7">
        <f t="shared" si="36"/>
        <v>20</v>
      </c>
      <c r="M246" s="7">
        <v>15</v>
      </c>
      <c r="N246" s="7">
        <f t="shared" si="32"/>
        <v>-20</v>
      </c>
      <c r="O246" t="s">
        <v>224</v>
      </c>
    </row>
    <row r="247" spans="1:15" ht="15.75" x14ac:dyDescent="0.25">
      <c r="A247" s="2">
        <f t="shared" si="39"/>
        <v>123.19999999999999</v>
      </c>
      <c r="B247" s="5" t="s">
        <v>191</v>
      </c>
      <c r="C247" s="7"/>
      <c r="D247" s="6"/>
      <c r="E247" s="7">
        <v>123.2</v>
      </c>
      <c r="F247" s="7"/>
      <c r="G247" s="7"/>
      <c r="H247" s="7"/>
      <c r="I247" s="7"/>
      <c r="J247" s="7"/>
      <c r="K247" s="7"/>
      <c r="L247" s="7">
        <f t="shared" si="36"/>
        <v>123.2</v>
      </c>
      <c r="M247" s="7"/>
      <c r="N247" s="7">
        <f t="shared" si="32"/>
        <v>0</v>
      </c>
    </row>
    <row r="248" spans="1:15" ht="15.75" hidden="1" x14ac:dyDescent="0.25">
      <c r="A248" s="2">
        <f t="shared" si="39"/>
        <v>0</v>
      </c>
      <c r="B248" s="5" t="s">
        <v>91</v>
      </c>
      <c r="C248" s="7"/>
      <c r="D248" s="7"/>
      <c r="E248" s="7"/>
      <c r="F248" s="7"/>
      <c r="G248" s="7"/>
      <c r="H248" s="7"/>
      <c r="I248" s="7"/>
      <c r="J248" s="7"/>
      <c r="K248" s="7"/>
      <c r="L248" s="7">
        <f t="shared" si="36"/>
        <v>0</v>
      </c>
      <c r="M248" s="7"/>
      <c r="N248" s="7">
        <f t="shared" si="32"/>
        <v>0</v>
      </c>
    </row>
    <row r="249" spans="1:15" ht="15.75" x14ac:dyDescent="0.25">
      <c r="A249" s="2">
        <f t="shared" si="39"/>
        <v>0</v>
      </c>
      <c r="B249" s="5" t="s">
        <v>31</v>
      </c>
      <c r="C249" s="7"/>
      <c r="D249" s="7">
        <v>65</v>
      </c>
      <c r="E249" s="7"/>
      <c r="F249" s="7"/>
      <c r="G249" s="7"/>
      <c r="H249" s="7"/>
      <c r="I249" s="7"/>
      <c r="J249" s="7"/>
      <c r="K249" s="7"/>
      <c r="L249" s="7">
        <f t="shared" si="36"/>
        <v>65</v>
      </c>
      <c r="M249" s="7">
        <v>65</v>
      </c>
      <c r="N249" s="7">
        <f t="shared" si="32"/>
        <v>0</v>
      </c>
      <c r="O249" t="s">
        <v>225</v>
      </c>
    </row>
    <row r="250" spans="1:15" ht="15.75" x14ac:dyDescent="0.25">
      <c r="A250" s="2">
        <f t="shared" si="39"/>
        <v>0</v>
      </c>
      <c r="B250" s="5" t="s">
        <v>37</v>
      </c>
      <c r="C250" s="7"/>
      <c r="D250" s="7">
        <v>15</v>
      </c>
      <c r="E250" s="7"/>
      <c r="F250" s="7"/>
      <c r="G250" s="7"/>
      <c r="H250" s="7">
        <v>25</v>
      </c>
      <c r="I250" s="7"/>
      <c r="J250" s="7"/>
      <c r="K250" s="7"/>
      <c r="L250" s="7">
        <f t="shared" si="36"/>
        <v>40</v>
      </c>
      <c r="M250" s="7"/>
      <c r="N250" s="7">
        <f t="shared" si="32"/>
        <v>-40</v>
      </c>
    </row>
    <row r="251" spans="1:15" ht="15.75" x14ac:dyDescent="0.25">
      <c r="A251" s="2">
        <f t="shared" si="39"/>
        <v>-20</v>
      </c>
      <c r="B251" s="5" t="s">
        <v>105</v>
      </c>
      <c r="C251" s="7"/>
      <c r="D251" s="7">
        <v>20</v>
      </c>
      <c r="E251" s="7"/>
      <c r="F251" s="7"/>
      <c r="G251" s="7"/>
      <c r="H251" s="7"/>
      <c r="I251" s="7"/>
      <c r="J251" s="7"/>
      <c r="K251" s="7"/>
      <c r="L251" s="7">
        <f t="shared" si="36"/>
        <v>20</v>
      </c>
      <c r="M251" s="7">
        <v>20</v>
      </c>
      <c r="N251" s="7">
        <f t="shared" si="32"/>
        <v>-20</v>
      </c>
      <c r="O251" t="s">
        <v>236</v>
      </c>
    </row>
    <row r="252" spans="1:15" ht="15.75" x14ac:dyDescent="0.25">
      <c r="A252" s="2">
        <f t="shared" si="39"/>
        <v>-8</v>
      </c>
      <c r="B252" s="5" t="s">
        <v>54</v>
      </c>
      <c r="C252" s="7"/>
      <c r="D252" s="7"/>
      <c r="E252" s="7"/>
      <c r="F252" s="7"/>
      <c r="G252" s="7"/>
      <c r="H252" s="7"/>
      <c r="I252" s="7">
        <v>15</v>
      </c>
      <c r="J252" s="7"/>
      <c r="K252" s="7"/>
      <c r="L252" s="7">
        <f t="shared" si="36"/>
        <v>15</v>
      </c>
      <c r="M252" s="7"/>
      <c r="N252" s="7">
        <f t="shared" si="32"/>
        <v>-23</v>
      </c>
    </row>
    <row r="253" spans="1:15" ht="15.75" hidden="1" x14ac:dyDescent="0.25">
      <c r="A253" s="2">
        <f t="shared" si="39"/>
        <v>0</v>
      </c>
      <c r="B253" s="5" t="s">
        <v>107</v>
      </c>
      <c r="C253" s="7"/>
      <c r="D253" s="7"/>
      <c r="E253" s="7"/>
      <c r="F253" s="7"/>
      <c r="G253" s="7"/>
      <c r="H253" s="7"/>
      <c r="I253" s="7"/>
      <c r="J253" s="7"/>
      <c r="K253" s="7"/>
      <c r="L253" s="7">
        <f t="shared" si="36"/>
        <v>0</v>
      </c>
      <c r="M253" s="7"/>
      <c r="N253" s="7">
        <f t="shared" si="32"/>
        <v>0</v>
      </c>
    </row>
    <row r="254" spans="1:15" ht="15.75" x14ac:dyDescent="0.25">
      <c r="A254" s="2">
        <f t="shared" si="39"/>
        <v>0</v>
      </c>
      <c r="B254" s="5" t="s">
        <v>19</v>
      </c>
      <c r="C254" s="7"/>
      <c r="D254" s="7"/>
      <c r="E254" s="7"/>
      <c r="F254" s="7"/>
      <c r="G254" s="7">
        <v>36</v>
      </c>
      <c r="H254" s="7"/>
      <c r="I254" s="7"/>
      <c r="J254" s="7"/>
      <c r="K254" s="7"/>
      <c r="L254" s="7">
        <f t="shared" si="36"/>
        <v>36</v>
      </c>
      <c r="M254" s="7">
        <v>36</v>
      </c>
      <c r="N254" s="7">
        <f t="shared" si="32"/>
        <v>0</v>
      </c>
      <c r="O254" t="s">
        <v>228</v>
      </c>
    </row>
    <row r="255" spans="1:15" ht="15.75" hidden="1" x14ac:dyDescent="0.25">
      <c r="A255" s="2">
        <f t="shared" si="39"/>
        <v>0</v>
      </c>
      <c r="B255" s="5" t="s">
        <v>138</v>
      </c>
      <c r="C255" s="7"/>
      <c r="D255" s="7"/>
      <c r="E255" s="7"/>
      <c r="F255" s="7"/>
      <c r="G255" s="7"/>
      <c r="H255" s="7"/>
      <c r="I255" s="7"/>
      <c r="J255" s="7"/>
      <c r="K255" s="7"/>
      <c r="L255" s="7">
        <f t="shared" si="36"/>
        <v>0</v>
      </c>
      <c r="M255" s="7"/>
      <c r="N255" s="7">
        <f t="shared" si="32"/>
        <v>0</v>
      </c>
    </row>
    <row r="256" spans="1:15" ht="15.75" x14ac:dyDescent="0.25">
      <c r="A256" s="2">
        <f t="shared" si="39"/>
        <v>7</v>
      </c>
      <c r="B256" s="5" t="s">
        <v>136</v>
      </c>
      <c r="C256" s="7"/>
      <c r="D256" s="7"/>
      <c r="E256" s="7"/>
      <c r="F256" s="7"/>
      <c r="G256" s="7"/>
      <c r="H256" s="7"/>
      <c r="I256" s="7"/>
      <c r="J256" s="7"/>
      <c r="K256" s="7"/>
      <c r="L256" s="7">
        <f>SUM(C256:K256)</f>
        <v>0</v>
      </c>
      <c r="M256" s="7"/>
      <c r="N256" s="8">
        <f t="shared" si="32"/>
        <v>7</v>
      </c>
    </row>
    <row r="257" spans="1:15" ht="15.75" hidden="1" x14ac:dyDescent="0.25">
      <c r="A257" s="2">
        <f t="shared" si="39"/>
        <v>0</v>
      </c>
      <c r="B257" s="5" t="s">
        <v>108</v>
      </c>
      <c r="C257" s="7"/>
      <c r="D257" s="7"/>
      <c r="E257" s="7"/>
      <c r="F257" s="7"/>
      <c r="G257" s="7"/>
      <c r="H257" s="7"/>
      <c r="I257" s="7"/>
      <c r="J257" s="7"/>
      <c r="K257" s="7"/>
      <c r="L257" s="7">
        <f t="shared" ref="L257:L266" si="40">SUM(C257:K257)</f>
        <v>0</v>
      </c>
      <c r="M257" s="7"/>
      <c r="N257" s="7">
        <f t="shared" si="32"/>
        <v>0</v>
      </c>
    </row>
    <row r="258" spans="1:15" ht="15.75" hidden="1" x14ac:dyDescent="0.25">
      <c r="A258" s="2">
        <f t="shared" si="39"/>
        <v>0</v>
      </c>
      <c r="B258" s="5" t="s">
        <v>95</v>
      </c>
      <c r="C258" s="6"/>
      <c r="D258" s="7"/>
      <c r="E258" s="6"/>
      <c r="F258" s="7"/>
      <c r="G258" s="7"/>
      <c r="H258" s="7"/>
      <c r="I258" s="7"/>
      <c r="J258" s="7"/>
      <c r="K258" s="7"/>
      <c r="L258" s="7">
        <f t="shared" si="40"/>
        <v>0</v>
      </c>
      <c r="M258" s="7"/>
      <c r="N258" s="7">
        <f t="shared" si="32"/>
        <v>0</v>
      </c>
    </row>
    <row r="259" spans="1:15" ht="15.75" hidden="1" x14ac:dyDescent="0.25">
      <c r="A259" s="2">
        <f t="shared" si="39"/>
        <v>0</v>
      </c>
      <c r="B259" s="5" t="s">
        <v>36</v>
      </c>
      <c r="C259" s="6"/>
      <c r="D259" s="7"/>
      <c r="E259" s="6"/>
      <c r="F259" s="7"/>
      <c r="G259" s="7"/>
      <c r="H259" s="7"/>
      <c r="I259" s="7"/>
      <c r="J259" s="7"/>
      <c r="K259" s="7"/>
      <c r="L259" s="7">
        <f t="shared" si="40"/>
        <v>0</v>
      </c>
      <c r="M259" s="7"/>
      <c r="N259" s="7">
        <f t="shared" si="32"/>
        <v>0</v>
      </c>
    </row>
    <row r="260" spans="1:15" ht="15.75" x14ac:dyDescent="0.25">
      <c r="A260" s="2">
        <f t="shared" si="39"/>
        <v>55.4</v>
      </c>
      <c r="B260" s="5" t="s">
        <v>185</v>
      </c>
      <c r="C260" s="7">
        <v>55.4</v>
      </c>
      <c r="D260" s="7"/>
      <c r="E260" s="6"/>
      <c r="F260" s="7"/>
      <c r="G260" s="7"/>
      <c r="H260" s="7"/>
      <c r="I260" s="7"/>
      <c r="J260" s="7"/>
      <c r="K260" s="7"/>
      <c r="L260" s="7">
        <f t="shared" si="40"/>
        <v>55.4</v>
      </c>
      <c r="M260" s="7"/>
      <c r="N260" s="7">
        <f t="shared" si="32"/>
        <v>0</v>
      </c>
    </row>
    <row r="261" spans="1:15" ht="15.75" hidden="1" x14ac:dyDescent="0.25">
      <c r="A261" s="2">
        <f t="shared" si="39"/>
        <v>0</v>
      </c>
      <c r="B261" s="5" t="s">
        <v>111</v>
      </c>
      <c r="C261" s="6"/>
      <c r="D261" s="7"/>
      <c r="E261" s="6"/>
      <c r="F261" s="7"/>
      <c r="G261" s="7"/>
      <c r="H261" s="7"/>
      <c r="I261" s="7"/>
      <c r="J261" s="7"/>
      <c r="K261" s="7"/>
      <c r="L261" s="7">
        <f t="shared" si="40"/>
        <v>0</v>
      </c>
      <c r="M261" s="7"/>
      <c r="N261" s="7">
        <f t="shared" si="32"/>
        <v>0</v>
      </c>
    </row>
    <row r="262" spans="1:15" ht="15.75" hidden="1" x14ac:dyDescent="0.25">
      <c r="A262" s="2">
        <f t="shared" si="39"/>
        <v>0</v>
      </c>
      <c r="B262" s="5" t="s">
        <v>110</v>
      </c>
      <c r="C262" s="6"/>
      <c r="D262" s="7"/>
      <c r="E262" s="7"/>
      <c r="F262" s="7"/>
      <c r="G262" s="7"/>
      <c r="H262" s="7"/>
      <c r="I262" s="7"/>
      <c r="J262" s="7"/>
      <c r="K262" s="7"/>
      <c r="L262" s="7">
        <f t="shared" si="40"/>
        <v>0</v>
      </c>
      <c r="M262" s="7"/>
      <c r="N262" s="7">
        <f t="shared" si="32"/>
        <v>0</v>
      </c>
    </row>
    <row r="263" spans="1:15" ht="15.75" hidden="1" x14ac:dyDescent="0.25">
      <c r="A263" s="2">
        <f t="shared" si="39"/>
        <v>0</v>
      </c>
      <c r="B263" s="5" t="s">
        <v>113</v>
      </c>
      <c r="C263" s="6"/>
      <c r="D263" s="7"/>
      <c r="E263" s="7"/>
      <c r="F263" s="7"/>
      <c r="G263" s="7"/>
      <c r="H263" s="7"/>
      <c r="I263" s="7"/>
      <c r="J263" s="7"/>
      <c r="K263" s="7"/>
      <c r="L263" s="7">
        <f t="shared" si="40"/>
        <v>0</v>
      </c>
      <c r="M263" s="7"/>
      <c r="N263" s="7">
        <f t="shared" si="32"/>
        <v>0</v>
      </c>
    </row>
    <row r="264" spans="1:15" ht="15.75" x14ac:dyDescent="0.25">
      <c r="A264" s="2">
        <f t="shared" si="39"/>
        <v>0</v>
      </c>
      <c r="B264" s="5" t="s">
        <v>114</v>
      </c>
      <c r="C264" s="6"/>
      <c r="D264" s="7"/>
      <c r="E264" s="7"/>
      <c r="F264" s="7"/>
      <c r="G264" s="7"/>
      <c r="H264" s="7"/>
      <c r="I264" s="7"/>
      <c r="J264" s="7"/>
      <c r="K264" s="7">
        <v>54</v>
      </c>
      <c r="L264" s="7">
        <f t="shared" si="40"/>
        <v>54</v>
      </c>
      <c r="M264" s="7"/>
      <c r="N264" s="7">
        <f t="shared" si="32"/>
        <v>-54</v>
      </c>
    </row>
    <row r="265" spans="1:15" ht="15.75" x14ac:dyDescent="0.25">
      <c r="A265" s="2">
        <f t="shared" si="39"/>
        <v>-22.4</v>
      </c>
      <c r="B265" s="5" t="s">
        <v>115</v>
      </c>
      <c r="C265" s="6"/>
      <c r="D265" s="7"/>
      <c r="E265" s="7"/>
      <c r="F265" s="7"/>
      <c r="G265" s="7"/>
      <c r="H265" s="7"/>
      <c r="I265" s="7"/>
      <c r="J265" s="7"/>
      <c r="K265" s="7"/>
      <c r="L265" s="7">
        <f t="shared" si="40"/>
        <v>0</v>
      </c>
      <c r="M265" s="7"/>
      <c r="N265" s="7">
        <f t="shared" si="32"/>
        <v>-22.4</v>
      </c>
    </row>
    <row r="266" spans="1:15" ht="15.75" x14ac:dyDescent="0.25">
      <c r="A266" s="2">
        <f t="shared" si="39"/>
        <v>0</v>
      </c>
      <c r="B266" s="5" t="s">
        <v>116</v>
      </c>
      <c r="C266" s="6"/>
      <c r="D266" s="7"/>
      <c r="E266" s="7">
        <v>31.5</v>
      </c>
      <c r="F266" s="7"/>
      <c r="G266" s="7"/>
      <c r="H266" s="7"/>
      <c r="I266" s="7"/>
      <c r="J266" s="7"/>
      <c r="K266" s="7"/>
      <c r="L266" s="7">
        <f t="shared" si="40"/>
        <v>31.5</v>
      </c>
      <c r="M266" s="7">
        <v>31.5</v>
      </c>
      <c r="N266" s="7">
        <f t="shared" si="32"/>
        <v>0</v>
      </c>
      <c r="O266" t="s">
        <v>229</v>
      </c>
    </row>
    <row r="267" spans="1:15" ht="15.75" hidden="1" x14ac:dyDescent="0.25">
      <c r="A267" s="2">
        <f t="shared" si="39"/>
        <v>0</v>
      </c>
      <c r="B267" s="5" t="s">
        <v>117</v>
      </c>
      <c r="C267" s="7"/>
      <c r="D267" s="7"/>
      <c r="E267" s="7"/>
      <c r="F267" s="7"/>
      <c r="G267" s="7"/>
      <c r="H267" s="7"/>
      <c r="I267" s="7"/>
      <c r="J267" s="7"/>
      <c r="K267" s="7"/>
      <c r="L267" s="7">
        <f>SUM(C267:K267)</f>
        <v>0</v>
      </c>
      <c r="M267" s="7"/>
      <c r="N267" s="7">
        <f t="shared" si="32"/>
        <v>0</v>
      </c>
    </row>
    <row r="268" spans="1:15" ht="15.75" hidden="1" x14ac:dyDescent="0.25">
      <c r="A268" s="2">
        <f t="shared" si="39"/>
        <v>0</v>
      </c>
      <c r="B268" s="5" t="s">
        <v>118</v>
      </c>
      <c r="C268" s="7"/>
      <c r="D268" s="7"/>
      <c r="E268" s="7"/>
      <c r="F268" s="7"/>
      <c r="G268" s="7"/>
      <c r="H268" s="7"/>
      <c r="I268" s="7"/>
      <c r="J268" s="7"/>
      <c r="K268" s="7"/>
      <c r="L268" s="7">
        <f t="shared" ref="L268:L272" si="41">SUM(C268:K268)</f>
        <v>0</v>
      </c>
      <c r="M268" s="7"/>
      <c r="N268" s="7">
        <f t="shared" si="32"/>
        <v>0</v>
      </c>
    </row>
    <row r="269" spans="1:15" ht="15.75" x14ac:dyDescent="0.25">
      <c r="A269" s="2">
        <f t="shared" si="39"/>
        <v>0</v>
      </c>
      <c r="B269" s="5" t="s">
        <v>233</v>
      </c>
      <c r="C269" s="7"/>
      <c r="D269" s="7"/>
      <c r="E269" s="7"/>
      <c r="F269" s="7"/>
      <c r="G269" s="7"/>
      <c r="H269" s="7"/>
      <c r="I269" s="7"/>
      <c r="J269" s="7"/>
      <c r="K269" s="7">
        <v>250</v>
      </c>
      <c r="L269" s="7">
        <f t="shared" si="41"/>
        <v>250</v>
      </c>
      <c r="M269" s="7"/>
      <c r="N269" s="7">
        <f t="shared" si="32"/>
        <v>-250</v>
      </c>
    </row>
    <row r="270" spans="1:15" ht="15.75" hidden="1" x14ac:dyDescent="0.25">
      <c r="A270" s="2">
        <f t="shared" si="39"/>
        <v>0</v>
      </c>
      <c r="B270" s="5" t="s">
        <v>135</v>
      </c>
      <c r="C270" s="7"/>
      <c r="D270" s="7"/>
      <c r="E270" s="7"/>
      <c r="F270" s="7"/>
      <c r="G270" s="7"/>
      <c r="H270" s="7"/>
      <c r="I270" s="7"/>
      <c r="J270" s="7"/>
      <c r="K270" s="7"/>
      <c r="L270" s="7">
        <f t="shared" si="41"/>
        <v>0</v>
      </c>
      <c r="M270" s="7"/>
      <c r="N270" s="7">
        <f t="shared" si="32"/>
        <v>0</v>
      </c>
    </row>
    <row r="271" spans="1:15" ht="15.75" hidden="1" x14ac:dyDescent="0.25">
      <c r="A271" s="2">
        <f t="shared" si="39"/>
        <v>0</v>
      </c>
      <c r="B271" s="5" t="s">
        <v>120</v>
      </c>
      <c r="C271" s="7"/>
      <c r="D271" s="7"/>
      <c r="E271" s="7"/>
      <c r="F271" s="7"/>
      <c r="G271" s="7"/>
      <c r="H271" s="7"/>
      <c r="I271" s="7"/>
      <c r="J271" s="7"/>
      <c r="K271" s="7"/>
      <c r="L271" s="7">
        <f t="shared" si="41"/>
        <v>0</v>
      </c>
      <c r="M271" s="7"/>
      <c r="N271" s="7">
        <f t="shared" si="32"/>
        <v>0</v>
      </c>
    </row>
    <row r="272" spans="1:15" ht="15.75" x14ac:dyDescent="0.25">
      <c r="A272" s="2">
        <f t="shared" si="39"/>
        <v>72</v>
      </c>
      <c r="B272" s="5" t="s">
        <v>121</v>
      </c>
      <c r="C272" s="7"/>
      <c r="D272" s="7"/>
      <c r="E272" s="7"/>
      <c r="F272" s="7"/>
      <c r="G272" s="7">
        <v>72</v>
      </c>
      <c r="H272" s="7"/>
      <c r="I272" s="7"/>
      <c r="J272" s="7"/>
      <c r="K272" s="7"/>
      <c r="L272" s="7">
        <f t="shared" si="41"/>
        <v>72</v>
      </c>
      <c r="M272" s="7"/>
      <c r="N272" s="7">
        <f t="shared" si="32"/>
        <v>0</v>
      </c>
    </row>
    <row r="273" spans="1:14" ht="15.75" x14ac:dyDescent="0.25">
      <c r="A273" s="2">
        <f>SUM(A208:A272)</f>
        <v>-3124.7200000000003</v>
      </c>
      <c r="B273" s="6" t="s">
        <v>104</v>
      </c>
      <c r="C273" s="7">
        <f t="shared" ref="C273:I273" si="42">SUM(C208:C271)</f>
        <v>296.59999999999997</v>
      </c>
      <c r="D273" s="7">
        <f t="shared" si="42"/>
        <v>452.4</v>
      </c>
      <c r="E273" s="7">
        <f t="shared" si="42"/>
        <v>198.6</v>
      </c>
      <c r="F273" s="7">
        <f t="shared" si="42"/>
        <v>244.4</v>
      </c>
      <c r="G273" s="7">
        <f t="shared" si="42"/>
        <v>170.6</v>
      </c>
      <c r="H273" s="7">
        <f t="shared" si="42"/>
        <v>243.7</v>
      </c>
      <c r="I273" s="7">
        <f t="shared" si="42"/>
        <v>298.60000000000002</v>
      </c>
      <c r="J273" s="7">
        <f>SUM(J208:J271)</f>
        <v>10</v>
      </c>
      <c r="K273" s="7">
        <f>SUM(K208:K272)</f>
        <v>340</v>
      </c>
      <c r="L273" s="7">
        <f>SUM(L208:L272)</f>
        <v>2326.9</v>
      </c>
      <c r="M273" s="15">
        <f>SUM(M208:M272)</f>
        <v>1861</v>
      </c>
      <c r="N273" s="7">
        <f>SUM(N208:N272)</f>
        <v>-3590.6200000000003</v>
      </c>
    </row>
    <row r="276" spans="1:14" ht="15.75" x14ac:dyDescent="0.25">
      <c r="A276" s="57" t="s">
        <v>210</v>
      </c>
      <c r="B276" s="57" t="s">
        <v>75</v>
      </c>
      <c r="C276" s="27">
        <v>26</v>
      </c>
      <c r="D276" s="27">
        <v>27</v>
      </c>
      <c r="E276" s="27">
        <v>28</v>
      </c>
      <c r="F276" s="27">
        <v>29</v>
      </c>
      <c r="G276" s="27">
        <v>30</v>
      </c>
      <c r="H276" s="27">
        <v>31</v>
      </c>
      <c r="I276" s="27">
        <v>32</v>
      </c>
      <c r="J276" s="27">
        <v>33</v>
      </c>
      <c r="K276" s="27"/>
      <c r="L276" s="57" t="s">
        <v>68</v>
      </c>
      <c r="M276" s="61" t="s">
        <v>137</v>
      </c>
      <c r="N276" s="57" t="s">
        <v>237</v>
      </c>
    </row>
    <row r="277" spans="1:14" ht="15.75" x14ac:dyDescent="0.25">
      <c r="A277" s="58"/>
      <c r="B277" s="58"/>
      <c r="C277" s="26">
        <v>3</v>
      </c>
      <c r="D277" s="26">
        <v>6</v>
      </c>
      <c r="E277" s="26">
        <v>10</v>
      </c>
      <c r="F277" s="26">
        <v>13</v>
      </c>
      <c r="G277" s="26">
        <v>17</v>
      </c>
      <c r="H277" s="26">
        <v>20</v>
      </c>
      <c r="I277" s="26">
        <v>24</v>
      </c>
      <c r="J277" s="26">
        <v>27</v>
      </c>
      <c r="K277" s="6"/>
      <c r="L277" s="58"/>
      <c r="M277" s="62"/>
      <c r="N277" s="58"/>
    </row>
    <row r="278" spans="1:14" ht="15.75" hidden="1" x14ac:dyDescent="0.25">
      <c r="A278" s="2">
        <f>N208</f>
        <v>0</v>
      </c>
      <c r="B278" s="5" t="s">
        <v>123</v>
      </c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7">
        <f>M278+A278-L278</f>
        <v>0</v>
      </c>
    </row>
    <row r="279" spans="1:14" ht="15.75" x14ac:dyDescent="0.25">
      <c r="A279" s="2">
        <f t="shared" ref="A279:A313" si="43">N209</f>
        <v>-15</v>
      </c>
      <c r="B279" s="5" t="s">
        <v>125</v>
      </c>
      <c r="C279" s="6"/>
      <c r="D279" s="7"/>
      <c r="E279" s="6"/>
      <c r="F279" s="6"/>
      <c r="G279" s="6"/>
      <c r="H279" s="6"/>
      <c r="I279" s="7"/>
      <c r="J279" s="6"/>
      <c r="K279" s="7"/>
      <c r="L279" s="7">
        <f>SUM(C279:K279)</f>
        <v>0</v>
      </c>
      <c r="M279" s="7"/>
      <c r="N279" s="7">
        <f t="shared" ref="N279:N343" si="44">M279+A279-L279</f>
        <v>-15</v>
      </c>
    </row>
    <row r="280" spans="1:14" ht="15.75" x14ac:dyDescent="0.25">
      <c r="A280" s="2">
        <f t="shared" si="43"/>
        <v>-95</v>
      </c>
      <c r="B280" s="5" t="s">
        <v>194</v>
      </c>
      <c r="C280" s="7"/>
      <c r="D280" s="7"/>
      <c r="E280" s="7"/>
      <c r="F280" s="7"/>
      <c r="G280" s="7">
        <v>25</v>
      </c>
      <c r="H280" s="7"/>
      <c r="I280" s="7"/>
      <c r="J280" s="15"/>
      <c r="K280" s="7"/>
      <c r="L280" s="7">
        <f>SUM(C280:K280)</f>
        <v>25</v>
      </c>
      <c r="M280" s="7"/>
      <c r="N280" s="7">
        <f t="shared" si="44"/>
        <v>-120</v>
      </c>
    </row>
    <row r="281" spans="1:14" ht="15.75" x14ac:dyDescent="0.25">
      <c r="A281" s="2">
        <f t="shared" si="43"/>
        <v>-32</v>
      </c>
      <c r="B281" s="5" t="s">
        <v>2</v>
      </c>
      <c r="C281" s="6"/>
      <c r="D281" s="7"/>
      <c r="E281" s="6"/>
      <c r="F281" s="7"/>
      <c r="G281" s="6"/>
      <c r="H281" s="7"/>
      <c r="I281" s="6"/>
      <c r="J281" s="6"/>
      <c r="K281" s="7"/>
      <c r="L281" s="7">
        <f>SUM(C281:K281)</f>
        <v>0</v>
      </c>
      <c r="M281" s="7"/>
      <c r="N281" s="7">
        <f t="shared" si="44"/>
        <v>-32</v>
      </c>
    </row>
    <row r="282" spans="1:14" ht="15.75" x14ac:dyDescent="0.25">
      <c r="A282" s="2">
        <f t="shared" si="43"/>
        <v>-25.8</v>
      </c>
      <c r="B282" s="5" t="s">
        <v>129</v>
      </c>
      <c r="C282" s="6"/>
      <c r="D282" s="7"/>
      <c r="E282" s="6"/>
      <c r="F282" s="6"/>
      <c r="G282" s="6"/>
      <c r="H282" s="7"/>
      <c r="I282" s="6"/>
      <c r="J282" s="6"/>
      <c r="K282" s="7"/>
      <c r="L282" s="7">
        <f t="shared" ref="L282:L301" si="45">SUM(C282:K282)</f>
        <v>0</v>
      </c>
      <c r="M282" s="7"/>
      <c r="N282" s="7">
        <f t="shared" si="44"/>
        <v>-25.8</v>
      </c>
    </row>
    <row r="283" spans="1:14" ht="15.75" x14ac:dyDescent="0.25">
      <c r="A283" s="2">
        <f t="shared" si="43"/>
        <v>-15</v>
      </c>
      <c r="B283" s="5" t="s">
        <v>195</v>
      </c>
      <c r="C283" s="6"/>
      <c r="D283" s="7"/>
      <c r="E283" s="6"/>
      <c r="F283" s="6"/>
      <c r="G283" s="6"/>
      <c r="H283" s="7"/>
      <c r="I283" s="7"/>
      <c r="J283" s="6"/>
      <c r="K283" s="7"/>
      <c r="L283" s="7">
        <f t="shared" si="45"/>
        <v>0</v>
      </c>
      <c r="M283" s="7"/>
      <c r="N283" s="7">
        <f t="shared" si="44"/>
        <v>-15</v>
      </c>
    </row>
    <row r="284" spans="1:14" ht="15.75" x14ac:dyDescent="0.25">
      <c r="A284" s="2">
        <f t="shared" si="43"/>
        <v>-36</v>
      </c>
      <c r="B284" s="5" t="s">
        <v>128</v>
      </c>
      <c r="C284" s="7"/>
      <c r="D284" s="7"/>
      <c r="E284" s="7"/>
      <c r="F284" s="6"/>
      <c r="G284" s="6"/>
      <c r="H284" s="7"/>
      <c r="I284" s="7"/>
      <c r="J284" s="7">
        <v>20</v>
      </c>
      <c r="K284" s="7"/>
      <c r="L284" s="7">
        <f t="shared" si="45"/>
        <v>20</v>
      </c>
      <c r="M284" s="7"/>
      <c r="N284" s="7">
        <f t="shared" si="44"/>
        <v>-56</v>
      </c>
    </row>
    <row r="285" spans="1:14" ht="15.75" x14ac:dyDescent="0.25">
      <c r="A285" s="2">
        <f t="shared" si="43"/>
        <v>-285.2</v>
      </c>
      <c r="B285" s="5" t="s">
        <v>127</v>
      </c>
      <c r="C285" s="6"/>
      <c r="D285" s="7">
        <v>25</v>
      </c>
      <c r="E285" s="7">
        <v>25</v>
      </c>
      <c r="F285" s="6"/>
      <c r="G285" s="6"/>
      <c r="H285" s="7"/>
      <c r="I285" s="6"/>
      <c r="J285" s="7"/>
      <c r="K285" s="7"/>
      <c r="L285" s="7">
        <f t="shared" si="45"/>
        <v>50</v>
      </c>
      <c r="M285" s="7"/>
      <c r="N285" s="7">
        <f t="shared" si="44"/>
        <v>-335.2</v>
      </c>
    </row>
    <row r="286" spans="1:14" ht="15.75" hidden="1" x14ac:dyDescent="0.25">
      <c r="A286" s="2">
        <f t="shared" si="43"/>
        <v>0</v>
      </c>
      <c r="B286" s="5" t="s">
        <v>126</v>
      </c>
      <c r="C286" s="6"/>
      <c r="D286" s="7"/>
      <c r="E286" s="6"/>
      <c r="F286" s="6"/>
      <c r="G286" s="6"/>
      <c r="H286" s="7"/>
      <c r="I286" s="6"/>
      <c r="J286" s="6"/>
      <c r="K286" s="7"/>
      <c r="L286" s="7">
        <f t="shared" si="45"/>
        <v>0</v>
      </c>
      <c r="M286" s="7"/>
      <c r="N286" s="7">
        <f t="shared" si="44"/>
        <v>0</v>
      </c>
    </row>
    <row r="287" spans="1:14" ht="15.75" x14ac:dyDescent="0.25">
      <c r="A287" s="2">
        <f t="shared" si="43"/>
        <v>-503.20000000000005</v>
      </c>
      <c r="B287" s="5" t="s">
        <v>130</v>
      </c>
      <c r="C287" s="7"/>
      <c r="D287" s="7"/>
      <c r="E287" s="7"/>
      <c r="F287" s="7"/>
      <c r="G287" s="7"/>
      <c r="H287" s="7"/>
      <c r="I287" s="6"/>
      <c r="J287" s="7"/>
      <c r="K287" s="7"/>
      <c r="L287" s="7">
        <f t="shared" si="45"/>
        <v>0</v>
      </c>
      <c r="M287" s="7"/>
      <c r="N287" s="7">
        <f t="shared" si="44"/>
        <v>-503.20000000000005</v>
      </c>
    </row>
    <row r="288" spans="1:14" ht="15.75" x14ac:dyDescent="0.25">
      <c r="A288" s="2">
        <f t="shared" si="43"/>
        <v>-71.13</v>
      </c>
      <c r="B288" s="5" t="s">
        <v>131</v>
      </c>
      <c r="C288" s="7"/>
      <c r="D288" s="7"/>
      <c r="E288" s="7"/>
      <c r="F288" s="7"/>
      <c r="G288" s="7"/>
      <c r="H288" s="7"/>
      <c r="I288" s="7"/>
      <c r="J288" s="6"/>
      <c r="K288" s="7"/>
      <c r="L288" s="7">
        <f t="shared" si="45"/>
        <v>0</v>
      </c>
      <c r="M288" s="7"/>
      <c r="N288" s="7">
        <f t="shared" si="44"/>
        <v>-71.13</v>
      </c>
    </row>
    <row r="289" spans="1:15" ht="15.75" x14ac:dyDescent="0.25">
      <c r="A289" s="2">
        <f t="shared" si="43"/>
        <v>-45</v>
      </c>
      <c r="B289" s="5" t="s">
        <v>132</v>
      </c>
      <c r="C289" s="7">
        <v>25</v>
      </c>
      <c r="D289" s="7"/>
      <c r="E289" s="7"/>
      <c r="F289" s="7"/>
      <c r="G289" s="7"/>
      <c r="H289" s="7"/>
      <c r="I289" s="7"/>
      <c r="J289" s="7">
        <v>20</v>
      </c>
      <c r="K289" s="7"/>
      <c r="L289" s="7">
        <f t="shared" si="45"/>
        <v>45</v>
      </c>
      <c r="M289" s="7"/>
      <c r="N289" s="7">
        <f t="shared" si="44"/>
        <v>-90</v>
      </c>
    </row>
    <row r="290" spans="1:15" ht="15.75" hidden="1" x14ac:dyDescent="0.25">
      <c r="A290" s="2">
        <f t="shared" si="43"/>
        <v>0</v>
      </c>
      <c r="B290" s="5" t="s">
        <v>9</v>
      </c>
      <c r="C290" s="6"/>
      <c r="D290" s="7"/>
      <c r="E290" s="7"/>
      <c r="F290" s="7"/>
      <c r="G290" s="7"/>
      <c r="H290" s="6"/>
      <c r="I290" s="7"/>
      <c r="J290" s="6"/>
      <c r="K290" s="7"/>
      <c r="L290" s="7">
        <f t="shared" si="45"/>
        <v>0</v>
      </c>
      <c r="M290" s="7"/>
      <c r="N290" s="7">
        <f t="shared" si="44"/>
        <v>0</v>
      </c>
    </row>
    <row r="291" spans="1:15" ht="15.75" x14ac:dyDescent="0.25">
      <c r="A291" s="2">
        <f t="shared" si="43"/>
        <v>-8.5</v>
      </c>
      <c r="B291" s="5" t="s">
        <v>133</v>
      </c>
      <c r="C291" s="7"/>
      <c r="D291" s="7"/>
      <c r="E291" s="7"/>
      <c r="F291" s="7">
        <v>75</v>
      </c>
      <c r="G291" s="7"/>
      <c r="H291" s="7">
        <v>25</v>
      </c>
      <c r="I291" s="7"/>
      <c r="J291" s="7"/>
      <c r="K291" s="7"/>
      <c r="L291" s="7">
        <f t="shared" si="45"/>
        <v>100</v>
      </c>
      <c r="M291" s="8"/>
      <c r="N291" s="7">
        <f t="shared" si="44"/>
        <v>-108.5</v>
      </c>
    </row>
    <row r="292" spans="1:15" ht="15.75" x14ac:dyDescent="0.25">
      <c r="A292" s="2">
        <f t="shared" si="43"/>
        <v>-88.4</v>
      </c>
      <c r="B292" s="5" t="s">
        <v>96</v>
      </c>
      <c r="C292" s="7"/>
      <c r="D292" s="7"/>
      <c r="E292" s="7"/>
      <c r="F292" s="7"/>
      <c r="G292" s="7"/>
      <c r="H292" s="7"/>
      <c r="I292" s="7"/>
      <c r="J292" s="7">
        <v>40</v>
      </c>
      <c r="K292" s="7"/>
      <c r="L292" s="7">
        <f t="shared" si="45"/>
        <v>40</v>
      </c>
      <c r="M292" s="7"/>
      <c r="N292" s="7">
        <f t="shared" si="44"/>
        <v>-128.4</v>
      </c>
    </row>
    <row r="293" spans="1:15" ht="15.75" x14ac:dyDescent="0.25">
      <c r="A293" s="2">
        <f t="shared" si="43"/>
        <v>0</v>
      </c>
      <c r="B293" s="5" t="s">
        <v>134</v>
      </c>
      <c r="C293" s="7">
        <v>25</v>
      </c>
      <c r="D293" s="7"/>
      <c r="E293" s="6"/>
      <c r="F293" s="6"/>
      <c r="G293" s="6"/>
      <c r="H293" s="6"/>
      <c r="I293" s="7"/>
      <c r="J293" s="7">
        <v>20</v>
      </c>
      <c r="K293" s="7"/>
      <c r="L293" s="7">
        <f t="shared" si="45"/>
        <v>45</v>
      </c>
      <c r="M293" s="7">
        <v>25</v>
      </c>
      <c r="N293" s="7">
        <f t="shared" si="44"/>
        <v>-20</v>
      </c>
      <c r="O293" t="s">
        <v>256</v>
      </c>
    </row>
    <row r="294" spans="1:15" ht="15.75" x14ac:dyDescent="0.25">
      <c r="A294" s="2">
        <f t="shared" si="43"/>
        <v>26.1</v>
      </c>
      <c r="B294" s="5" t="s">
        <v>99</v>
      </c>
      <c r="C294" s="7"/>
      <c r="D294" s="6"/>
      <c r="E294" s="6"/>
      <c r="F294" s="6"/>
      <c r="G294" s="6"/>
      <c r="H294" s="6"/>
      <c r="I294" s="6"/>
      <c r="J294" s="6"/>
      <c r="K294" s="7"/>
      <c r="L294" s="7">
        <f t="shared" si="45"/>
        <v>0</v>
      </c>
      <c r="M294" s="7"/>
      <c r="N294" s="7">
        <f t="shared" si="44"/>
        <v>26.1</v>
      </c>
    </row>
    <row r="295" spans="1:15" ht="15.75" x14ac:dyDescent="0.25">
      <c r="A295" s="2">
        <f t="shared" si="43"/>
        <v>-10</v>
      </c>
      <c r="B295" s="5" t="s">
        <v>21</v>
      </c>
      <c r="C295" s="7"/>
      <c r="D295" s="7"/>
      <c r="E295" s="7"/>
      <c r="F295" s="7"/>
      <c r="G295" s="7"/>
      <c r="H295" s="7"/>
      <c r="I295" s="7"/>
      <c r="J295" s="7"/>
      <c r="K295" s="7"/>
      <c r="L295" s="7">
        <f t="shared" si="45"/>
        <v>0</v>
      </c>
      <c r="M295" s="7">
        <v>10</v>
      </c>
      <c r="N295" s="7">
        <f t="shared" si="44"/>
        <v>0</v>
      </c>
      <c r="O295" t="s">
        <v>239</v>
      </c>
    </row>
    <row r="296" spans="1:15" ht="15.75" x14ac:dyDescent="0.25">
      <c r="A296" s="2">
        <f t="shared" si="43"/>
        <v>0</v>
      </c>
      <c r="B296" s="5" t="s">
        <v>47</v>
      </c>
      <c r="C296" s="7"/>
      <c r="D296" s="7"/>
      <c r="E296" s="7"/>
      <c r="F296" s="7"/>
      <c r="G296" s="7"/>
      <c r="H296" s="7"/>
      <c r="I296" s="7">
        <v>36</v>
      </c>
      <c r="J296" s="7"/>
      <c r="K296" s="7"/>
      <c r="L296" s="7">
        <f t="shared" si="45"/>
        <v>36</v>
      </c>
      <c r="M296" s="7">
        <v>36</v>
      </c>
      <c r="N296" s="7">
        <f t="shared" si="44"/>
        <v>0</v>
      </c>
      <c r="O296" t="s">
        <v>251</v>
      </c>
    </row>
    <row r="297" spans="1:15" ht="15.75" x14ac:dyDescent="0.25">
      <c r="A297" s="2">
        <f t="shared" si="43"/>
        <v>-525.99</v>
      </c>
      <c r="B297" s="5" t="s">
        <v>53</v>
      </c>
      <c r="C297" s="7"/>
      <c r="D297" s="7"/>
      <c r="E297" s="7"/>
      <c r="F297" s="7"/>
      <c r="G297" s="7"/>
      <c r="H297" s="7"/>
      <c r="I297" s="7"/>
      <c r="J297" s="7"/>
      <c r="K297" s="7"/>
      <c r="L297" s="7">
        <f t="shared" si="45"/>
        <v>0</v>
      </c>
      <c r="M297" s="7"/>
      <c r="N297" s="7">
        <f t="shared" si="44"/>
        <v>-525.99</v>
      </c>
    </row>
    <row r="298" spans="1:15" ht="15.75" x14ac:dyDescent="0.25">
      <c r="A298" s="2">
        <f t="shared" si="43"/>
        <v>-382.00000000000006</v>
      </c>
      <c r="B298" s="5" t="s">
        <v>33</v>
      </c>
      <c r="C298" s="7">
        <v>108</v>
      </c>
      <c r="D298" s="7">
        <v>25</v>
      </c>
      <c r="E298" s="7"/>
      <c r="F298" s="7"/>
      <c r="G298" s="7"/>
      <c r="H298" s="7">
        <v>12.6</v>
      </c>
      <c r="I298" s="7"/>
      <c r="J298" s="7"/>
      <c r="K298" s="7"/>
      <c r="L298" s="7">
        <f t="shared" si="45"/>
        <v>145.6</v>
      </c>
      <c r="M298" s="7">
        <v>108</v>
      </c>
      <c r="N298" s="7">
        <f t="shared" si="44"/>
        <v>-419.6</v>
      </c>
      <c r="O298" t="s">
        <v>249</v>
      </c>
    </row>
    <row r="299" spans="1:15" ht="15.75" hidden="1" x14ac:dyDescent="0.25">
      <c r="A299" s="2">
        <f t="shared" si="43"/>
        <v>0</v>
      </c>
      <c r="B299" s="5" t="s">
        <v>87</v>
      </c>
      <c r="C299" s="7"/>
      <c r="D299" s="7"/>
      <c r="E299" s="7"/>
      <c r="F299" s="7"/>
      <c r="G299" s="7"/>
      <c r="H299" s="7"/>
      <c r="I299" s="7"/>
      <c r="J299" s="7"/>
      <c r="K299" s="7"/>
      <c r="L299" s="7">
        <f t="shared" si="45"/>
        <v>0</v>
      </c>
      <c r="M299" s="7"/>
      <c r="N299" s="7">
        <f t="shared" si="44"/>
        <v>0</v>
      </c>
    </row>
    <row r="300" spans="1:15" ht="15.75" hidden="1" x14ac:dyDescent="0.25">
      <c r="A300" s="2">
        <f t="shared" si="43"/>
        <v>0</v>
      </c>
      <c r="B300" s="5" t="s">
        <v>23</v>
      </c>
      <c r="C300" s="7"/>
      <c r="D300" s="7"/>
      <c r="E300" s="7"/>
      <c r="F300" s="7"/>
      <c r="G300" s="7"/>
      <c r="H300" s="7"/>
      <c r="I300" s="7"/>
      <c r="J300" s="7"/>
      <c r="K300" s="7"/>
      <c r="L300" s="7">
        <f t="shared" si="45"/>
        <v>0</v>
      </c>
      <c r="M300" s="7"/>
      <c r="N300" s="7">
        <f t="shared" si="44"/>
        <v>0</v>
      </c>
    </row>
    <row r="301" spans="1:15" ht="15.75" hidden="1" x14ac:dyDescent="0.25">
      <c r="A301" s="2">
        <f t="shared" si="43"/>
        <v>0</v>
      </c>
      <c r="B301" s="5" t="s">
        <v>24</v>
      </c>
      <c r="C301" s="7"/>
      <c r="D301" s="7"/>
      <c r="E301" s="7"/>
      <c r="F301" s="7"/>
      <c r="G301" s="7"/>
      <c r="H301" s="7"/>
      <c r="I301" s="7"/>
      <c r="J301" s="7"/>
      <c r="K301" s="7"/>
      <c r="L301" s="7">
        <f t="shared" si="45"/>
        <v>0</v>
      </c>
      <c r="M301" s="7"/>
      <c r="N301" s="7">
        <f t="shared" si="44"/>
        <v>0</v>
      </c>
    </row>
    <row r="302" spans="1:15" ht="15.75" hidden="1" x14ac:dyDescent="0.25">
      <c r="A302" s="2">
        <f t="shared" si="43"/>
        <v>0</v>
      </c>
      <c r="B302" s="5" t="s">
        <v>51</v>
      </c>
      <c r="C302" s="7"/>
      <c r="D302" s="7"/>
      <c r="E302" s="7"/>
      <c r="F302" s="7"/>
      <c r="G302" s="7"/>
      <c r="H302" s="7"/>
      <c r="I302" s="7"/>
      <c r="J302" s="7"/>
      <c r="K302" s="7"/>
      <c r="L302" s="7">
        <f>SUM(C302:K302)</f>
        <v>0</v>
      </c>
      <c r="M302" s="7"/>
      <c r="N302" s="7">
        <f t="shared" si="44"/>
        <v>0</v>
      </c>
    </row>
    <row r="303" spans="1:15" ht="15.75" hidden="1" x14ac:dyDescent="0.25">
      <c r="A303" s="2">
        <f t="shared" si="43"/>
        <v>0</v>
      </c>
      <c r="B303" s="5" t="s">
        <v>25</v>
      </c>
      <c r="C303" s="7"/>
      <c r="D303" s="7"/>
      <c r="E303" s="7"/>
      <c r="F303" s="7"/>
      <c r="G303" s="7"/>
      <c r="H303" s="7"/>
      <c r="I303" s="7"/>
      <c r="J303" s="7"/>
      <c r="K303" s="7"/>
      <c r="L303" s="7">
        <f>SUM(C303:K303)</f>
        <v>0</v>
      </c>
      <c r="M303" s="7"/>
      <c r="N303" s="7">
        <f t="shared" si="44"/>
        <v>0</v>
      </c>
    </row>
    <row r="304" spans="1:15" ht="15.75" x14ac:dyDescent="0.25">
      <c r="A304" s="2">
        <f t="shared" si="43"/>
        <v>-89.2</v>
      </c>
      <c r="B304" s="5" t="s">
        <v>27</v>
      </c>
      <c r="C304" s="7"/>
      <c r="D304" s="7">
        <v>9.1</v>
      </c>
      <c r="E304" s="7"/>
      <c r="F304" s="7"/>
      <c r="G304" s="7"/>
      <c r="H304" s="7"/>
      <c r="I304" s="7"/>
      <c r="J304" s="7">
        <v>28.8</v>
      </c>
      <c r="K304" s="7"/>
      <c r="L304" s="7">
        <f>SUM(C304:K304)</f>
        <v>37.9</v>
      </c>
      <c r="M304" s="7">
        <v>100</v>
      </c>
      <c r="N304" s="7">
        <f t="shared" si="44"/>
        <v>-27.1</v>
      </c>
      <c r="O304" t="s">
        <v>264</v>
      </c>
    </row>
    <row r="305" spans="1:16" ht="15.75" x14ac:dyDescent="0.25">
      <c r="A305" s="2">
        <f t="shared" si="43"/>
        <v>-8</v>
      </c>
      <c r="B305" s="5" t="s">
        <v>29</v>
      </c>
      <c r="C305" s="7"/>
      <c r="D305" s="7"/>
      <c r="E305" s="7"/>
      <c r="F305" s="7"/>
      <c r="G305" s="7"/>
      <c r="H305" s="7">
        <v>36</v>
      </c>
      <c r="I305" s="7"/>
      <c r="J305" s="7"/>
      <c r="K305" s="7"/>
      <c r="L305" s="7">
        <f t="shared" ref="L305:L306" si="46">SUM(C305:K305)</f>
        <v>36</v>
      </c>
      <c r="M305" s="7"/>
      <c r="N305" s="7">
        <f t="shared" si="44"/>
        <v>-44</v>
      </c>
    </row>
    <row r="306" spans="1:16" ht="15.75" x14ac:dyDescent="0.25">
      <c r="A306" s="2">
        <f t="shared" si="43"/>
        <v>-64.2</v>
      </c>
      <c r="B306" s="5" t="s">
        <v>30</v>
      </c>
      <c r="C306" s="7"/>
      <c r="D306" s="7"/>
      <c r="E306" s="7"/>
      <c r="F306" s="7"/>
      <c r="G306" s="7"/>
      <c r="H306" s="7"/>
      <c r="I306" s="7"/>
      <c r="J306" s="7">
        <f>48.6+70.79</f>
        <v>119.39000000000001</v>
      </c>
      <c r="K306" s="7"/>
      <c r="L306" s="7">
        <f t="shared" si="46"/>
        <v>119.39000000000001</v>
      </c>
      <c r="M306" s="7">
        <f>97.2+860.27</f>
        <v>957.47</v>
      </c>
      <c r="N306" s="7">
        <f t="shared" si="44"/>
        <v>773.88</v>
      </c>
      <c r="O306" t="s">
        <v>246</v>
      </c>
      <c r="P306" t="s">
        <v>258</v>
      </c>
    </row>
    <row r="307" spans="1:16" ht="15.75" x14ac:dyDescent="0.25">
      <c r="A307" s="2">
        <f t="shared" si="43"/>
        <v>-86.4</v>
      </c>
      <c r="B307" s="5" t="s">
        <v>56</v>
      </c>
      <c r="C307" s="7"/>
      <c r="D307" s="7"/>
      <c r="E307" s="7"/>
      <c r="F307" s="7"/>
      <c r="G307" s="7"/>
      <c r="H307" s="7"/>
      <c r="I307" s="7"/>
      <c r="J307" s="7"/>
      <c r="K307" s="7"/>
      <c r="L307" s="7">
        <f>SUM(C307:K307)</f>
        <v>0</v>
      </c>
      <c r="M307" s="7">
        <v>86.4</v>
      </c>
      <c r="N307" s="7">
        <f t="shared" si="44"/>
        <v>0</v>
      </c>
      <c r="O307" t="s">
        <v>243</v>
      </c>
    </row>
    <row r="308" spans="1:16" ht="15.75" x14ac:dyDescent="0.25">
      <c r="A308" s="2">
        <f t="shared" si="43"/>
        <v>-49.100000000000009</v>
      </c>
      <c r="B308" s="5" t="s">
        <v>101</v>
      </c>
      <c r="C308" s="7"/>
      <c r="D308" s="7"/>
      <c r="E308" s="7"/>
      <c r="F308" s="7"/>
      <c r="G308" s="7">
        <v>25</v>
      </c>
      <c r="H308" s="7"/>
      <c r="I308" s="7"/>
      <c r="J308" s="7">
        <v>20</v>
      </c>
      <c r="K308" s="7"/>
      <c r="L308" s="7">
        <f t="shared" ref="L308:L315" si="47">SUM(C308:K308)</f>
        <v>45</v>
      </c>
      <c r="M308" s="7">
        <v>49.1</v>
      </c>
      <c r="N308" s="7">
        <f t="shared" si="44"/>
        <v>-45.000000000000007</v>
      </c>
      <c r="O308" t="s">
        <v>240</v>
      </c>
    </row>
    <row r="309" spans="1:16" ht="15.75" x14ac:dyDescent="0.25">
      <c r="A309" s="2">
        <f t="shared" si="43"/>
        <v>-9.8000000000000007</v>
      </c>
      <c r="B309" s="5" t="s">
        <v>41</v>
      </c>
      <c r="C309" s="6"/>
      <c r="D309" s="6"/>
      <c r="E309" s="7"/>
      <c r="F309" s="7"/>
      <c r="G309" s="7"/>
      <c r="H309" s="7"/>
      <c r="I309" s="7"/>
      <c r="J309" s="7"/>
      <c r="K309" s="7"/>
      <c r="L309" s="7">
        <f t="shared" si="47"/>
        <v>0</v>
      </c>
      <c r="M309" s="7"/>
      <c r="N309" s="7">
        <f t="shared" si="44"/>
        <v>-9.8000000000000007</v>
      </c>
    </row>
    <row r="310" spans="1:16" ht="15.75" x14ac:dyDescent="0.25">
      <c r="A310" s="2">
        <f t="shared" si="43"/>
        <v>-95</v>
      </c>
      <c r="B310" s="5" t="s">
        <v>102</v>
      </c>
      <c r="C310" s="6"/>
      <c r="D310" s="7"/>
      <c r="E310" s="7"/>
      <c r="F310" s="7"/>
      <c r="G310" s="7"/>
      <c r="H310" s="7"/>
      <c r="I310" s="7"/>
      <c r="J310" s="7"/>
      <c r="K310" s="7"/>
      <c r="L310" s="7">
        <f t="shared" si="47"/>
        <v>0</v>
      </c>
      <c r="M310" s="7">
        <f>50+45</f>
        <v>95</v>
      </c>
      <c r="N310" s="7">
        <f t="shared" si="44"/>
        <v>0</v>
      </c>
      <c r="O310" t="s">
        <v>238</v>
      </c>
      <c r="P310" t="s">
        <v>244</v>
      </c>
    </row>
    <row r="311" spans="1:16" ht="15.75" x14ac:dyDescent="0.25">
      <c r="A311" s="2">
        <f t="shared" si="43"/>
        <v>-245.7</v>
      </c>
      <c r="B311" s="5" t="s">
        <v>45</v>
      </c>
      <c r="C311" s="7"/>
      <c r="D311" s="6"/>
      <c r="E311" s="6"/>
      <c r="F311" s="7"/>
      <c r="G311" s="7"/>
      <c r="H311" s="7"/>
      <c r="I311" s="7"/>
      <c r="J311" s="7"/>
      <c r="K311" s="7"/>
      <c r="L311" s="7">
        <f t="shared" si="47"/>
        <v>0</v>
      </c>
      <c r="M311" s="7"/>
      <c r="N311" s="7">
        <f t="shared" si="44"/>
        <v>-245.7</v>
      </c>
    </row>
    <row r="312" spans="1:16" ht="15.75" x14ac:dyDescent="0.25">
      <c r="A312" s="2">
        <f t="shared" si="43"/>
        <v>-25</v>
      </c>
      <c r="B312" s="5" t="s">
        <v>46</v>
      </c>
      <c r="C312" s="7"/>
      <c r="D312" s="7">
        <v>25</v>
      </c>
      <c r="E312" s="10"/>
      <c r="F312" s="7"/>
      <c r="G312" s="7"/>
      <c r="H312" s="7">
        <v>49.3</v>
      </c>
      <c r="I312" s="7"/>
      <c r="J312" s="7">
        <v>20</v>
      </c>
      <c r="K312" s="7"/>
      <c r="L312" s="7">
        <f t="shared" si="47"/>
        <v>94.3</v>
      </c>
      <c r="M312" s="7"/>
      <c r="N312" s="7">
        <f t="shared" si="44"/>
        <v>-119.3</v>
      </c>
    </row>
    <row r="313" spans="1:16" ht="15.75" x14ac:dyDescent="0.25">
      <c r="A313" s="2">
        <f t="shared" si="43"/>
        <v>-20.3</v>
      </c>
      <c r="B313" s="5" t="s">
        <v>79</v>
      </c>
      <c r="C313" s="7"/>
      <c r="D313" s="6"/>
      <c r="E313" s="10"/>
      <c r="F313" s="7"/>
      <c r="G313" s="7"/>
      <c r="H313" s="7"/>
      <c r="I313" s="7"/>
      <c r="J313" s="7"/>
      <c r="K313" s="7"/>
      <c r="L313" s="7">
        <f t="shared" si="47"/>
        <v>0</v>
      </c>
      <c r="M313" s="7">
        <v>20.3</v>
      </c>
      <c r="N313" s="7">
        <f t="shared" si="44"/>
        <v>0</v>
      </c>
      <c r="O313" t="s">
        <v>263</v>
      </c>
    </row>
    <row r="314" spans="1:16" ht="15.75" x14ac:dyDescent="0.25">
      <c r="A314" s="2"/>
      <c r="B314" s="5" t="s">
        <v>261</v>
      </c>
      <c r="C314" s="7"/>
      <c r="D314" s="6"/>
      <c r="E314" s="10"/>
      <c r="F314" s="7"/>
      <c r="G314" s="7"/>
      <c r="H314" s="7"/>
      <c r="I314" s="7"/>
      <c r="J314" s="7">
        <v>20</v>
      </c>
      <c r="K314" s="7"/>
      <c r="L314" s="7">
        <f t="shared" ref="L314" si="48">SUM(C314:K314)</f>
        <v>20</v>
      </c>
      <c r="M314" s="7">
        <v>20</v>
      </c>
      <c r="N314" s="7">
        <f t="shared" ref="N314" si="49">M314+A314-L314</f>
        <v>0</v>
      </c>
      <c r="O314" t="s">
        <v>262</v>
      </c>
    </row>
    <row r="315" spans="1:16" ht="15.75" x14ac:dyDescent="0.25">
      <c r="A315" s="2">
        <f t="shared" ref="A315:A343" si="50">N244</f>
        <v>-363.39999999999992</v>
      </c>
      <c r="B315" s="5" t="s">
        <v>103</v>
      </c>
      <c r="C315" s="6"/>
      <c r="D315" s="6"/>
      <c r="E315" s="6"/>
      <c r="F315" s="7"/>
      <c r="G315" s="7"/>
      <c r="H315" s="7">
        <v>180</v>
      </c>
      <c r="I315" s="7">
        <v>32</v>
      </c>
      <c r="J315" s="7">
        <v>370.8</v>
      </c>
      <c r="K315" s="7"/>
      <c r="L315" s="7">
        <f t="shared" si="47"/>
        <v>582.79999999999995</v>
      </c>
      <c r="M315" s="7">
        <f>200+200</f>
        <v>400</v>
      </c>
      <c r="N315" s="7">
        <f t="shared" si="44"/>
        <v>-546.19999999999982</v>
      </c>
      <c r="O315" t="s">
        <v>250</v>
      </c>
      <c r="P315" t="s">
        <v>265</v>
      </c>
    </row>
    <row r="316" spans="1:16" ht="15.75" x14ac:dyDescent="0.25">
      <c r="A316" s="2">
        <f t="shared" si="50"/>
        <v>0</v>
      </c>
      <c r="B316" s="5" t="s">
        <v>211</v>
      </c>
      <c r="C316" s="6"/>
      <c r="D316" s="7"/>
      <c r="E316" s="6"/>
      <c r="F316" s="7"/>
      <c r="G316" s="7"/>
      <c r="H316" s="7"/>
      <c r="I316" s="7"/>
      <c r="J316" s="7"/>
      <c r="K316" s="7"/>
      <c r="L316" s="7">
        <f t="shared" ref="L316" si="51">SUM(C316:K316)</f>
        <v>0</v>
      </c>
      <c r="M316" s="7"/>
      <c r="N316" s="7">
        <f t="shared" si="44"/>
        <v>0</v>
      </c>
    </row>
    <row r="317" spans="1:16" ht="15.75" x14ac:dyDescent="0.25">
      <c r="A317" s="2">
        <f t="shared" si="50"/>
        <v>-20</v>
      </c>
      <c r="B317" s="5" t="s">
        <v>139</v>
      </c>
      <c r="C317" s="7"/>
      <c r="D317" s="7"/>
      <c r="E317" s="6"/>
      <c r="F317" s="7"/>
      <c r="G317" s="7"/>
      <c r="H317" s="7"/>
      <c r="I317" s="7"/>
      <c r="J317" s="7"/>
      <c r="K317" s="7"/>
      <c r="L317" s="7">
        <f t="shared" ref="L317:L326" si="52">SUM(C317:K317)</f>
        <v>0</v>
      </c>
      <c r="M317" s="7">
        <v>20</v>
      </c>
      <c r="N317" s="7">
        <f t="shared" si="44"/>
        <v>0</v>
      </c>
      <c r="O317" t="s">
        <v>247</v>
      </c>
    </row>
    <row r="318" spans="1:16" ht="15.75" hidden="1" x14ac:dyDescent="0.25">
      <c r="A318" s="2">
        <f t="shared" si="50"/>
        <v>0</v>
      </c>
      <c r="B318" s="5" t="s">
        <v>191</v>
      </c>
      <c r="C318" s="7"/>
      <c r="D318" s="6"/>
      <c r="E318" s="7"/>
      <c r="F318" s="7"/>
      <c r="G318" s="7"/>
      <c r="H318" s="7"/>
      <c r="I318" s="7"/>
      <c r="J318" s="7"/>
      <c r="K318" s="7"/>
      <c r="L318" s="7">
        <f t="shared" si="52"/>
        <v>0</v>
      </c>
      <c r="M318" s="7"/>
      <c r="N318" s="7">
        <f t="shared" si="44"/>
        <v>0</v>
      </c>
    </row>
    <row r="319" spans="1:16" ht="15.75" hidden="1" x14ac:dyDescent="0.25">
      <c r="A319" s="2">
        <f t="shared" si="50"/>
        <v>0</v>
      </c>
      <c r="B319" s="5" t="s">
        <v>91</v>
      </c>
      <c r="C319" s="7"/>
      <c r="D319" s="7"/>
      <c r="E319" s="7"/>
      <c r="F319" s="7"/>
      <c r="G319" s="7"/>
      <c r="H319" s="7"/>
      <c r="I319" s="7"/>
      <c r="J319" s="7"/>
      <c r="K319" s="7"/>
      <c r="L319" s="7">
        <f t="shared" si="52"/>
        <v>0</v>
      </c>
      <c r="M319" s="7"/>
      <c r="N319" s="7">
        <f t="shared" si="44"/>
        <v>0</v>
      </c>
    </row>
    <row r="320" spans="1:16" ht="15.75" x14ac:dyDescent="0.25">
      <c r="A320" s="2">
        <f t="shared" si="50"/>
        <v>0</v>
      </c>
      <c r="B320" s="5" t="s">
        <v>31</v>
      </c>
      <c r="C320" s="7">
        <v>20</v>
      </c>
      <c r="D320" s="7">
        <v>387.5</v>
      </c>
      <c r="E320" s="7"/>
      <c r="F320" s="7"/>
      <c r="G320" s="7"/>
      <c r="H320" s="7"/>
      <c r="I320" s="7"/>
      <c r="J320" s="7"/>
      <c r="K320" s="7"/>
      <c r="L320" s="7">
        <f t="shared" si="52"/>
        <v>407.5</v>
      </c>
      <c r="M320" s="7">
        <v>387.5</v>
      </c>
      <c r="N320" s="7">
        <f t="shared" si="44"/>
        <v>-20</v>
      </c>
      <c r="O320" t="s">
        <v>259</v>
      </c>
    </row>
    <row r="321" spans="1:15" ht="15.75" x14ac:dyDescent="0.25">
      <c r="A321" s="2">
        <f t="shared" si="50"/>
        <v>-40</v>
      </c>
      <c r="B321" s="5" t="s">
        <v>37</v>
      </c>
      <c r="C321" s="7"/>
      <c r="D321" s="7"/>
      <c r="E321" s="7"/>
      <c r="F321" s="7"/>
      <c r="G321" s="7"/>
      <c r="H321" s="7"/>
      <c r="I321" s="7"/>
      <c r="J321" s="7"/>
      <c r="K321" s="7"/>
      <c r="L321" s="7">
        <f t="shared" si="52"/>
        <v>0</v>
      </c>
      <c r="M321" s="7">
        <v>40</v>
      </c>
      <c r="N321" s="7">
        <f t="shared" si="44"/>
        <v>0</v>
      </c>
      <c r="O321" t="s">
        <v>255</v>
      </c>
    </row>
    <row r="322" spans="1:15" ht="15.75" x14ac:dyDescent="0.25">
      <c r="A322" s="2">
        <f t="shared" si="50"/>
        <v>-20</v>
      </c>
      <c r="B322" s="5" t="s">
        <v>105</v>
      </c>
      <c r="C322" s="7"/>
      <c r="D322" s="7"/>
      <c r="E322" s="7"/>
      <c r="F322" s="7"/>
      <c r="G322" s="7"/>
      <c r="H322" s="7"/>
      <c r="I322" s="7"/>
      <c r="J322" s="7">
        <v>20</v>
      </c>
      <c r="K322" s="7"/>
      <c r="L322" s="7">
        <f t="shared" si="52"/>
        <v>20</v>
      </c>
      <c r="M322" s="7"/>
      <c r="N322" s="7">
        <f t="shared" si="44"/>
        <v>-40</v>
      </c>
    </row>
    <row r="323" spans="1:15" ht="15.75" x14ac:dyDescent="0.25">
      <c r="A323" s="2">
        <f t="shared" si="50"/>
        <v>-23</v>
      </c>
      <c r="B323" s="5" t="s">
        <v>54</v>
      </c>
      <c r="C323" s="7"/>
      <c r="D323" s="7"/>
      <c r="E323" s="7"/>
      <c r="F323" s="7"/>
      <c r="G323" s="7"/>
      <c r="H323" s="7"/>
      <c r="I323" s="7"/>
      <c r="J323" s="7"/>
      <c r="K323" s="7"/>
      <c r="L323" s="7">
        <f t="shared" si="52"/>
        <v>0</v>
      </c>
      <c r="M323" s="7">
        <v>23</v>
      </c>
      <c r="N323" s="7">
        <f t="shared" si="44"/>
        <v>0</v>
      </c>
      <c r="O323" t="s">
        <v>245</v>
      </c>
    </row>
    <row r="324" spans="1:15" ht="15.75" hidden="1" x14ac:dyDescent="0.25">
      <c r="A324" s="2">
        <f t="shared" si="50"/>
        <v>0</v>
      </c>
      <c r="B324" s="5" t="s">
        <v>107</v>
      </c>
      <c r="C324" s="7"/>
      <c r="D324" s="7"/>
      <c r="E324" s="7"/>
      <c r="F324" s="7"/>
      <c r="G324" s="7"/>
      <c r="H324" s="7"/>
      <c r="I324" s="7"/>
      <c r="J324" s="7"/>
      <c r="K324" s="7"/>
      <c r="L324" s="7">
        <f t="shared" si="52"/>
        <v>0</v>
      </c>
      <c r="M324" s="7"/>
      <c r="N324" s="7">
        <f t="shared" si="44"/>
        <v>0</v>
      </c>
    </row>
    <row r="325" spans="1:15" ht="15.75" x14ac:dyDescent="0.25">
      <c r="A325" s="2">
        <f t="shared" si="50"/>
        <v>0</v>
      </c>
      <c r="B325" s="5" t="s">
        <v>19</v>
      </c>
      <c r="C325" s="7"/>
      <c r="D325" s="7"/>
      <c r="E325" s="7"/>
      <c r="F325" s="7">
        <v>14.4</v>
      </c>
      <c r="G325" s="7"/>
      <c r="H325" s="7"/>
      <c r="I325" s="7"/>
      <c r="J325" s="7"/>
      <c r="K325" s="7"/>
      <c r="L325" s="7">
        <f t="shared" si="52"/>
        <v>14.4</v>
      </c>
      <c r="M325" s="7">
        <v>14.4</v>
      </c>
      <c r="N325" s="7">
        <f t="shared" si="44"/>
        <v>0</v>
      </c>
      <c r="O325" t="s">
        <v>254</v>
      </c>
    </row>
    <row r="326" spans="1:15" ht="15.75" hidden="1" x14ac:dyDescent="0.25">
      <c r="A326" s="2">
        <f t="shared" si="50"/>
        <v>0</v>
      </c>
      <c r="B326" s="5" t="s">
        <v>138</v>
      </c>
      <c r="C326" s="7"/>
      <c r="D326" s="7"/>
      <c r="E326" s="7"/>
      <c r="F326" s="7"/>
      <c r="G326" s="7"/>
      <c r="H326" s="7"/>
      <c r="I326" s="7"/>
      <c r="J326" s="7"/>
      <c r="K326" s="7"/>
      <c r="L326" s="7">
        <f t="shared" si="52"/>
        <v>0</v>
      </c>
      <c r="M326" s="7"/>
      <c r="N326" s="7">
        <f t="shared" si="44"/>
        <v>0</v>
      </c>
    </row>
    <row r="327" spans="1:15" ht="15.75" x14ac:dyDescent="0.25">
      <c r="A327" s="2">
        <f t="shared" si="50"/>
        <v>7</v>
      </c>
      <c r="B327" s="5" t="s">
        <v>136</v>
      </c>
      <c r="C327" s="7"/>
      <c r="D327" s="7"/>
      <c r="E327" s="7"/>
      <c r="F327" s="7"/>
      <c r="G327" s="7"/>
      <c r="H327" s="7"/>
      <c r="I327" s="7"/>
      <c r="J327" s="7"/>
      <c r="K327" s="7"/>
      <c r="L327" s="7">
        <f>SUM(C327:K327)</f>
        <v>0</v>
      </c>
      <c r="M327" s="7"/>
      <c r="N327" s="8">
        <f t="shared" si="44"/>
        <v>7</v>
      </c>
    </row>
    <row r="328" spans="1:15" ht="15.75" hidden="1" x14ac:dyDescent="0.25">
      <c r="A328" s="2">
        <f t="shared" si="50"/>
        <v>0</v>
      </c>
      <c r="B328" s="5" t="s">
        <v>108</v>
      </c>
      <c r="C328" s="7"/>
      <c r="D328" s="7"/>
      <c r="E328" s="7"/>
      <c r="F328" s="7"/>
      <c r="G328" s="7"/>
      <c r="H328" s="7"/>
      <c r="I328" s="7"/>
      <c r="J328" s="7"/>
      <c r="K328" s="7"/>
      <c r="L328" s="7">
        <f t="shared" ref="L328:L337" si="53">SUM(C328:K328)</f>
        <v>0</v>
      </c>
      <c r="M328" s="7"/>
      <c r="N328" s="7">
        <f t="shared" si="44"/>
        <v>0</v>
      </c>
    </row>
    <row r="329" spans="1:15" ht="15.75" hidden="1" x14ac:dyDescent="0.25">
      <c r="A329" s="2">
        <f t="shared" si="50"/>
        <v>0</v>
      </c>
      <c r="B329" s="5" t="s">
        <v>95</v>
      </c>
      <c r="C329" s="6"/>
      <c r="D329" s="7"/>
      <c r="E329" s="6"/>
      <c r="F329" s="7"/>
      <c r="G329" s="7"/>
      <c r="H329" s="7"/>
      <c r="I329" s="7"/>
      <c r="J329" s="7"/>
      <c r="K329" s="7"/>
      <c r="L329" s="7">
        <f t="shared" si="53"/>
        <v>0</v>
      </c>
      <c r="M329" s="7"/>
      <c r="N329" s="7">
        <f t="shared" si="44"/>
        <v>0</v>
      </c>
    </row>
    <row r="330" spans="1:15" ht="15.75" x14ac:dyDescent="0.25">
      <c r="A330" s="2">
        <f t="shared" si="50"/>
        <v>0</v>
      </c>
      <c r="B330" s="5" t="s">
        <v>36</v>
      </c>
      <c r="C330" s="7">
        <v>37.799999999999997</v>
      </c>
      <c r="D330" s="7"/>
      <c r="E330" s="6"/>
      <c r="F330" s="7"/>
      <c r="G330" s="7"/>
      <c r="H330" s="7"/>
      <c r="I330" s="7"/>
      <c r="J330" s="7"/>
      <c r="K330" s="7"/>
      <c r="L330" s="7">
        <f t="shared" si="53"/>
        <v>37.799999999999997</v>
      </c>
      <c r="M330" s="7"/>
      <c r="N330" s="7">
        <f t="shared" si="44"/>
        <v>-37.799999999999997</v>
      </c>
    </row>
    <row r="331" spans="1:15" ht="15.75" hidden="1" x14ac:dyDescent="0.25">
      <c r="A331" s="2">
        <f t="shared" si="50"/>
        <v>0</v>
      </c>
      <c r="B331" s="5" t="s">
        <v>185</v>
      </c>
      <c r="C331" s="7"/>
      <c r="D331" s="7"/>
      <c r="E331" s="6"/>
      <c r="F331" s="7"/>
      <c r="G331" s="7"/>
      <c r="H331" s="7"/>
      <c r="I331" s="7"/>
      <c r="J331" s="7"/>
      <c r="K331" s="7"/>
      <c r="L331" s="7">
        <f t="shared" si="53"/>
        <v>0</v>
      </c>
      <c r="M331" s="7"/>
      <c r="N331" s="7">
        <f t="shared" si="44"/>
        <v>0</v>
      </c>
    </row>
    <row r="332" spans="1:15" ht="15.75" hidden="1" x14ac:dyDescent="0.25">
      <c r="A332" s="2">
        <f t="shared" si="50"/>
        <v>0</v>
      </c>
      <c r="B332" s="5" t="s">
        <v>111</v>
      </c>
      <c r="C332" s="6"/>
      <c r="D332" s="7"/>
      <c r="E332" s="6"/>
      <c r="F332" s="7"/>
      <c r="G332" s="7"/>
      <c r="H332" s="7"/>
      <c r="I332" s="7"/>
      <c r="J332" s="7"/>
      <c r="K332" s="7"/>
      <c r="L332" s="7">
        <f t="shared" si="53"/>
        <v>0</v>
      </c>
      <c r="M332" s="7"/>
      <c r="N332" s="7">
        <f t="shared" si="44"/>
        <v>0</v>
      </c>
    </row>
    <row r="333" spans="1:15" ht="15.75" x14ac:dyDescent="0.25">
      <c r="A333" s="2">
        <f t="shared" si="50"/>
        <v>0</v>
      </c>
      <c r="B333" s="5" t="s">
        <v>51</v>
      </c>
      <c r="C333" s="6"/>
      <c r="D333" s="7"/>
      <c r="E333" s="7"/>
      <c r="F333" s="7">
        <v>17.100000000000001</v>
      </c>
      <c r="G333" s="7"/>
      <c r="H333" s="7"/>
      <c r="I333" s="7"/>
      <c r="J333" s="7"/>
      <c r="K333" s="7"/>
      <c r="L333" s="7">
        <f t="shared" si="53"/>
        <v>17.100000000000001</v>
      </c>
      <c r="M333" s="7">
        <v>17.100000000000001</v>
      </c>
      <c r="N333" s="7">
        <f t="shared" si="44"/>
        <v>0</v>
      </c>
      <c r="O333" t="s">
        <v>257</v>
      </c>
    </row>
    <row r="334" spans="1:15" ht="15.75" hidden="1" x14ac:dyDescent="0.25">
      <c r="A334" s="2">
        <f t="shared" si="50"/>
        <v>0</v>
      </c>
      <c r="B334" s="5" t="s">
        <v>113</v>
      </c>
      <c r="C334" s="6"/>
      <c r="D334" s="7"/>
      <c r="E334" s="7"/>
      <c r="F334" s="7"/>
      <c r="G334" s="7"/>
      <c r="H334" s="7"/>
      <c r="I334" s="7"/>
      <c r="J334" s="7"/>
      <c r="K334" s="7"/>
      <c r="L334" s="7">
        <f t="shared" si="53"/>
        <v>0</v>
      </c>
      <c r="M334" s="7"/>
      <c r="N334" s="7">
        <f t="shared" si="44"/>
        <v>0</v>
      </c>
    </row>
    <row r="335" spans="1:15" ht="15.75" x14ac:dyDescent="0.25">
      <c r="A335" s="2">
        <f t="shared" si="50"/>
        <v>-54</v>
      </c>
      <c r="B335" s="5" t="s">
        <v>114</v>
      </c>
      <c r="C335" s="6"/>
      <c r="D335" s="7"/>
      <c r="E335" s="7"/>
      <c r="F335" s="7"/>
      <c r="G335" s="7"/>
      <c r="H335" s="7"/>
      <c r="I335" s="7"/>
      <c r="J335" s="7">
        <v>43.2</v>
      </c>
      <c r="K335" s="7"/>
      <c r="L335" s="7">
        <f t="shared" si="53"/>
        <v>43.2</v>
      </c>
      <c r="M335" s="7">
        <v>54</v>
      </c>
      <c r="N335" s="7">
        <f t="shared" si="44"/>
        <v>-43.2</v>
      </c>
      <c r="O335" t="s">
        <v>242</v>
      </c>
    </row>
    <row r="336" spans="1:15" ht="15.75" x14ac:dyDescent="0.25">
      <c r="A336" s="2">
        <f t="shared" si="50"/>
        <v>-22.4</v>
      </c>
      <c r="B336" s="5" t="s">
        <v>115</v>
      </c>
      <c r="C336" s="6"/>
      <c r="D336" s="7"/>
      <c r="E336" s="7"/>
      <c r="F336" s="7"/>
      <c r="G336" s="7"/>
      <c r="H336" s="7"/>
      <c r="I336" s="7">
        <v>19.399999999999999</v>
      </c>
      <c r="J336" s="7"/>
      <c r="K336" s="7"/>
      <c r="L336" s="7">
        <f t="shared" si="53"/>
        <v>19.399999999999999</v>
      </c>
      <c r="M336" s="7">
        <v>22.4</v>
      </c>
      <c r="N336" s="7">
        <f t="shared" si="44"/>
        <v>-19.399999999999999</v>
      </c>
      <c r="O336" t="s">
        <v>248</v>
      </c>
    </row>
    <row r="337" spans="1:16" ht="15.75" x14ac:dyDescent="0.25">
      <c r="A337" s="2">
        <f t="shared" si="50"/>
        <v>0</v>
      </c>
      <c r="B337" s="5" t="s">
        <v>252</v>
      </c>
      <c r="C337" s="7">
        <v>25</v>
      </c>
      <c r="D337" s="7"/>
      <c r="E337" s="7"/>
      <c r="F337" s="7"/>
      <c r="G337" s="7"/>
      <c r="H337" s="7"/>
      <c r="I337" s="7"/>
      <c r="J337" s="7"/>
      <c r="K337" s="7"/>
      <c r="L337" s="7">
        <f t="shared" si="53"/>
        <v>25</v>
      </c>
      <c r="M337" s="7">
        <v>25</v>
      </c>
      <c r="N337" s="7">
        <f t="shared" si="44"/>
        <v>0</v>
      </c>
      <c r="O337" t="s">
        <v>253</v>
      </c>
    </row>
    <row r="338" spans="1:16" ht="15.75" x14ac:dyDescent="0.25">
      <c r="A338" s="2">
        <f t="shared" si="50"/>
        <v>0</v>
      </c>
      <c r="B338" s="5" t="s">
        <v>117</v>
      </c>
      <c r="C338" s="7"/>
      <c r="D338" s="7"/>
      <c r="E338" s="7"/>
      <c r="F338" s="7"/>
      <c r="G338" s="7"/>
      <c r="H338" s="7"/>
      <c r="I338" s="7"/>
      <c r="J338" s="7">
        <v>225</v>
      </c>
      <c r="K338" s="7"/>
      <c r="L338" s="7">
        <f>SUM(C338:K338)</f>
        <v>225</v>
      </c>
      <c r="M338" s="7">
        <v>225</v>
      </c>
      <c r="N338" s="7">
        <f t="shared" si="44"/>
        <v>0</v>
      </c>
      <c r="O338" t="s">
        <v>260</v>
      </c>
    </row>
    <row r="339" spans="1:16" ht="15.75" hidden="1" x14ac:dyDescent="0.25">
      <c r="A339" s="2">
        <f t="shared" si="50"/>
        <v>0</v>
      </c>
      <c r="B339" s="5" t="s">
        <v>118</v>
      </c>
      <c r="C339" s="7"/>
      <c r="D339" s="7"/>
      <c r="E339" s="7"/>
      <c r="F339" s="7"/>
      <c r="G339" s="7"/>
      <c r="H339" s="7"/>
      <c r="I339" s="7"/>
      <c r="J339" s="7"/>
      <c r="K339" s="7"/>
      <c r="L339" s="7">
        <f t="shared" ref="L339:L343" si="54">SUM(C339:K339)</f>
        <v>0</v>
      </c>
      <c r="M339" s="7"/>
      <c r="N339" s="7">
        <f t="shared" si="44"/>
        <v>0</v>
      </c>
    </row>
    <row r="340" spans="1:16" ht="15.75" x14ac:dyDescent="0.25">
      <c r="A340" s="2">
        <f t="shared" si="50"/>
        <v>-250</v>
      </c>
      <c r="B340" s="5" t="s">
        <v>233</v>
      </c>
      <c r="C340" s="7"/>
      <c r="D340" s="7"/>
      <c r="E340" s="7"/>
      <c r="F340" s="7"/>
      <c r="G340" s="7"/>
      <c r="H340" s="7"/>
      <c r="I340" s="7"/>
      <c r="J340" s="7"/>
      <c r="K340" s="7"/>
      <c r="L340" s="7">
        <f t="shared" si="54"/>
        <v>0</v>
      </c>
      <c r="M340" s="7"/>
      <c r="N340" s="7">
        <f t="shared" si="44"/>
        <v>-250</v>
      </c>
    </row>
    <row r="341" spans="1:16" ht="15.75" hidden="1" x14ac:dyDescent="0.25">
      <c r="A341" s="2">
        <f t="shared" si="50"/>
        <v>0</v>
      </c>
      <c r="B341" s="5" t="s">
        <v>135</v>
      </c>
      <c r="C341" s="7"/>
      <c r="D341" s="7"/>
      <c r="E341" s="7"/>
      <c r="F341" s="7"/>
      <c r="G341" s="7"/>
      <c r="H341" s="7"/>
      <c r="I341" s="7"/>
      <c r="J341" s="7"/>
      <c r="K341" s="7"/>
      <c r="L341" s="7">
        <f t="shared" si="54"/>
        <v>0</v>
      </c>
      <c r="M341" s="7"/>
      <c r="N341" s="7">
        <f t="shared" si="44"/>
        <v>0</v>
      </c>
    </row>
    <row r="342" spans="1:16" ht="15.75" hidden="1" x14ac:dyDescent="0.25">
      <c r="A342" s="2">
        <f t="shared" si="50"/>
        <v>0</v>
      </c>
      <c r="B342" s="5" t="s">
        <v>120</v>
      </c>
      <c r="C342" s="7"/>
      <c r="D342" s="7"/>
      <c r="E342" s="7"/>
      <c r="F342" s="7"/>
      <c r="G342" s="7"/>
      <c r="H342" s="7"/>
      <c r="I342" s="7"/>
      <c r="J342" s="7"/>
      <c r="K342" s="7"/>
      <c r="L342" s="7">
        <f t="shared" si="54"/>
        <v>0</v>
      </c>
      <c r="M342" s="7"/>
      <c r="N342" s="7">
        <f t="shared" si="44"/>
        <v>0</v>
      </c>
    </row>
    <row r="343" spans="1:16" ht="15.75" x14ac:dyDescent="0.25">
      <c r="A343" s="2">
        <f t="shared" si="50"/>
        <v>0</v>
      </c>
      <c r="B343" s="5" t="s">
        <v>121</v>
      </c>
      <c r="C343" s="7"/>
      <c r="D343" s="7"/>
      <c r="E343" s="7"/>
      <c r="F343" s="7"/>
      <c r="G343" s="7"/>
      <c r="H343" s="7">
        <v>72</v>
      </c>
      <c r="I343" s="7"/>
      <c r="J343" s="7"/>
      <c r="K343" s="7"/>
      <c r="L343" s="7">
        <f t="shared" si="54"/>
        <v>72</v>
      </c>
      <c r="M343" s="7">
        <v>72</v>
      </c>
      <c r="N343" s="7">
        <f t="shared" si="44"/>
        <v>0</v>
      </c>
      <c r="O343" t="s">
        <v>241</v>
      </c>
    </row>
    <row r="344" spans="1:16" ht="15.75" x14ac:dyDescent="0.25">
      <c r="A344" s="2">
        <f>SUM(A278:A343)</f>
        <v>-3590.6200000000003</v>
      </c>
      <c r="B344" s="6" t="s">
        <v>104</v>
      </c>
      <c r="C344" s="7">
        <f t="shared" ref="C344:I344" si="55">SUM(C278:C342)</f>
        <v>240.8</v>
      </c>
      <c r="D344" s="7">
        <f t="shared" si="55"/>
        <v>471.6</v>
      </c>
      <c r="E344" s="7">
        <f t="shared" si="55"/>
        <v>25</v>
      </c>
      <c r="F344" s="7">
        <f t="shared" si="55"/>
        <v>106.5</v>
      </c>
      <c r="G344" s="7">
        <f t="shared" si="55"/>
        <v>50</v>
      </c>
      <c r="H344" s="7">
        <f t="shared" si="55"/>
        <v>302.89999999999998</v>
      </c>
      <c r="I344" s="7">
        <f t="shared" si="55"/>
        <v>87.4</v>
      </c>
      <c r="J344" s="7">
        <f>SUM(J278:J342)</f>
        <v>967.19</v>
      </c>
      <c r="K344" s="7">
        <f>SUM(K278:K343)</f>
        <v>0</v>
      </c>
      <c r="L344" s="7">
        <f>SUM(L278:L343)</f>
        <v>2323.39</v>
      </c>
      <c r="M344" s="15">
        <f>SUM(M278:M343)</f>
        <v>2807.67</v>
      </c>
      <c r="N344" s="7">
        <f>SUM(N278:N343)</f>
        <v>-3106.34</v>
      </c>
    </row>
    <row r="347" spans="1:16" ht="15.75" x14ac:dyDescent="0.25">
      <c r="A347" s="57" t="s">
        <v>237</v>
      </c>
      <c r="B347" s="57" t="s">
        <v>75</v>
      </c>
      <c r="C347" s="27">
        <v>34</v>
      </c>
      <c r="D347" s="27">
        <v>35</v>
      </c>
      <c r="E347" s="27">
        <v>36</v>
      </c>
      <c r="F347" s="27">
        <v>37</v>
      </c>
      <c r="G347" s="27">
        <v>38</v>
      </c>
      <c r="H347" s="27">
        <v>39</v>
      </c>
      <c r="I347" s="27">
        <v>40</v>
      </c>
      <c r="J347" s="27">
        <v>41</v>
      </c>
      <c r="K347" s="27"/>
      <c r="L347" s="57" t="s">
        <v>68</v>
      </c>
      <c r="M347" s="61" t="s">
        <v>137</v>
      </c>
      <c r="N347" s="57" t="s">
        <v>266</v>
      </c>
    </row>
    <row r="348" spans="1:16" ht="15.75" x14ac:dyDescent="0.25">
      <c r="A348" s="58"/>
      <c r="B348" s="58"/>
      <c r="C348" s="26">
        <v>2</v>
      </c>
      <c r="D348" s="26">
        <v>4</v>
      </c>
      <c r="E348" s="26">
        <v>11</v>
      </c>
      <c r="F348" s="26">
        <v>15</v>
      </c>
      <c r="G348" s="26">
        <v>18</v>
      </c>
      <c r="H348" s="26">
        <v>22</v>
      </c>
      <c r="I348" s="26">
        <v>25</v>
      </c>
      <c r="J348" s="26">
        <v>29</v>
      </c>
      <c r="K348" s="6"/>
      <c r="L348" s="58"/>
      <c r="M348" s="62"/>
      <c r="N348" s="58"/>
    </row>
    <row r="349" spans="1:16" ht="15.75" hidden="1" x14ac:dyDescent="0.25">
      <c r="A349" s="2">
        <v>0</v>
      </c>
      <c r="B349" s="5" t="s">
        <v>123</v>
      </c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7">
        <f>M349+A349-L349</f>
        <v>0</v>
      </c>
    </row>
    <row r="350" spans="1:16" ht="15.75" x14ac:dyDescent="0.25">
      <c r="A350" s="2">
        <f>N279</f>
        <v>-15</v>
      </c>
      <c r="B350" s="5" t="s">
        <v>125</v>
      </c>
      <c r="C350" s="6"/>
      <c r="D350" s="7"/>
      <c r="E350" s="6"/>
      <c r="F350" s="6"/>
      <c r="G350" s="6"/>
      <c r="H350" s="6"/>
      <c r="I350" s="7"/>
      <c r="J350" s="6"/>
      <c r="K350" s="7"/>
      <c r="L350" s="7">
        <f>SUM(C350:K350)</f>
        <v>0</v>
      </c>
      <c r="M350" s="7"/>
      <c r="N350" s="7">
        <f t="shared" ref="N350:N416" si="56">M350+A350-L350</f>
        <v>-15</v>
      </c>
    </row>
    <row r="351" spans="1:16" ht="15.75" x14ac:dyDescent="0.25">
      <c r="A351" s="2">
        <f t="shared" ref="A351:A378" si="57">N280</f>
        <v>-120</v>
      </c>
      <c r="B351" s="5" t="s">
        <v>194</v>
      </c>
      <c r="C351" s="7"/>
      <c r="D351" s="7"/>
      <c r="E351" s="7"/>
      <c r="F351" s="7"/>
      <c r="G351" s="7">
        <v>25</v>
      </c>
      <c r="H351" s="7"/>
      <c r="I351" s="7"/>
      <c r="J351" s="15"/>
      <c r="K351" s="7"/>
      <c r="L351" s="7">
        <f>SUM(C351:K351)</f>
        <v>25</v>
      </c>
      <c r="M351" s="7">
        <f>120+25</f>
        <v>145</v>
      </c>
      <c r="N351" s="7">
        <f t="shared" si="56"/>
        <v>0</v>
      </c>
      <c r="O351" t="s">
        <v>281</v>
      </c>
      <c r="P351" t="s">
        <v>290</v>
      </c>
    </row>
    <row r="352" spans="1:16" ht="15.75" x14ac:dyDescent="0.25">
      <c r="A352" s="2">
        <f t="shared" si="57"/>
        <v>-32</v>
      </c>
      <c r="B352" s="5" t="s">
        <v>2</v>
      </c>
      <c r="C352" s="6"/>
      <c r="D352" s="7"/>
      <c r="E352" s="6"/>
      <c r="F352" s="7"/>
      <c r="G352" s="6"/>
      <c r="H352" s="7"/>
      <c r="I352" s="6"/>
      <c r="J352" s="6"/>
      <c r="K352" s="7"/>
      <c r="L352" s="7">
        <f>SUM(C352:K352)</f>
        <v>0</v>
      </c>
      <c r="M352" s="7"/>
      <c r="N352" s="7">
        <f t="shared" si="56"/>
        <v>-32</v>
      </c>
    </row>
    <row r="353" spans="1:16" ht="15.75" x14ac:dyDescent="0.25">
      <c r="A353" s="2">
        <f t="shared" si="57"/>
        <v>-25.8</v>
      </c>
      <c r="B353" s="5" t="s">
        <v>129</v>
      </c>
      <c r="C353" s="6"/>
      <c r="D353" s="7"/>
      <c r="E353" s="6"/>
      <c r="F353" s="6"/>
      <c r="G353" s="6"/>
      <c r="H353" s="7"/>
      <c r="I353" s="6"/>
      <c r="J353" s="6"/>
      <c r="K353" s="7"/>
      <c r="L353" s="7">
        <f t="shared" ref="L353:L372" si="58">SUM(C353:K353)</f>
        <v>0</v>
      </c>
      <c r="M353" s="7"/>
      <c r="N353" s="7">
        <f t="shared" si="56"/>
        <v>-25.8</v>
      </c>
    </row>
    <row r="354" spans="1:16" ht="15.75" x14ac:dyDescent="0.25">
      <c r="A354" s="2">
        <f t="shared" si="57"/>
        <v>-15</v>
      </c>
      <c r="B354" s="5" t="s">
        <v>195</v>
      </c>
      <c r="C354" s="6"/>
      <c r="D354" s="7"/>
      <c r="E354" s="6"/>
      <c r="F354" s="6"/>
      <c r="G354" s="6"/>
      <c r="H354" s="7"/>
      <c r="I354" s="7"/>
      <c r="J354" s="6"/>
      <c r="K354" s="7"/>
      <c r="L354" s="7">
        <f t="shared" si="58"/>
        <v>0</v>
      </c>
      <c r="M354" s="7">
        <v>15</v>
      </c>
      <c r="N354" s="7">
        <f t="shared" si="56"/>
        <v>0</v>
      </c>
      <c r="O354" t="s">
        <v>274</v>
      </c>
    </row>
    <row r="355" spans="1:16" ht="15.75" x14ac:dyDescent="0.25">
      <c r="A355" s="2">
        <f t="shared" si="57"/>
        <v>-56</v>
      </c>
      <c r="B355" s="5" t="s">
        <v>128</v>
      </c>
      <c r="C355" s="7"/>
      <c r="D355" s="7"/>
      <c r="E355" s="7"/>
      <c r="F355" s="6"/>
      <c r="G355" s="7">
        <v>72.900000000000006</v>
      </c>
      <c r="H355" s="7"/>
      <c r="I355" s="7"/>
      <c r="J355" s="7"/>
      <c r="K355" s="7"/>
      <c r="L355" s="7">
        <f t="shared" si="58"/>
        <v>72.900000000000006</v>
      </c>
      <c r="M355" s="7">
        <v>72.900000000000006</v>
      </c>
      <c r="N355" s="7">
        <f t="shared" si="56"/>
        <v>-56</v>
      </c>
      <c r="O355" t="s">
        <v>287</v>
      </c>
    </row>
    <row r="356" spans="1:16" ht="15.75" x14ac:dyDescent="0.25">
      <c r="A356" s="2">
        <f t="shared" si="57"/>
        <v>-335.2</v>
      </c>
      <c r="B356" s="5" t="s">
        <v>127</v>
      </c>
      <c r="C356" s="6"/>
      <c r="D356" s="7"/>
      <c r="E356" s="7"/>
      <c r="F356" s="6"/>
      <c r="G356" s="6"/>
      <c r="H356" s="7"/>
      <c r="I356" s="6"/>
      <c r="J356" s="7"/>
      <c r="K356" s="7"/>
      <c r="L356" s="7">
        <f t="shared" si="58"/>
        <v>0</v>
      </c>
      <c r="M356" s="7">
        <v>50</v>
      </c>
      <c r="N356" s="7">
        <f t="shared" si="56"/>
        <v>-285.2</v>
      </c>
      <c r="O356" t="s">
        <v>275</v>
      </c>
    </row>
    <row r="357" spans="1:16" ht="15.75" hidden="1" x14ac:dyDescent="0.25">
      <c r="A357" s="2">
        <f t="shared" si="57"/>
        <v>0</v>
      </c>
      <c r="B357" s="5" t="s">
        <v>126</v>
      </c>
      <c r="C357" s="6"/>
      <c r="D357" s="7"/>
      <c r="E357" s="6"/>
      <c r="F357" s="6"/>
      <c r="G357" s="6"/>
      <c r="H357" s="7"/>
      <c r="I357" s="6"/>
      <c r="J357" s="6"/>
      <c r="K357" s="7"/>
      <c r="L357" s="7">
        <f t="shared" si="58"/>
        <v>0</v>
      </c>
      <c r="M357" s="7"/>
      <c r="N357" s="7">
        <f t="shared" si="56"/>
        <v>0</v>
      </c>
    </row>
    <row r="358" spans="1:16" ht="15.75" x14ac:dyDescent="0.25">
      <c r="A358" s="2">
        <f t="shared" si="57"/>
        <v>-503.20000000000005</v>
      </c>
      <c r="B358" s="5" t="s">
        <v>130</v>
      </c>
      <c r="C358" s="7"/>
      <c r="D358" s="7"/>
      <c r="E358" s="7"/>
      <c r="F358" s="7"/>
      <c r="G358" s="7"/>
      <c r="H358" s="7"/>
      <c r="I358" s="6"/>
      <c r="J358" s="7"/>
      <c r="K358" s="7"/>
      <c r="L358" s="7">
        <f t="shared" si="58"/>
        <v>0</v>
      </c>
      <c r="M358" s="7"/>
      <c r="N358" s="7">
        <f t="shared" si="56"/>
        <v>-503.20000000000005</v>
      </c>
    </row>
    <row r="359" spans="1:16" ht="15.75" x14ac:dyDescent="0.25">
      <c r="A359" s="2">
        <f t="shared" si="57"/>
        <v>-71.13</v>
      </c>
      <c r="B359" s="5" t="s">
        <v>131</v>
      </c>
      <c r="C359" s="7"/>
      <c r="D359" s="7"/>
      <c r="E359" s="7"/>
      <c r="F359" s="7"/>
      <c r="G359" s="7"/>
      <c r="H359" s="7"/>
      <c r="I359" s="7"/>
      <c r="J359" s="6"/>
      <c r="K359" s="7"/>
      <c r="L359" s="7">
        <f t="shared" si="58"/>
        <v>0</v>
      </c>
      <c r="M359" s="7"/>
      <c r="N359" s="7">
        <f t="shared" si="56"/>
        <v>-71.13</v>
      </c>
    </row>
    <row r="360" spans="1:16" ht="15.75" x14ac:dyDescent="0.25">
      <c r="A360" s="2">
        <f t="shared" si="57"/>
        <v>-90</v>
      </c>
      <c r="B360" s="5" t="s">
        <v>132</v>
      </c>
      <c r="C360" s="7"/>
      <c r="D360" s="7"/>
      <c r="E360" s="7"/>
      <c r="F360" s="7"/>
      <c r="G360" s="7">
        <v>50</v>
      </c>
      <c r="H360" s="7"/>
      <c r="I360" s="7"/>
      <c r="J360" s="7"/>
      <c r="K360" s="7"/>
      <c r="L360" s="7">
        <f t="shared" si="58"/>
        <v>50</v>
      </c>
      <c r="M360" s="7">
        <v>90</v>
      </c>
      <c r="N360" s="7">
        <f t="shared" si="56"/>
        <v>-50</v>
      </c>
      <c r="O360" t="s">
        <v>276</v>
      </c>
    </row>
    <row r="361" spans="1:16" ht="15.75" x14ac:dyDescent="0.25">
      <c r="A361" s="2">
        <f t="shared" si="57"/>
        <v>0</v>
      </c>
      <c r="B361" s="5" t="s">
        <v>9</v>
      </c>
      <c r="C361" s="6"/>
      <c r="D361" s="7"/>
      <c r="E361" s="7"/>
      <c r="F361" s="7"/>
      <c r="G361" s="7"/>
      <c r="H361" s="6"/>
      <c r="I361" s="7">
        <v>48.2</v>
      </c>
      <c r="J361" s="6"/>
      <c r="K361" s="7"/>
      <c r="L361" s="7">
        <f t="shared" si="58"/>
        <v>48.2</v>
      </c>
      <c r="M361" s="7"/>
      <c r="N361" s="7">
        <f t="shared" si="56"/>
        <v>-48.2</v>
      </c>
    </row>
    <row r="362" spans="1:16" ht="15.75" x14ac:dyDescent="0.25">
      <c r="A362" s="2">
        <f t="shared" si="57"/>
        <v>-108.5</v>
      </c>
      <c r="B362" s="5" t="s">
        <v>133</v>
      </c>
      <c r="C362" s="7"/>
      <c r="D362" s="7"/>
      <c r="E362" s="7"/>
      <c r="F362" s="7"/>
      <c r="G362" s="7"/>
      <c r="H362" s="7"/>
      <c r="I362" s="7">
        <v>25</v>
      </c>
      <c r="J362" s="7"/>
      <c r="K362" s="7"/>
      <c r="L362" s="7">
        <f t="shared" si="58"/>
        <v>25</v>
      </c>
      <c r="M362" s="8">
        <v>108.5</v>
      </c>
      <c r="N362" s="7">
        <f t="shared" si="56"/>
        <v>-25</v>
      </c>
      <c r="O362" t="s">
        <v>277</v>
      </c>
    </row>
    <row r="363" spans="1:16" ht="15.75" x14ac:dyDescent="0.25">
      <c r="A363" s="2">
        <f t="shared" si="57"/>
        <v>-128.4</v>
      </c>
      <c r="B363" s="5" t="s">
        <v>96</v>
      </c>
      <c r="C363" s="7">
        <v>25</v>
      </c>
      <c r="D363" s="7"/>
      <c r="E363" s="7"/>
      <c r="F363" s="7"/>
      <c r="G363" s="7"/>
      <c r="H363" s="7"/>
      <c r="I363" s="7"/>
      <c r="J363" s="7"/>
      <c r="K363" s="7"/>
      <c r="L363" s="7">
        <f t="shared" si="58"/>
        <v>25</v>
      </c>
      <c r="M363" s="7"/>
      <c r="N363" s="7">
        <f t="shared" si="56"/>
        <v>-153.4</v>
      </c>
    </row>
    <row r="364" spans="1:16" ht="15.75" x14ac:dyDescent="0.25">
      <c r="A364" s="2">
        <f t="shared" si="57"/>
        <v>-20</v>
      </c>
      <c r="B364" s="5" t="s">
        <v>134</v>
      </c>
      <c r="C364" s="7"/>
      <c r="D364" s="7"/>
      <c r="E364" s="6"/>
      <c r="F364" s="6"/>
      <c r="G364" s="6"/>
      <c r="H364" s="7">
        <v>25</v>
      </c>
      <c r="I364" s="7"/>
      <c r="J364" s="7"/>
      <c r="K364" s="7"/>
      <c r="L364" s="7">
        <f t="shared" si="58"/>
        <v>25</v>
      </c>
      <c r="M364" s="7">
        <f>20+25</f>
        <v>45</v>
      </c>
      <c r="N364" s="7">
        <f t="shared" si="56"/>
        <v>0</v>
      </c>
      <c r="O364" t="s">
        <v>267</v>
      </c>
      <c r="P364" t="s">
        <v>285</v>
      </c>
    </row>
    <row r="365" spans="1:16" ht="15.75" x14ac:dyDescent="0.25">
      <c r="A365" s="2">
        <f t="shared" si="57"/>
        <v>26.1</v>
      </c>
      <c r="B365" s="5" t="s">
        <v>99</v>
      </c>
      <c r="C365" s="7"/>
      <c r="D365" s="7">
        <v>15.3</v>
      </c>
      <c r="E365" s="6"/>
      <c r="F365" s="6"/>
      <c r="G365" s="6"/>
      <c r="H365" s="6"/>
      <c r="I365" s="6"/>
      <c r="J365" s="6"/>
      <c r="K365" s="7"/>
      <c r="L365" s="7">
        <f t="shared" si="58"/>
        <v>15.3</v>
      </c>
      <c r="M365" s="7">
        <v>15.3</v>
      </c>
      <c r="N365" s="7">
        <f t="shared" si="56"/>
        <v>26.100000000000005</v>
      </c>
      <c r="O365" t="s">
        <v>273</v>
      </c>
    </row>
    <row r="366" spans="1:16" ht="15.75" hidden="1" x14ac:dyDescent="0.25">
      <c r="A366" s="2">
        <f t="shared" si="57"/>
        <v>0</v>
      </c>
      <c r="B366" s="5" t="s">
        <v>21</v>
      </c>
      <c r="C366" s="7"/>
      <c r="D366" s="7"/>
      <c r="E366" s="7"/>
      <c r="F366" s="7"/>
      <c r="G366" s="7"/>
      <c r="H366" s="7"/>
      <c r="I366" s="7"/>
      <c r="J366" s="7"/>
      <c r="K366" s="7"/>
      <c r="L366" s="7">
        <f t="shared" si="58"/>
        <v>0</v>
      </c>
      <c r="M366" s="7"/>
      <c r="N366" s="7">
        <f t="shared" si="56"/>
        <v>0</v>
      </c>
    </row>
    <row r="367" spans="1:16" ht="15.75" hidden="1" x14ac:dyDescent="0.25">
      <c r="A367" s="2">
        <f t="shared" si="57"/>
        <v>0</v>
      </c>
      <c r="B367" s="5" t="s">
        <v>47</v>
      </c>
      <c r="C367" s="7"/>
      <c r="D367" s="7"/>
      <c r="E367" s="7"/>
      <c r="F367" s="7"/>
      <c r="G367" s="7"/>
      <c r="H367" s="7"/>
      <c r="I367" s="7"/>
      <c r="J367" s="7"/>
      <c r="K367" s="7"/>
      <c r="L367" s="7">
        <f t="shared" si="58"/>
        <v>0</v>
      </c>
      <c r="M367" s="7"/>
      <c r="N367" s="7">
        <f t="shared" si="56"/>
        <v>0</v>
      </c>
    </row>
    <row r="368" spans="1:16" ht="15.75" x14ac:dyDescent="0.25">
      <c r="A368" s="2">
        <f t="shared" si="57"/>
        <v>-525.99</v>
      </c>
      <c r="B368" s="5" t="s">
        <v>53</v>
      </c>
      <c r="C368" s="7"/>
      <c r="D368" s="7"/>
      <c r="E368" s="7"/>
      <c r="F368" s="7"/>
      <c r="G368" s="7"/>
      <c r="H368" s="7"/>
      <c r="I368" s="7"/>
      <c r="J368" s="7"/>
      <c r="K368" s="7"/>
      <c r="L368" s="7">
        <f t="shared" si="58"/>
        <v>0</v>
      </c>
      <c r="M368" s="7"/>
      <c r="N368" s="7">
        <f t="shared" si="56"/>
        <v>-525.99</v>
      </c>
    </row>
    <row r="369" spans="1:15" ht="15.75" x14ac:dyDescent="0.25">
      <c r="A369" s="2">
        <f t="shared" si="57"/>
        <v>-419.6</v>
      </c>
      <c r="B369" s="5" t="s">
        <v>33</v>
      </c>
      <c r="C369" s="7">
        <v>119.7</v>
      </c>
      <c r="D369" s="7"/>
      <c r="E369" s="7"/>
      <c r="F369" s="7"/>
      <c r="G369" s="7"/>
      <c r="H369" s="7"/>
      <c r="I369" s="7"/>
      <c r="J369" s="7"/>
      <c r="K369" s="7"/>
      <c r="L369" s="7">
        <f t="shared" si="58"/>
        <v>119.7</v>
      </c>
      <c r="M369" s="7"/>
      <c r="N369" s="7">
        <f t="shared" si="56"/>
        <v>-539.30000000000007</v>
      </c>
    </row>
    <row r="370" spans="1:15" ht="15.75" hidden="1" x14ac:dyDescent="0.25">
      <c r="A370" s="2">
        <f t="shared" si="57"/>
        <v>0</v>
      </c>
      <c r="B370" s="5" t="s">
        <v>87</v>
      </c>
      <c r="C370" s="7"/>
      <c r="D370" s="7"/>
      <c r="E370" s="7"/>
      <c r="F370" s="7"/>
      <c r="G370" s="7"/>
      <c r="H370" s="7"/>
      <c r="I370" s="7"/>
      <c r="J370" s="7"/>
      <c r="K370" s="7"/>
      <c r="L370" s="7">
        <f t="shared" si="58"/>
        <v>0</v>
      </c>
      <c r="M370" s="7"/>
      <c r="N370" s="7">
        <f t="shared" si="56"/>
        <v>0</v>
      </c>
    </row>
    <row r="371" spans="1:15" ht="15.75" hidden="1" x14ac:dyDescent="0.25">
      <c r="A371" s="2">
        <f t="shared" si="57"/>
        <v>0</v>
      </c>
      <c r="B371" s="5" t="s">
        <v>23</v>
      </c>
      <c r="C371" s="7"/>
      <c r="D371" s="7"/>
      <c r="E371" s="7"/>
      <c r="F371" s="7"/>
      <c r="G371" s="7"/>
      <c r="H371" s="7"/>
      <c r="I371" s="7"/>
      <c r="J371" s="7"/>
      <c r="K371" s="7"/>
      <c r="L371" s="7">
        <f t="shared" si="58"/>
        <v>0</v>
      </c>
      <c r="M371" s="7"/>
      <c r="N371" s="7">
        <f t="shared" si="56"/>
        <v>0</v>
      </c>
    </row>
    <row r="372" spans="1:15" ht="15.75" x14ac:dyDescent="0.25">
      <c r="A372" s="2">
        <f t="shared" si="57"/>
        <v>0</v>
      </c>
      <c r="B372" s="5" t="s">
        <v>24</v>
      </c>
      <c r="C372" s="7"/>
      <c r="D372" s="7"/>
      <c r="E372" s="7"/>
      <c r="F372" s="7"/>
      <c r="G372" s="7">
        <v>25</v>
      </c>
      <c r="H372" s="7"/>
      <c r="I372" s="7"/>
      <c r="J372" s="7"/>
      <c r="K372" s="7"/>
      <c r="L372" s="7">
        <f t="shared" si="58"/>
        <v>25</v>
      </c>
      <c r="M372" s="7"/>
      <c r="N372" s="7">
        <f t="shared" si="56"/>
        <v>-25</v>
      </c>
    </row>
    <row r="373" spans="1:15" ht="15.75" hidden="1" x14ac:dyDescent="0.25">
      <c r="A373" s="2">
        <f t="shared" si="57"/>
        <v>0</v>
      </c>
      <c r="B373" s="5" t="s">
        <v>51</v>
      </c>
      <c r="C373" s="7"/>
      <c r="D373" s="7"/>
      <c r="E373" s="7"/>
      <c r="F373" s="7"/>
      <c r="G373" s="7"/>
      <c r="H373" s="7"/>
      <c r="I373" s="7"/>
      <c r="J373" s="7"/>
      <c r="K373" s="7"/>
      <c r="L373" s="7">
        <f>SUM(C373:K373)</f>
        <v>0</v>
      </c>
      <c r="M373" s="7"/>
      <c r="N373" s="7">
        <f t="shared" si="56"/>
        <v>0</v>
      </c>
    </row>
    <row r="374" spans="1:15" ht="15.75" x14ac:dyDescent="0.25">
      <c r="A374" s="2">
        <f t="shared" si="57"/>
        <v>0</v>
      </c>
      <c r="B374" s="5" t="s">
        <v>25</v>
      </c>
      <c r="C374" s="7"/>
      <c r="D374" s="7"/>
      <c r="E374" s="7"/>
      <c r="F374" s="7"/>
      <c r="G374" s="7"/>
      <c r="H374" s="7"/>
      <c r="I374" s="7"/>
      <c r="J374" s="7">
        <v>90</v>
      </c>
      <c r="K374" s="7"/>
      <c r="L374" s="7">
        <f>SUM(C374:K374)</f>
        <v>90</v>
      </c>
      <c r="M374" s="7">
        <v>90</v>
      </c>
      <c r="N374" s="7">
        <f t="shared" si="56"/>
        <v>0</v>
      </c>
      <c r="O374" s="29">
        <v>43609</v>
      </c>
    </row>
    <row r="375" spans="1:15" ht="15.75" x14ac:dyDescent="0.25">
      <c r="A375" s="2">
        <f t="shared" si="57"/>
        <v>-27.1</v>
      </c>
      <c r="B375" s="5" t="s">
        <v>27</v>
      </c>
      <c r="C375" s="7"/>
      <c r="D375" s="7">
        <v>8</v>
      </c>
      <c r="E375" s="7"/>
      <c r="F375" s="7"/>
      <c r="G375" s="7"/>
      <c r="H375" s="7"/>
      <c r="I375" s="7">
        <v>28.8</v>
      </c>
      <c r="J375" s="7"/>
      <c r="K375" s="7"/>
      <c r="L375" s="7">
        <f>SUM(C375:K375)</f>
        <v>36.799999999999997</v>
      </c>
      <c r="M375" s="7"/>
      <c r="N375" s="7">
        <f t="shared" si="56"/>
        <v>-63.9</v>
      </c>
    </row>
    <row r="376" spans="1:15" ht="15.75" x14ac:dyDescent="0.25">
      <c r="A376" s="2">
        <f t="shared" si="57"/>
        <v>-44</v>
      </c>
      <c r="B376" s="5" t="s">
        <v>29</v>
      </c>
      <c r="C376" s="7"/>
      <c r="D376" s="7"/>
      <c r="E376" s="7"/>
      <c r="F376" s="7"/>
      <c r="G376" s="7"/>
      <c r="H376" s="7"/>
      <c r="I376" s="7"/>
      <c r="J376" s="7"/>
      <c r="K376" s="7"/>
      <c r="L376" s="7">
        <f t="shared" ref="L376:L377" si="59">SUM(C376:K376)</f>
        <v>0</v>
      </c>
      <c r="M376" s="7"/>
      <c r="N376" s="7">
        <f t="shared" si="56"/>
        <v>-44</v>
      </c>
    </row>
    <row r="377" spans="1:15" ht="15.75" x14ac:dyDescent="0.25">
      <c r="A377" s="2">
        <f t="shared" si="57"/>
        <v>773.88</v>
      </c>
      <c r="B377" s="5" t="s">
        <v>30</v>
      </c>
      <c r="C377" s="7"/>
      <c r="D377" s="7"/>
      <c r="E377" s="7">
        <v>48.6</v>
      </c>
      <c r="F377" s="7"/>
      <c r="G377" s="7"/>
      <c r="H377" s="7"/>
      <c r="I377" s="7">
        <f>36+263.16</f>
        <v>299.16000000000003</v>
      </c>
      <c r="J377" s="7"/>
      <c r="K377" s="7"/>
      <c r="L377" s="7">
        <f t="shared" si="59"/>
        <v>347.76000000000005</v>
      </c>
      <c r="M377" s="7">
        <v>36</v>
      </c>
      <c r="N377" s="7">
        <f t="shared" si="56"/>
        <v>462.11999999999995</v>
      </c>
      <c r="O377" t="s">
        <v>283</v>
      </c>
    </row>
    <row r="378" spans="1:15" ht="15.75" hidden="1" x14ac:dyDescent="0.25">
      <c r="A378" s="2">
        <f t="shared" si="57"/>
        <v>0</v>
      </c>
      <c r="B378" s="5" t="s">
        <v>56</v>
      </c>
      <c r="C378" s="7"/>
      <c r="D378" s="7"/>
      <c r="E378" s="7"/>
      <c r="F378" s="7"/>
      <c r="G378" s="7"/>
      <c r="H378" s="7"/>
      <c r="I378" s="7"/>
      <c r="J378" s="7"/>
      <c r="K378" s="7"/>
      <c r="L378" s="7">
        <f>SUM(C378:K378)</f>
        <v>0</v>
      </c>
      <c r="M378" s="7"/>
      <c r="N378" s="7">
        <f t="shared" si="56"/>
        <v>0</v>
      </c>
    </row>
    <row r="379" spans="1:15" ht="15.75" x14ac:dyDescent="0.25">
      <c r="A379" s="2"/>
      <c r="B379" s="5" t="s">
        <v>272</v>
      </c>
      <c r="C379" s="7"/>
      <c r="D379" s="7"/>
      <c r="E379" s="7"/>
      <c r="F379" s="7"/>
      <c r="G379" s="7">
        <v>25</v>
      </c>
      <c r="H379" s="7"/>
      <c r="I379" s="7"/>
      <c r="J379" s="7"/>
      <c r="K379" s="7"/>
      <c r="L379" s="7">
        <f>SUM(C379:K379)</f>
        <v>25</v>
      </c>
      <c r="M379" s="7">
        <v>25</v>
      </c>
      <c r="N379" s="7">
        <f t="shared" ref="N379" si="60">M379+A379-L379</f>
        <v>0</v>
      </c>
      <c r="O379" t="s">
        <v>286</v>
      </c>
    </row>
    <row r="380" spans="1:15" ht="15.75" x14ac:dyDescent="0.25">
      <c r="A380" s="2">
        <f t="shared" ref="A380:A406" si="61">N308</f>
        <v>-45.000000000000007</v>
      </c>
      <c r="B380" s="5" t="s">
        <v>101</v>
      </c>
      <c r="C380" s="7"/>
      <c r="D380" s="7"/>
      <c r="E380" s="7"/>
      <c r="F380" s="7"/>
      <c r="G380" s="7">
        <v>22.5</v>
      </c>
      <c r="H380" s="7"/>
      <c r="I380" s="7">
        <v>25</v>
      </c>
      <c r="J380" s="7"/>
      <c r="K380" s="7"/>
      <c r="L380" s="7">
        <f t="shared" ref="L380:L387" si="62">SUM(C380:K380)</f>
        <v>47.5</v>
      </c>
      <c r="M380" s="7">
        <v>45</v>
      </c>
      <c r="N380" s="7">
        <f t="shared" si="56"/>
        <v>-47.500000000000007</v>
      </c>
      <c r="O380" t="s">
        <v>292</v>
      </c>
    </row>
    <row r="381" spans="1:15" ht="15.75" x14ac:dyDescent="0.25">
      <c r="A381" s="2">
        <f t="shared" si="61"/>
        <v>-9.8000000000000007</v>
      </c>
      <c r="B381" s="5" t="s">
        <v>41</v>
      </c>
      <c r="C381" s="6"/>
      <c r="D381" s="6"/>
      <c r="E381" s="7"/>
      <c r="F381" s="7"/>
      <c r="G381" s="7"/>
      <c r="H381" s="7"/>
      <c r="I381" s="7"/>
      <c r="J381" s="7"/>
      <c r="K381" s="7"/>
      <c r="L381" s="7">
        <f t="shared" si="62"/>
        <v>0</v>
      </c>
      <c r="M381" s="7"/>
      <c r="N381" s="7">
        <f t="shared" si="56"/>
        <v>-9.8000000000000007</v>
      </c>
    </row>
    <row r="382" spans="1:15" ht="15.75" x14ac:dyDescent="0.25">
      <c r="A382" s="2">
        <f t="shared" si="61"/>
        <v>0</v>
      </c>
      <c r="B382" s="5" t="s">
        <v>102</v>
      </c>
      <c r="C382" s="6"/>
      <c r="D382" s="7"/>
      <c r="E382" s="7"/>
      <c r="F382" s="7"/>
      <c r="G382" s="7">
        <v>25</v>
      </c>
      <c r="H382" s="7"/>
      <c r="I382" s="7"/>
      <c r="J382" s="7"/>
      <c r="K382" s="7"/>
      <c r="L382" s="7">
        <f t="shared" si="62"/>
        <v>25</v>
      </c>
      <c r="M382" s="7"/>
      <c r="N382" s="7">
        <f t="shared" si="56"/>
        <v>-25</v>
      </c>
    </row>
    <row r="383" spans="1:15" ht="15.75" x14ac:dyDescent="0.25">
      <c r="A383" s="2">
        <f t="shared" si="61"/>
        <v>-245.7</v>
      </c>
      <c r="B383" s="5" t="s">
        <v>45</v>
      </c>
      <c r="C383" s="7"/>
      <c r="D383" s="6"/>
      <c r="E383" s="6"/>
      <c r="F383" s="7"/>
      <c r="G383" s="7"/>
      <c r="H383" s="7"/>
      <c r="I383" s="7"/>
      <c r="J383" s="7"/>
      <c r="K383" s="7"/>
      <c r="L383" s="7">
        <f t="shared" si="62"/>
        <v>0</v>
      </c>
      <c r="M383" s="7"/>
      <c r="N383" s="7">
        <f t="shared" si="56"/>
        <v>-245.7</v>
      </c>
    </row>
    <row r="384" spans="1:15" ht="15.75" x14ac:dyDescent="0.25">
      <c r="A384" s="2">
        <f t="shared" si="61"/>
        <v>-119.3</v>
      </c>
      <c r="B384" s="5" t="s">
        <v>46</v>
      </c>
      <c r="C384" s="7"/>
      <c r="D384" s="7"/>
      <c r="E384" s="10"/>
      <c r="F384" s="7"/>
      <c r="G384" s="7"/>
      <c r="H384" s="7"/>
      <c r="I384" s="7">
        <v>45</v>
      </c>
      <c r="J384" s="7"/>
      <c r="K384" s="7"/>
      <c r="L384" s="7">
        <f t="shared" si="62"/>
        <v>45</v>
      </c>
      <c r="M384" s="7">
        <v>45</v>
      </c>
      <c r="N384" s="7">
        <f t="shared" si="56"/>
        <v>-119.3</v>
      </c>
      <c r="O384" t="s">
        <v>271</v>
      </c>
    </row>
    <row r="385" spans="1:16" ht="15.75" x14ac:dyDescent="0.25">
      <c r="A385" s="2">
        <f t="shared" si="61"/>
        <v>0</v>
      </c>
      <c r="B385" s="5" t="s">
        <v>79</v>
      </c>
      <c r="C385" s="7"/>
      <c r="D385" s="6"/>
      <c r="E385" s="10"/>
      <c r="F385" s="7"/>
      <c r="G385" s="7"/>
      <c r="H385" s="7"/>
      <c r="I385" s="7">
        <v>32</v>
      </c>
      <c r="J385" s="7"/>
      <c r="K385" s="7"/>
      <c r="L385" s="7">
        <f t="shared" si="62"/>
        <v>32</v>
      </c>
      <c r="M385" s="7"/>
      <c r="N385" s="7">
        <f t="shared" si="56"/>
        <v>-32</v>
      </c>
    </row>
    <row r="386" spans="1:16" ht="15.75" hidden="1" x14ac:dyDescent="0.25">
      <c r="A386" s="2">
        <f t="shared" si="61"/>
        <v>0</v>
      </c>
      <c r="B386" s="5" t="s">
        <v>261</v>
      </c>
      <c r="C386" s="7"/>
      <c r="D386" s="6"/>
      <c r="E386" s="10"/>
      <c r="F386" s="7"/>
      <c r="G386" s="7"/>
      <c r="H386" s="7"/>
      <c r="I386" s="7"/>
      <c r="J386" s="7"/>
      <c r="K386" s="7"/>
      <c r="L386" s="7">
        <f t="shared" si="62"/>
        <v>0</v>
      </c>
      <c r="M386" s="7"/>
      <c r="N386" s="7">
        <f t="shared" si="56"/>
        <v>0</v>
      </c>
    </row>
    <row r="387" spans="1:16" ht="15.75" x14ac:dyDescent="0.25">
      <c r="A387" s="2">
        <f t="shared" si="61"/>
        <v>-546.19999999999982</v>
      </c>
      <c r="B387" s="5" t="s">
        <v>103</v>
      </c>
      <c r="C387" s="6"/>
      <c r="D387" s="6"/>
      <c r="E387" s="6"/>
      <c r="F387" s="7">
        <v>64.8</v>
      </c>
      <c r="G387" s="7"/>
      <c r="H387" s="7"/>
      <c r="I387" s="7"/>
      <c r="J387" s="7">
        <v>171</v>
      </c>
      <c r="K387" s="7"/>
      <c r="L387" s="7">
        <f t="shared" si="62"/>
        <v>235.8</v>
      </c>
      <c r="M387" s="7"/>
      <c r="N387" s="7">
        <f t="shared" si="56"/>
        <v>-781.99999999999977</v>
      </c>
    </row>
    <row r="388" spans="1:16" ht="15.75" hidden="1" x14ac:dyDescent="0.25">
      <c r="A388" s="2">
        <f t="shared" si="61"/>
        <v>0</v>
      </c>
      <c r="B388" s="5" t="s">
        <v>211</v>
      </c>
      <c r="C388" s="6"/>
      <c r="D388" s="7"/>
      <c r="E388" s="6"/>
      <c r="F388" s="7"/>
      <c r="G388" s="7"/>
      <c r="H388" s="7"/>
      <c r="I388" s="7"/>
      <c r="J388" s="7"/>
      <c r="K388" s="7"/>
      <c r="L388" s="7">
        <f t="shared" ref="L388:L398" si="63">SUM(C388:K388)</f>
        <v>0</v>
      </c>
      <c r="M388" s="7"/>
      <c r="N388" s="7">
        <f t="shared" si="56"/>
        <v>0</v>
      </c>
    </row>
    <row r="389" spans="1:16" ht="15.75" hidden="1" x14ac:dyDescent="0.25">
      <c r="A389" s="2">
        <f t="shared" si="61"/>
        <v>0</v>
      </c>
      <c r="B389" s="5" t="s">
        <v>139</v>
      </c>
      <c r="C389" s="7"/>
      <c r="D389" s="7"/>
      <c r="E389" s="6"/>
      <c r="F389" s="7"/>
      <c r="G389" s="7"/>
      <c r="H389" s="7"/>
      <c r="I389" s="7"/>
      <c r="J389" s="7"/>
      <c r="K389" s="7"/>
      <c r="L389" s="7">
        <f t="shared" si="63"/>
        <v>0</v>
      </c>
      <c r="M389" s="7"/>
      <c r="N389" s="7">
        <f t="shared" si="56"/>
        <v>0</v>
      </c>
    </row>
    <row r="390" spans="1:16" ht="15.75" hidden="1" x14ac:dyDescent="0.25">
      <c r="A390" s="2">
        <f t="shared" si="61"/>
        <v>0</v>
      </c>
      <c r="B390" s="5" t="s">
        <v>191</v>
      </c>
      <c r="C390" s="7"/>
      <c r="D390" s="6"/>
      <c r="E390" s="7"/>
      <c r="F390" s="7"/>
      <c r="G390" s="7"/>
      <c r="H390" s="7"/>
      <c r="I390" s="7"/>
      <c r="J390" s="7"/>
      <c r="K390" s="7"/>
      <c r="L390" s="7">
        <f t="shared" si="63"/>
        <v>0</v>
      </c>
      <c r="M390" s="7"/>
      <c r="N390" s="7">
        <f t="shared" si="56"/>
        <v>0</v>
      </c>
    </row>
    <row r="391" spans="1:16" ht="15.75" hidden="1" x14ac:dyDescent="0.25">
      <c r="A391" s="2">
        <f t="shared" si="61"/>
        <v>0</v>
      </c>
      <c r="B391" s="5" t="s">
        <v>91</v>
      </c>
      <c r="C391" s="7"/>
      <c r="D391" s="7"/>
      <c r="E391" s="7"/>
      <c r="F391" s="7"/>
      <c r="G391" s="7"/>
      <c r="H391" s="7"/>
      <c r="I391" s="7"/>
      <c r="J391" s="7"/>
      <c r="K391" s="7"/>
      <c r="L391" s="7">
        <f t="shared" si="63"/>
        <v>0</v>
      </c>
      <c r="M391" s="7"/>
      <c r="N391" s="7">
        <f t="shared" si="56"/>
        <v>0</v>
      </c>
    </row>
    <row r="392" spans="1:16" ht="15.75" x14ac:dyDescent="0.25">
      <c r="A392" s="2">
        <f t="shared" si="61"/>
        <v>-20</v>
      </c>
      <c r="B392" s="5" t="s">
        <v>31</v>
      </c>
      <c r="C392" s="7"/>
      <c r="D392" s="7"/>
      <c r="E392" s="7">
        <v>32.5</v>
      </c>
      <c r="F392" s="7"/>
      <c r="G392" s="7"/>
      <c r="H392" s="7"/>
      <c r="I392" s="7">
        <v>20</v>
      </c>
      <c r="J392" s="7">
        <v>17.5</v>
      </c>
      <c r="K392" s="7"/>
      <c r="L392" s="7">
        <f t="shared" si="63"/>
        <v>70</v>
      </c>
      <c r="M392" s="7">
        <f>52.5+20</f>
        <v>72.5</v>
      </c>
      <c r="N392" s="7">
        <f t="shared" si="56"/>
        <v>-17.5</v>
      </c>
      <c r="O392" t="s">
        <v>282</v>
      </c>
      <c r="P392" t="s">
        <v>293</v>
      </c>
    </row>
    <row r="393" spans="1:16" ht="15.75" x14ac:dyDescent="0.25">
      <c r="A393" s="2">
        <f t="shared" si="61"/>
        <v>0</v>
      </c>
      <c r="B393" s="5" t="s">
        <v>37</v>
      </c>
      <c r="C393" s="7"/>
      <c r="D393" s="7"/>
      <c r="E393" s="7"/>
      <c r="F393" s="7"/>
      <c r="G393" s="7"/>
      <c r="H393" s="7">
        <v>25</v>
      </c>
      <c r="I393" s="7"/>
      <c r="J393" s="7"/>
      <c r="K393" s="7"/>
      <c r="L393" s="7">
        <f t="shared" si="63"/>
        <v>25</v>
      </c>
      <c r="M393" s="7"/>
      <c r="N393" s="7">
        <f t="shared" si="56"/>
        <v>-25</v>
      </c>
    </row>
    <row r="394" spans="1:16" ht="15.75" x14ac:dyDescent="0.25">
      <c r="A394" s="2">
        <f t="shared" si="61"/>
        <v>-40</v>
      </c>
      <c r="B394" s="5" t="s">
        <v>105</v>
      </c>
      <c r="C394" s="7"/>
      <c r="D394" s="7"/>
      <c r="E394" s="7"/>
      <c r="F394" s="7"/>
      <c r="G394" s="7"/>
      <c r="H394" s="7"/>
      <c r="I394" s="7"/>
      <c r="J394" s="7"/>
      <c r="K394" s="7"/>
      <c r="L394" s="7">
        <f t="shared" si="63"/>
        <v>0</v>
      </c>
      <c r="M394" s="7">
        <v>20</v>
      </c>
      <c r="N394" s="7">
        <f t="shared" si="56"/>
        <v>-20</v>
      </c>
      <c r="O394" t="s">
        <v>280</v>
      </c>
    </row>
    <row r="395" spans="1:16" ht="15.75" x14ac:dyDescent="0.25">
      <c r="A395" s="2">
        <f t="shared" si="61"/>
        <v>0</v>
      </c>
      <c r="B395" s="5" t="s">
        <v>54</v>
      </c>
      <c r="C395" s="7"/>
      <c r="D395" s="7"/>
      <c r="E395" s="7"/>
      <c r="F395" s="7">
        <v>9</v>
      </c>
      <c r="G395" s="7"/>
      <c r="H395" s="7"/>
      <c r="I395" s="7"/>
      <c r="J395" s="7"/>
      <c r="K395" s="7"/>
      <c r="L395" s="7">
        <f t="shared" si="63"/>
        <v>9</v>
      </c>
      <c r="M395" s="7"/>
      <c r="N395" s="7">
        <f t="shared" si="56"/>
        <v>-9</v>
      </c>
    </row>
    <row r="396" spans="1:16" ht="15.75" x14ac:dyDescent="0.25">
      <c r="A396" s="2">
        <f t="shared" si="61"/>
        <v>0</v>
      </c>
      <c r="B396" s="5" t="s">
        <v>269</v>
      </c>
      <c r="C396" s="7"/>
      <c r="D396" s="7">
        <v>13.5</v>
      </c>
      <c r="E396" s="7"/>
      <c r="F396" s="7">
        <v>13.5</v>
      </c>
      <c r="G396" s="7"/>
      <c r="H396" s="7"/>
      <c r="I396" s="7"/>
      <c r="J396" s="7"/>
      <c r="K396" s="7"/>
      <c r="L396" s="7">
        <f t="shared" si="63"/>
        <v>27</v>
      </c>
      <c r="M396" s="7">
        <v>13.5</v>
      </c>
      <c r="N396" s="7">
        <f t="shared" si="56"/>
        <v>-13.5</v>
      </c>
      <c r="O396" t="s">
        <v>270</v>
      </c>
    </row>
    <row r="397" spans="1:16" ht="15.75" x14ac:dyDescent="0.25">
      <c r="A397" s="2">
        <f t="shared" si="61"/>
        <v>0</v>
      </c>
      <c r="B397" s="5" t="s">
        <v>19</v>
      </c>
      <c r="C397" s="7"/>
      <c r="D397" s="7"/>
      <c r="E397" s="7"/>
      <c r="F397" s="7"/>
      <c r="G397" s="7">
        <v>14.4</v>
      </c>
      <c r="H397" s="7"/>
      <c r="I397" s="7"/>
      <c r="J397" s="7"/>
      <c r="K397" s="7"/>
      <c r="L397" s="7">
        <f t="shared" si="63"/>
        <v>14.4</v>
      </c>
      <c r="M397" s="7">
        <v>14.4</v>
      </c>
      <c r="N397" s="7">
        <f t="shared" si="56"/>
        <v>0</v>
      </c>
      <c r="O397" t="s">
        <v>284</v>
      </c>
    </row>
    <row r="398" spans="1:16" ht="15.75" hidden="1" x14ac:dyDescent="0.25">
      <c r="A398" s="2">
        <f t="shared" si="61"/>
        <v>0</v>
      </c>
      <c r="B398" s="5" t="s">
        <v>138</v>
      </c>
      <c r="C398" s="7"/>
      <c r="D398" s="7"/>
      <c r="E398" s="7"/>
      <c r="F398" s="7"/>
      <c r="G398" s="7"/>
      <c r="H398" s="7"/>
      <c r="I398" s="7"/>
      <c r="J398" s="7"/>
      <c r="K398" s="7"/>
      <c r="L398" s="7">
        <f t="shared" si="63"/>
        <v>0</v>
      </c>
      <c r="M398" s="7"/>
      <c r="N398" s="7">
        <f t="shared" si="56"/>
        <v>0</v>
      </c>
    </row>
    <row r="399" spans="1:16" ht="15.75" x14ac:dyDescent="0.25">
      <c r="A399" s="2">
        <f t="shared" si="61"/>
        <v>7</v>
      </c>
      <c r="B399" s="5" t="s">
        <v>136</v>
      </c>
      <c r="C399" s="7"/>
      <c r="D399" s="7"/>
      <c r="E399" s="7"/>
      <c r="F399" s="7"/>
      <c r="G399" s="7"/>
      <c r="H399" s="7"/>
      <c r="I399" s="7"/>
      <c r="J399" s="7"/>
      <c r="K399" s="7"/>
      <c r="L399" s="7">
        <f>SUM(C399:K399)</f>
        <v>0</v>
      </c>
      <c r="M399" s="7"/>
      <c r="N399" s="8">
        <f t="shared" si="56"/>
        <v>7</v>
      </c>
    </row>
    <row r="400" spans="1:16" ht="15.75" hidden="1" x14ac:dyDescent="0.25">
      <c r="A400" s="2">
        <f t="shared" si="61"/>
        <v>0</v>
      </c>
      <c r="B400" s="5" t="s">
        <v>108</v>
      </c>
      <c r="C400" s="7"/>
      <c r="D400" s="7"/>
      <c r="E400" s="7"/>
      <c r="F400" s="7"/>
      <c r="G400" s="7"/>
      <c r="H400" s="7"/>
      <c r="I400" s="7"/>
      <c r="J400" s="7"/>
      <c r="K400" s="7"/>
      <c r="L400" s="7">
        <f t="shared" ref="L400:L410" si="64">SUM(C400:K400)</f>
        <v>0</v>
      </c>
      <c r="M400" s="7"/>
      <c r="N400" s="7">
        <f t="shared" si="56"/>
        <v>0</v>
      </c>
    </row>
    <row r="401" spans="1:16" ht="15.75" x14ac:dyDescent="0.25">
      <c r="A401" s="2">
        <f t="shared" si="61"/>
        <v>0</v>
      </c>
      <c r="B401" s="5" t="s">
        <v>95</v>
      </c>
      <c r="C401" s="6"/>
      <c r="D401" s="7"/>
      <c r="E401" s="6"/>
      <c r="F401" s="7"/>
      <c r="G401" s="7"/>
      <c r="H401" s="7"/>
      <c r="I401" s="7">
        <v>45.9</v>
      </c>
      <c r="J401" s="7"/>
      <c r="K401" s="7"/>
      <c r="L401" s="7">
        <f t="shared" si="64"/>
        <v>45.9</v>
      </c>
      <c r="M401" s="7">
        <v>45.9</v>
      </c>
      <c r="N401" s="7">
        <f t="shared" si="56"/>
        <v>0</v>
      </c>
      <c r="O401" t="s">
        <v>288</v>
      </c>
    </row>
    <row r="402" spans="1:16" ht="15.75" x14ac:dyDescent="0.25">
      <c r="A402" s="2">
        <f t="shared" si="61"/>
        <v>-37.799999999999997</v>
      </c>
      <c r="B402" s="5" t="s">
        <v>36</v>
      </c>
      <c r="C402" s="7"/>
      <c r="D402" s="7"/>
      <c r="E402" s="6"/>
      <c r="F402" s="7"/>
      <c r="G402" s="7"/>
      <c r="H402" s="7"/>
      <c r="I402" s="7"/>
      <c r="J402" s="7"/>
      <c r="K402" s="7"/>
      <c r="L402" s="7">
        <f t="shared" si="64"/>
        <v>0</v>
      </c>
      <c r="M402" s="7"/>
      <c r="N402" s="7">
        <f t="shared" si="56"/>
        <v>-37.799999999999997</v>
      </c>
    </row>
    <row r="403" spans="1:16" ht="15.75" hidden="1" x14ac:dyDescent="0.25">
      <c r="A403" s="2">
        <f t="shared" si="61"/>
        <v>0</v>
      </c>
      <c r="B403" s="5" t="s">
        <v>185</v>
      </c>
      <c r="C403" s="7"/>
      <c r="D403" s="7"/>
      <c r="E403" s="6"/>
      <c r="F403" s="7"/>
      <c r="G403" s="7"/>
      <c r="H403" s="7"/>
      <c r="I403" s="7"/>
      <c r="J403" s="7"/>
      <c r="K403" s="7"/>
      <c r="L403" s="7">
        <f t="shared" si="64"/>
        <v>0</v>
      </c>
      <c r="M403" s="7"/>
      <c r="N403" s="7">
        <f t="shared" si="56"/>
        <v>0</v>
      </c>
    </row>
    <row r="404" spans="1:16" ht="15.75" hidden="1" x14ac:dyDescent="0.25">
      <c r="A404" s="2">
        <f t="shared" si="61"/>
        <v>0</v>
      </c>
      <c r="B404" s="5" t="s">
        <v>111</v>
      </c>
      <c r="C404" s="6"/>
      <c r="D404" s="7"/>
      <c r="E404" s="6"/>
      <c r="F404" s="7"/>
      <c r="G404" s="7"/>
      <c r="H404" s="7"/>
      <c r="I404" s="7"/>
      <c r="J404" s="7"/>
      <c r="K404" s="7"/>
      <c r="L404" s="7">
        <f t="shared" si="64"/>
        <v>0</v>
      </c>
      <c r="M404" s="7"/>
      <c r="N404" s="7">
        <f t="shared" si="56"/>
        <v>0</v>
      </c>
    </row>
    <row r="405" spans="1:16" ht="15.75" hidden="1" x14ac:dyDescent="0.25">
      <c r="A405" s="2">
        <f t="shared" si="61"/>
        <v>0</v>
      </c>
      <c r="B405" s="5" t="s">
        <v>51</v>
      </c>
      <c r="C405" s="6"/>
      <c r="D405" s="7"/>
      <c r="E405" s="7"/>
      <c r="F405" s="7"/>
      <c r="G405" s="7"/>
      <c r="H405" s="7"/>
      <c r="I405" s="7"/>
      <c r="J405" s="7"/>
      <c r="K405" s="7"/>
      <c r="L405" s="7">
        <f t="shared" si="64"/>
        <v>0</v>
      </c>
      <c r="M405" s="7"/>
      <c r="N405" s="7">
        <f t="shared" si="56"/>
        <v>0</v>
      </c>
    </row>
    <row r="406" spans="1:16" ht="15.75" hidden="1" x14ac:dyDescent="0.25">
      <c r="A406" s="2">
        <f t="shared" si="61"/>
        <v>0</v>
      </c>
      <c r="B406" s="5" t="s">
        <v>113</v>
      </c>
      <c r="C406" s="6"/>
      <c r="D406" s="7"/>
      <c r="E406" s="7"/>
      <c r="F406" s="7"/>
      <c r="G406" s="7"/>
      <c r="H406" s="7"/>
      <c r="I406" s="7"/>
      <c r="J406" s="7"/>
      <c r="K406" s="7"/>
      <c r="L406" s="7">
        <f t="shared" si="64"/>
        <v>0</v>
      </c>
      <c r="M406" s="7"/>
      <c r="N406" s="7">
        <f t="shared" si="56"/>
        <v>0</v>
      </c>
    </row>
    <row r="407" spans="1:16" ht="15.75" x14ac:dyDescent="0.25">
      <c r="A407" s="2">
        <v>0</v>
      </c>
      <c r="B407" s="5" t="s">
        <v>291</v>
      </c>
      <c r="C407" s="6"/>
      <c r="D407" s="7"/>
      <c r="E407" s="7"/>
      <c r="F407" s="7"/>
      <c r="G407" s="7"/>
      <c r="H407" s="7"/>
      <c r="I407" s="7"/>
      <c r="J407" s="7"/>
      <c r="K407" s="7"/>
      <c r="L407" s="7">
        <f t="shared" ref="L407" si="65">SUM(C407:K407)</f>
        <v>0</v>
      </c>
      <c r="M407" s="7">
        <v>72</v>
      </c>
      <c r="N407" s="7">
        <f t="shared" ref="N407" si="66">M407+A407-L407</f>
        <v>72</v>
      </c>
      <c r="O407" s="29">
        <v>43614</v>
      </c>
    </row>
    <row r="408" spans="1:16" ht="15.75" x14ac:dyDescent="0.25">
      <c r="A408" s="2">
        <f t="shared" ref="A408:A416" si="67">N335</f>
        <v>-43.2</v>
      </c>
      <c r="B408" s="5" t="s">
        <v>114</v>
      </c>
      <c r="C408" s="6"/>
      <c r="D408" s="7"/>
      <c r="E408" s="7"/>
      <c r="F408" s="7"/>
      <c r="G408" s="7"/>
      <c r="H408" s="7"/>
      <c r="I408" s="7">
        <v>43.2</v>
      </c>
      <c r="J408" s="7"/>
      <c r="K408" s="7"/>
      <c r="L408" s="7">
        <f t="shared" si="64"/>
        <v>43.2</v>
      </c>
      <c r="M408" s="7">
        <f>43.2+43.2</f>
        <v>86.4</v>
      </c>
      <c r="N408" s="7">
        <f t="shared" si="56"/>
        <v>0</v>
      </c>
      <c r="O408" t="s">
        <v>268</v>
      </c>
      <c r="P408" t="s">
        <v>294</v>
      </c>
    </row>
    <row r="409" spans="1:16" ht="15.75" x14ac:dyDescent="0.25">
      <c r="A409" s="2">
        <f t="shared" si="67"/>
        <v>-19.399999999999999</v>
      </c>
      <c r="B409" s="5" t="s">
        <v>115</v>
      </c>
      <c r="C409" s="6"/>
      <c r="D409" s="7"/>
      <c r="E409" s="7"/>
      <c r="F409" s="7"/>
      <c r="G409" s="7"/>
      <c r="H409" s="7"/>
      <c r="I409" s="7"/>
      <c r="J409" s="7"/>
      <c r="K409" s="7"/>
      <c r="L409" s="7">
        <f t="shared" si="64"/>
        <v>0</v>
      </c>
      <c r="M409" s="7">
        <v>19.399999999999999</v>
      </c>
      <c r="N409" s="7">
        <f t="shared" si="56"/>
        <v>0</v>
      </c>
      <c r="O409" t="s">
        <v>278</v>
      </c>
    </row>
    <row r="410" spans="1:16" ht="15.75" hidden="1" x14ac:dyDescent="0.25">
      <c r="A410" s="2">
        <f t="shared" si="67"/>
        <v>0</v>
      </c>
      <c r="B410" s="5" t="s">
        <v>252</v>
      </c>
      <c r="C410" s="7"/>
      <c r="D410" s="7"/>
      <c r="E410" s="7"/>
      <c r="F410" s="7"/>
      <c r="G410" s="7"/>
      <c r="H410" s="7"/>
      <c r="I410" s="7"/>
      <c r="J410" s="7"/>
      <c r="K410" s="7"/>
      <c r="L410" s="7">
        <f t="shared" si="64"/>
        <v>0</v>
      </c>
      <c r="M410" s="7"/>
      <c r="N410" s="7">
        <f t="shared" si="56"/>
        <v>0</v>
      </c>
    </row>
    <row r="411" spans="1:16" ht="15.75" x14ac:dyDescent="0.25">
      <c r="A411" s="2">
        <f t="shared" si="67"/>
        <v>0</v>
      </c>
      <c r="B411" s="5" t="s">
        <v>117</v>
      </c>
      <c r="C411" s="7"/>
      <c r="D411" s="7"/>
      <c r="E411" s="7"/>
      <c r="F411" s="7"/>
      <c r="G411" s="7"/>
      <c r="H411" s="7"/>
      <c r="I411" s="7">
        <f>100+72.5</f>
        <v>172.5</v>
      </c>
      <c r="J411" s="7"/>
      <c r="K411" s="7"/>
      <c r="L411" s="7">
        <f>SUM(C411:K411)</f>
        <v>172.5</v>
      </c>
      <c r="M411" s="7">
        <f>72.5+400</f>
        <v>472.5</v>
      </c>
      <c r="N411" s="7">
        <f t="shared" si="56"/>
        <v>300</v>
      </c>
      <c r="O411" t="s">
        <v>279</v>
      </c>
      <c r="P411" s="29">
        <v>43608</v>
      </c>
    </row>
    <row r="412" spans="1:16" ht="15.75" hidden="1" x14ac:dyDescent="0.25">
      <c r="A412" s="2">
        <f t="shared" si="67"/>
        <v>0</v>
      </c>
      <c r="B412" s="5" t="s">
        <v>118</v>
      </c>
      <c r="C412" s="7"/>
      <c r="D412" s="7"/>
      <c r="E412" s="7"/>
      <c r="F412" s="7"/>
      <c r="G412" s="7"/>
      <c r="H412" s="7"/>
      <c r="I412" s="7"/>
      <c r="J412" s="7"/>
      <c r="K412" s="7"/>
      <c r="L412" s="7">
        <f t="shared" ref="L412:L416" si="68">SUM(C412:K412)</f>
        <v>0</v>
      </c>
      <c r="M412" s="7"/>
      <c r="N412" s="7">
        <f t="shared" si="56"/>
        <v>0</v>
      </c>
    </row>
    <row r="413" spans="1:16" ht="15.75" x14ac:dyDescent="0.25">
      <c r="A413" s="2">
        <f t="shared" si="67"/>
        <v>-250</v>
      </c>
      <c r="B413" s="5" t="s">
        <v>233</v>
      </c>
      <c r="C413" s="7"/>
      <c r="D413" s="7"/>
      <c r="E413" s="7"/>
      <c r="F413" s="7"/>
      <c r="G413" s="7"/>
      <c r="H413" s="7"/>
      <c r="I413" s="7"/>
      <c r="J413" s="7"/>
      <c r="K413" s="7"/>
      <c r="L413" s="7">
        <f t="shared" si="68"/>
        <v>0</v>
      </c>
      <c r="M413" s="7">
        <v>250</v>
      </c>
      <c r="N413" s="7">
        <f t="shared" si="56"/>
        <v>0</v>
      </c>
      <c r="O413" t="s">
        <v>289</v>
      </c>
    </row>
    <row r="414" spans="1:16" ht="15.75" x14ac:dyDescent="0.25">
      <c r="A414" s="2">
        <f t="shared" si="67"/>
        <v>0</v>
      </c>
      <c r="B414" s="5" t="s">
        <v>135</v>
      </c>
      <c r="C414" s="7"/>
      <c r="D414" s="7"/>
      <c r="E414" s="7"/>
      <c r="F414" s="7"/>
      <c r="G414" s="7">
        <v>25</v>
      </c>
      <c r="H414" s="7"/>
      <c r="I414" s="7"/>
      <c r="J414" s="7"/>
      <c r="K414" s="7"/>
      <c r="L414" s="7">
        <f t="shared" si="68"/>
        <v>25</v>
      </c>
      <c r="M414" s="7"/>
      <c r="N414" s="7">
        <f t="shared" si="56"/>
        <v>-25</v>
      </c>
    </row>
    <row r="415" spans="1:16" ht="15.75" hidden="1" x14ac:dyDescent="0.25">
      <c r="A415" s="2">
        <f t="shared" si="67"/>
        <v>0</v>
      </c>
      <c r="B415" s="5" t="s">
        <v>120</v>
      </c>
      <c r="C415" s="7"/>
      <c r="D415" s="7"/>
      <c r="E415" s="7"/>
      <c r="F415" s="7"/>
      <c r="G415" s="7"/>
      <c r="H415" s="7"/>
      <c r="I415" s="7"/>
      <c r="J415" s="7"/>
      <c r="K415" s="7"/>
      <c r="L415" s="7">
        <f t="shared" si="68"/>
        <v>0</v>
      </c>
      <c r="M415" s="7"/>
      <c r="N415" s="7">
        <f t="shared" si="56"/>
        <v>0</v>
      </c>
    </row>
    <row r="416" spans="1:16" ht="15.75" hidden="1" x14ac:dyDescent="0.25">
      <c r="A416" s="2">
        <f t="shared" si="67"/>
        <v>0</v>
      </c>
      <c r="B416" s="5" t="s">
        <v>121</v>
      </c>
      <c r="C416" s="7"/>
      <c r="D416" s="7"/>
      <c r="E416" s="7"/>
      <c r="F416" s="7"/>
      <c r="G416" s="7"/>
      <c r="H416" s="7"/>
      <c r="I416" s="7"/>
      <c r="J416" s="7"/>
      <c r="K416" s="7"/>
      <c r="L416" s="7">
        <f t="shared" si="68"/>
        <v>0</v>
      </c>
      <c r="M416" s="7"/>
      <c r="N416" s="7">
        <f t="shared" si="56"/>
        <v>0</v>
      </c>
    </row>
    <row r="417" spans="1:15" ht="15.75" x14ac:dyDescent="0.25">
      <c r="A417" s="2">
        <f>SUM(A349:A416)</f>
        <v>-3106.34</v>
      </c>
      <c r="B417" s="6" t="s">
        <v>104</v>
      </c>
      <c r="C417" s="7">
        <f t="shared" ref="C417:I417" si="69">SUM(C349:C415)</f>
        <v>144.69999999999999</v>
      </c>
      <c r="D417" s="7">
        <f t="shared" si="69"/>
        <v>36.799999999999997</v>
      </c>
      <c r="E417" s="7">
        <f t="shared" si="69"/>
        <v>81.099999999999994</v>
      </c>
      <c r="F417" s="7">
        <f t="shared" si="69"/>
        <v>87.3</v>
      </c>
      <c r="G417" s="7">
        <f t="shared" si="69"/>
        <v>284.8</v>
      </c>
      <c r="H417" s="7">
        <f t="shared" si="69"/>
        <v>50</v>
      </c>
      <c r="I417" s="7">
        <f t="shared" si="69"/>
        <v>784.7600000000001</v>
      </c>
      <c r="J417" s="7">
        <f>SUM(J349:J415)</f>
        <v>278.5</v>
      </c>
      <c r="K417" s="7">
        <f>SUM(K349:K416)</f>
        <v>0</v>
      </c>
      <c r="L417" s="7">
        <f>SUM(L349:L416)</f>
        <v>1747.9600000000003</v>
      </c>
      <c r="M417" s="15">
        <f>SUM(M349:M416)</f>
        <v>1849.3</v>
      </c>
      <c r="N417" s="7">
        <f>SUM(N349:N416)</f>
        <v>-3005.0000000000009</v>
      </c>
    </row>
    <row r="420" spans="1:15" ht="15.75" x14ac:dyDescent="0.25">
      <c r="A420" s="57" t="s">
        <v>266</v>
      </c>
      <c r="B420" s="57" t="s">
        <v>75</v>
      </c>
      <c r="C420" s="27">
        <v>42</v>
      </c>
      <c r="D420" s="27">
        <v>43</v>
      </c>
      <c r="E420" s="27">
        <v>44</v>
      </c>
      <c r="F420" s="27">
        <v>45</v>
      </c>
      <c r="G420" s="27">
        <v>46</v>
      </c>
      <c r="H420" s="27">
        <v>47</v>
      </c>
      <c r="I420" s="27">
        <v>48</v>
      </c>
      <c r="J420" s="27">
        <v>49</v>
      </c>
      <c r="K420" s="27">
        <v>50</v>
      </c>
      <c r="L420" s="57" t="s">
        <v>68</v>
      </c>
      <c r="M420" s="61" t="s">
        <v>137</v>
      </c>
      <c r="N420" s="57" t="s">
        <v>295</v>
      </c>
    </row>
    <row r="421" spans="1:15" ht="15.75" x14ac:dyDescent="0.25">
      <c r="A421" s="58"/>
      <c r="B421" s="58"/>
      <c r="C421" s="26">
        <v>1</v>
      </c>
      <c r="D421" s="26">
        <v>5</v>
      </c>
      <c r="E421" s="26">
        <v>8</v>
      </c>
      <c r="F421" s="26">
        <v>12</v>
      </c>
      <c r="G421" s="26">
        <v>15</v>
      </c>
      <c r="H421" s="26">
        <v>19</v>
      </c>
      <c r="I421" s="26">
        <v>22</v>
      </c>
      <c r="J421" s="26">
        <v>26</v>
      </c>
      <c r="K421" s="6">
        <v>29</v>
      </c>
      <c r="L421" s="58"/>
      <c r="M421" s="62"/>
      <c r="N421" s="58"/>
    </row>
    <row r="422" spans="1:15" ht="15.75" x14ac:dyDescent="0.25">
      <c r="A422" s="2">
        <v>0</v>
      </c>
      <c r="B422" s="5" t="s">
        <v>123</v>
      </c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7">
        <f>M422+A422-L422</f>
        <v>0</v>
      </c>
    </row>
    <row r="423" spans="1:15" ht="15.75" x14ac:dyDescent="0.25">
      <c r="A423" s="2">
        <f>N350</f>
        <v>-15</v>
      </c>
      <c r="B423" s="5" t="s">
        <v>125</v>
      </c>
      <c r="C423" s="6"/>
      <c r="D423" s="7"/>
      <c r="E423" s="6"/>
      <c r="F423" s="6"/>
      <c r="G423" s="6"/>
      <c r="H423" s="6"/>
      <c r="I423" s="7"/>
      <c r="J423" s="6"/>
      <c r="K423" s="7"/>
      <c r="L423" s="7">
        <f>SUM(C423:K423)</f>
        <v>0</v>
      </c>
      <c r="M423" s="7"/>
      <c r="N423" s="7">
        <f t="shared" ref="N423:N489" si="70">M423+A423-L423</f>
        <v>-15</v>
      </c>
    </row>
    <row r="424" spans="1:15" ht="15.75" x14ac:dyDescent="0.25">
      <c r="A424" s="2">
        <f t="shared" ref="A424:A487" si="71">N351</f>
        <v>0</v>
      </c>
      <c r="B424" s="5" t="s">
        <v>194</v>
      </c>
      <c r="C424" s="7"/>
      <c r="D424" s="7"/>
      <c r="E424" s="7"/>
      <c r="F424" s="7"/>
      <c r="G424" s="7"/>
      <c r="H424" s="7"/>
      <c r="I424" s="7">
        <v>50</v>
      </c>
      <c r="J424" s="15"/>
      <c r="K424" s="7"/>
      <c r="L424" s="7">
        <f>SUM(C424:K424)</f>
        <v>50</v>
      </c>
      <c r="M424" s="7"/>
      <c r="N424" s="7">
        <f t="shared" si="70"/>
        <v>-50</v>
      </c>
    </row>
    <row r="425" spans="1:15" ht="15.75" x14ac:dyDescent="0.25">
      <c r="A425" s="2">
        <f t="shared" si="71"/>
        <v>-32</v>
      </c>
      <c r="B425" s="5" t="s">
        <v>2</v>
      </c>
      <c r="C425" s="6"/>
      <c r="D425" s="7"/>
      <c r="E425" s="6"/>
      <c r="F425" s="7"/>
      <c r="G425" s="6"/>
      <c r="H425" s="7"/>
      <c r="I425" s="6"/>
      <c r="J425" s="6"/>
      <c r="K425" s="7"/>
      <c r="L425" s="7">
        <f>SUM(C425:K425)</f>
        <v>0</v>
      </c>
      <c r="M425" s="7"/>
      <c r="N425" s="7">
        <f t="shared" si="70"/>
        <v>-32</v>
      </c>
    </row>
    <row r="426" spans="1:15" ht="15.75" x14ac:dyDescent="0.25">
      <c r="A426" s="2">
        <f t="shared" si="71"/>
        <v>-25.8</v>
      </c>
      <c r="B426" s="5" t="s">
        <v>129</v>
      </c>
      <c r="C426" s="6"/>
      <c r="D426" s="7"/>
      <c r="E426" s="6"/>
      <c r="F426" s="6"/>
      <c r="G426" s="6"/>
      <c r="H426" s="7"/>
      <c r="I426" s="6"/>
      <c r="J426" s="6"/>
      <c r="K426" s="7"/>
      <c r="L426" s="7">
        <f t="shared" ref="L426:L445" si="72">SUM(C426:K426)</f>
        <v>0</v>
      </c>
      <c r="M426" s="7"/>
      <c r="N426" s="7">
        <f t="shared" si="70"/>
        <v>-25.8</v>
      </c>
    </row>
    <row r="427" spans="1:15" ht="15.75" hidden="1" x14ac:dyDescent="0.25">
      <c r="A427" s="2">
        <f t="shared" si="71"/>
        <v>0</v>
      </c>
      <c r="B427" s="5" t="s">
        <v>195</v>
      </c>
      <c r="C427" s="6"/>
      <c r="D427" s="7"/>
      <c r="E427" s="6"/>
      <c r="F427" s="6"/>
      <c r="G427" s="6"/>
      <c r="H427" s="7"/>
      <c r="I427" s="7"/>
      <c r="J427" s="6"/>
      <c r="K427" s="7"/>
      <c r="L427" s="7">
        <f t="shared" si="72"/>
        <v>0</v>
      </c>
      <c r="M427" s="7"/>
      <c r="N427" s="7">
        <f t="shared" si="70"/>
        <v>0</v>
      </c>
    </row>
    <row r="428" spans="1:15" ht="15.75" x14ac:dyDescent="0.25">
      <c r="A428" s="2">
        <f t="shared" si="71"/>
        <v>-56</v>
      </c>
      <c r="B428" s="5" t="s">
        <v>128</v>
      </c>
      <c r="C428" s="7"/>
      <c r="D428" s="7"/>
      <c r="E428" s="7"/>
      <c r="F428" s="6"/>
      <c r="G428" s="7">
        <v>81</v>
      </c>
      <c r="H428" s="7"/>
      <c r="I428" s="7"/>
      <c r="J428" s="7"/>
      <c r="K428" s="7"/>
      <c r="L428" s="7">
        <f t="shared" si="72"/>
        <v>81</v>
      </c>
      <c r="M428" s="7">
        <v>81</v>
      </c>
      <c r="N428" s="7">
        <f t="shared" si="70"/>
        <v>-56</v>
      </c>
      <c r="O428" t="s">
        <v>313</v>
      </c>
    </row>
    <row r="429" spans="1:15" ht="15.75" x14ac:dyDescent="0.25">
      <c r="A429" s="2">
        <f t="shared" si="71"/>
        <v>-285.2</v>
      </c>
      <c r="B429" s="5" t="s">
        <v>127</v>
      </c>
      <c r="C429" s="6"/>
      <c r="D429" s="7"/>
      <c r="E429" s="7"/>
      <c r="F429" s="6"/>
      <c r="G429" s="6"/>
      <c r="H429" s="7">
        <v>25</v>
      </c>
      <c r="I429" s="6"/>
      <c r="J429" s="7"/>
      <c r="K429" s="7"/>
      <c r="L429" s="7">
        <f t="shared" si="72"/>
        <v>25</v>
      </c>
      <c r="M429" s="7"/>
      <c r="N429" s="7">
        <f t="shared" si="70"/>
        <v>-310.2</v>
      </c>
    </row>
    <row r="430" spans="1:15" ht="15.75" hidden="1" x14ac:dyDescent="0.25">
      <c r="A430" s="2">
        <f t="shared" si="71"/>
        <v>0</v>
      </c>
      <c r="B430" s="5" t="s">
        <v>126</v>
      </c>
      <c r="C430" s="6"/>
      <c r="D430" s="7"/>
      <c r="E430" s="6"/>
      <c r="F430" s="6"/>
      <c r="G430" s="6"/>
      <c r="H430" s="7"/>
      <c r="I430" s="6"/>
      <c r="J430" s="6"/>
      <c r="K430" s="7"/>
      <c r="L430" s="7">
        <f t="shared" si="72"/>
        <v>0</v>
      </c>
      <c r="M430" s="7"/>
      <c r="N430" s="7">
        <f t="shared" si="70"/>
        <v>0</v>
      </c>
    </row>
    <row r="431" spans="1:15" ht="15.75" x14ac:dyDescent="0.25">
      <c r="A431" s="2">
        <f t="shared" si="71"/>
        <v>-503.20000000000005</v>
      </c>
      <c r="B431" s="5" t="s">
        <v>130</v>
      </c>
      <c r="C431" s="7"/>
      <c r="D431" s="7"/>
      <c r="E431" s="7"/>
      <c r="F431" s="7"/>
      <c r="G431" s="7"/>
      <c r="H431" s="7"/>
      <c r="I431" s="6"/>
      <c r="J431" s="7"/>
      <c r="K431" s="7"/>
      <c r="L431" s="7">
        <f t="shared" si="72"/>
        <v>0</v>
      </c>
      <c r="M431" s="7"/>
      <c r="N431" s="7">
        <f t="shared" si="70"/>
        <v>-503.20000000000005</v>
      </c>
    </row>
    <row r="432" spans="1:15" ht="15.75" x14ac:dyDescent="0.25">
      <c r="A432" s="2">
        <f t="shared" si="71"/>
        <v>-71.13</v>
      </c>
      <c r="B432" s="5" t="s">
        <v>131</v>
      </c>
      <c r="C432" s="7"/>
      <c r="D432" s="7"/>
      <c r="E432" s="7"/>
      <c r="F432" s="7"/>
      <c r="G432" s="7"/>
      <c r="H432" s="7"/>
      <c r="I432" s="7">
        <v>22.5</v>
      </c>
      <c r="J432" s="6"/>
      <c r="K432" s="7"/>
      <c r="L432" s="7">
        <f t="shared" si="72"/>
        <v>22.5</v>
      </c>
      <c r="M432" s="7"/>
      <c r="N432" s="7">
        <f t="shared" si="70"/>
        <v>-93.63</v>
      </c>
    </row>
    <row r="433" spans="1:17" ht="15.75" x14ac:dyDescent="0.25">
      <c r="A433" s="2">
        <f t="shared" si="71"/>
        <v>-50</v>
      </c>
      <c r="B433" s="5" t="s">
        <v>132</v>
      </c>
      <c r="C433" s="7"/>
      <c r="D433" s="7">
        <v>25</v>
      </c>
      <c r="E433" s="7"/>
      <c r="F433" s="7"/>
      <c r="G433" s="7"/>
      <c r="H433" s="7"/>
      <c r="I433" s="7"/>
      <c r="J433" s="7">
        <v>25</v>
      </c>
      <c r="K433" s="7"/>
      <c r="L433" s="7">
        <f t="shared" si="72"/>
        <v>50</v>
      </c>
      <c r="M433" s="7"/>
      <c r="N433" s="7">
        <f t="shared" si="70"/>
        <v>-100</v>
      </c>
    </row>
    <row r="434" spans="1:17" ht="15.75" x14ac:dyDescent="0.25">
      <c r="A434" s="2">
        <f t="shared" si="71"/>
        <v>-48.2</v>
      </c>
      <c r="B434" s="5" t="s">
        <v>9</v>
      </c>
      <c r="C434" s="6"/>
      <c r="D434" s="7"/>
      <c r="E434" s="7"/>
      <c r="F434" s="7"/>
      <c r="G434" s="7"/>
      <c r="H434" s="6"/>
      <c r="I434" s="7"/>
      <c r="J434" s="6"/>
      <c r="K434" s="7"/>
      <c r="L434" s="7">
        <f t="shared" si="72"/>
        <v>0</v>
      </c>
      <c r="M434" s="7">
        <v>48.2</v>
      </c>
      <c r="N434" s="7">
        <f t="shared" si="70"/>
        <v>0</v>
      </c>
      <c r="O434" t="s">
        <v>296</v>
      </c>
    </row>
    <row r="435" spans="1:17" ht="15.75" x14ac:dyDescent="0.25">
      <c r="A435" s="2">
        <f t="shared" si="71"/>
        <v>-25</v>
      </c>
      <c r="B435" s="5" t="s">
        <v>133</v>
      </c>
      <c r="C435" s="7"/>
      <c r="D435" s="7"/>
      <c r="E435" s="7"/>
      <c r="F435" s="7"/>
      <c r="G435" s="7"/>
      <c r="H435" s="7"/>
      <c r="I435" s="7"/>
      <c r="J435" s="7"/>
      <c r="K435" s="7"/>
      <c r="L435" s="7">
        <f t="shared" si="72"/>
        <v>0</v>
      </c>
      <c r="M435" s="8"/>
      <c r="N435" s="7">
        <f t="shared" si="70"/>
        <v>-25</v>
      </c>
    </row>
    <row r="436" spans="1:17" ht="15.75" x14ac:dyDescent="0.25">
      <c r="A436" s="2">
        <f t="shared" si="71"/>
        <v>-153.4</v>
      </c>
      <c r="B436" s="5" t="s">
        <v>96</v>
      </c>
      <c r="C436" s="7"/>
      <c r="D436" s="7"/>
      <c r="E436" s="7">
        <v>20</v>
      </c>
      <c r="F436" s="7"/>
      <c r="G436" s="7">
        <v>20</v>
      </c>
      <c r="H436" s="7"/>
      <c r="I436" s="7"/>
      <c r="J436" s="7"/>
      <c r="K436" s="7"/>
      <c r="L436" s="7">
        <f t="shared" si="72"/>
        <v>40</v>
      </c>
      <c r="M436" s="7">
        <v>193.4</v>
      </c>
      <c r="N436" s="7">
        <f t="shared" si="70"/>
        <v>0</v>
      </c>
      <c r="O436" t="s">
        <v>301</v>
      </c>
    </row>
    <row r="437" spans="1:17" ht="15.75" hidden="1" x14ac:dyDescent="0.25">
      <c r="A437" s="2">
        <f t="shared" si="71"/>
        <v>0</v>
      </c>
      <c r="B437" s="5" t="s">
        <v>134</v>
      </c>
      <c r="C437" s="7"/>
      <c r="D437" s="7"/>
      <c r="E437" s="6"/>
      <c r="F437" s="6"/>
      <c r="G437" s="6"/>
      <c r="H437" s="7"/>
      <c r="I437" s="7"/>
      <c r="J437" s="7"/>
      <c r="K437" s="7"/>
      <c r="L437" s="7">
        <f t="shared" si="72"/>
        <v>0</v>
      </c>
      <c r="M437" s="7"/>
      <c r="N437" s="7">
        <f t="shared" si="70"/>
        <v>0</v>
      </c>
    </row>
    <row r="438" spans="1:17" ht="15.75" x14ac:dyDescent="0.25">
      <c r="A438" s="2">
        <f t="shared" si="71"/>
        <v>26.100000000000005</v>
      </c>
      <c r="B438" s="5" t="s">
        <v>99</v>
      </c>
      <c r="C438" s="7"/>
      <c r="D438" s="7"/>
      <c r="E438" s="6"/>
      <c r="F438" s="6"/>
      <c r="G438" s="6"/>
      <c r="H438" s="6"/>
      <c r="I438" s="6"/>
      <c r="J438" s="6"/>
      <c r="K438" s="7"/>
      <c r="L438" s="7">
        <f t="shared" si="72"/>
        <v>0</v>
      </c>
      <c r="M438" s="7"/>
      <c r="N438" s="7">
        <f t="shared" si="70"/>
        <v>26.100000000000005</v>
      </c>
    </row>
    <row r="439" spans="1:17" ht="15.75" x14ac:dyDescent="0.25">
      <c r="A439" s="2">
        <f t="shared" si="71"/>
        <v>0</v>
      </c>
      <c r="B439" s="5" t="s">
        <v>21</v>
      </c>
      <c r="C439" s="7"/>
      <c r="D439" s="7"/>
      <c r="E439" s="7"/>
      <c r="F439" s="7"/>
      <c r="G439" s="7"/>
      <c r="H439" s="7">
        <v>20</v>
      </c>
      <c r="I439" s="7"/>
      <c r="J439" s="7"/>
      <c r="K439" s="7"/>
      <c r="L439" s="7">
        <f t="shared" si="72"/>
        <v>20</v>
      </c>
      <c r="M439" s="7">
        <v>20</v>
      </c>
      <c r="N439" s="7">
        <f t="shared" si="70"/>
        <v>0</v>
      </c>
      <c r="O439" t="s">
        <v>302</v>
      </c>
    </row>
    <row r="440" spans="1:17" ht="15.75" hidden="1" x14ac:dyDescent="0.25">
      <c r="A440" s="2">
        <f t="shared" si="71"/>
        <v>0</v>
      </c>
      <c r="B440" s="5" t="s">
        <v>47</v>
      </c>
      <c r="C440" s="7"/>
      <c r="D440" s="7"/>
      <c r="E440" s="7"/>
      <c r="F440" s="7"/>
      <c r="G440" s="7"/>
      <c r="H440" s="7"/>
      <c r="I440" s="7"/>
      <c r="J440" s="7"/>
      <c r="K440" s="7"/>
      <c r="L440" s="7">
        <f t="shared" si="72"/>
        <v>0</v>
      </c>
      <c r="M440" s="7"/>
      <c r="N440" s="7">
        <f t="shared" si="70"/>
        <v>0</v>
      </c>
    </row>
    <row r="441" spans="1:17" ht="15.75" x14ac:dyDescent="0.25">
      <c r="A441" s="2">
        <f t="shared" si="71"/>
        <v>-525.99</v>
      </c>
      <c r="B441" s="5" t="s">
        <v>53</v>
      </c>
      <c r="C441" s="7"/>
      <c r="D441" s="7"/>
      <c r="E441" s="7"/>
      <c r="F441" s="7"/>
      <c r="G441" s="7"/>
      <c r="H441" s="7"/>
      <c r="I441" s="7"/>
      <c r="J441" s="7"/>
      <c r="K441" s="7"/>
      <c r="L441" s="7">
        <f t="shared" si="72"/>
        <v>0</v>
      </c>
      <c r="M441" s="7"/>
      <c r="N441" s="7">
        <f t="shared" si="70"/>
        <v>-525.99</v>
      </c>
    </row>
    <row r="442" spans="1:17" ht="15.75" x14ac:dyDescent="0.25">
      <c r="A442" s="2">
        <f t="shared" si="71"/>
        <v>-539.30000000000007</v>
      </c>
      <c r="B442" s="5" t="s">
        <v>33</v>
      </c>
      <c r="C442" s="7">
        <v>133</v>
      </c>
      <c r="D442" s="7"/>
      <c r="E442" s="7"/>
      <c r="F442" s="7"/>
      <c r="G442" s="7">
        <v>14.4</v>
      </c>
      <c r="H442" s="7">
        <v>25</v>
      </c>
      <c r="I442" s="7">
        <v>22.5</v>
      </c>
      <c r="J442" s="7">
        <v>25</v>
      </c>
      <c r="K442" s="7"/>
      <c r="L442" s="7">
        <f t="shared" si="72"/>
        <v>219.9</v>
      </c>
      <c r="M442" s="7">
        <f>14.4+539.1+22.5</f>
        <v>576</v>
      </c>
      <c r="N442" s="7">
        <f t="shared" si="70"/>
        <v>-183.20000000000007</v>
      </c>
      <c r="O442" t="s">
        <v>304</v>
      </c>
      <c r="P442" s="29">
        <v>43642</v>
      </c>
      <c r="Q442" t="s">
        <v>321</v>
      </c>
    </row>
    <row r="443" spans="1:17" ht="15.75" x14ac:dyDescent="0.25">
      <c r="A443" s="2">
        <f t="shared" si="71"/>
        <v>0</v>
      </c>
      <c r="B443" s="5" t="s">
        <v>87</v>
      </c>
      <c r="C443" s="7"/>
      <c r="D443" s="7"/>
      <c r="E443" s="7"/>
      <c r="F443" s="7"/>
      <c r="G443" s="7"/>
      <c r="H443" s="7"/>
      <c r="I443" s="7"/>
      <c r="J443" s="7"/>
      <c r="K443" s="7"/>
      <c r="L443" s="7">
        <f t="shared" si="72"/>
        <v>0</v>
      </c>
      <c r="M443" s="7"/>
      <c r="N443" s="7">
        <f t="shared" si="70"/>
        <v>0</v>
      </c>
    </row>
    <row r="444" spans="1:17" ht="15.75" x14ac:dyDescent="0.25">
      <c r="A444" s="2">
        <f t="shared" si="71"/>
        <v>0</v>
      </c>
      <c r="B444" s="5" t="s">
        <v>23</v>
      </c>
      <c r="C444" s="7"/>
      <c r="D444" s="7">
        <v>68.400000000000006</v>
      </c>
      <c r="E444" s="7"/>
      <c r="F444" s="7"/>
      <c r="G444" s="7"/>
      <c r="H444" s="7"/>
      <c r="I444" s="7"/>
      <c r="J444" s="7"/>
      <c r="K444" s="7"/>
      <c r="L444" s="7">
        <f t="shared" si="72"/>
        <v>68.400000000000006</v>
      </c>
      <c r="M444" s="7">
        <v>68.400000000000006</v>
      </c>
      <c r="N444" s="7">
        <f t="shared" si="70"/>
        <v>0</v>
      </c>
      <c r="O444" t="s">
        <v>298</v>
      </c>
    </row>
    <row r="445" spans="1:17" ht="15.75" x14ac:dyDescent="0.25">
      <c r="A445" s="2">
        <f t="shared" si="71"/>
        <v>-25</v>
      </c>
      <c r="B445" s="5" t="s">
        <v>24</v>
      </c>
      <c r="C445" s="7"/>
      <c r="D445" s="7"/>
      <c r="E445" s="7"/>
      <c r="F445" s="7"/>
      <c r="G445" s="7"/>
      <c r="H445" s="7"/>
      <c r="I445" s="7"/>
      <c r="J445" s="7"/>
      <c r="K445" s="7"/>
      <c r="L445" s="7">
        <f t="shared" si="72"/>
        <v>0</v>
      </c>
      <c r="M445" s="7"/>
      <c r="N445" s="7">
        <f t="shared" si="70"/>
        <v>-25</v>
      </c>
    </row>
    <row r="446" spans="1:17" ht="15.75" hidden="1" x14ac:dyDescent="0.25">
      <c r="A446" s="2">
        <f t="shared" si="71"/>
        <v>0</v>
      </c>
      <c r="B446" s="5" t="s">
        <v>51</v>
      </c>
      <c r="C446" s="7"/>
      <c r="D446" s="7"/>
      <c r="E446" s="7"/>
      <c r="F446" s="7"/>
      <c r="G446" s="7"/>
      <c r="H446" s="7"/>
      <c r="I446" s="7"/>
      <c r="J446" s="7"/>
      <c r="K446" s="7"/>
      <c r="L446" s="7">
        <f>SUM(C446:K446)</f>
        <v>0</v>
      </c>
      <c r="M446" s="7"/>
      <c r="N446" s="7">
        <f t="shared" si="70"/>
        <v>0</v>
      </c>
    </row>
    <row r="447" spans="1:17" ht="15.75" x14ac:dyDescent="0.25">
      <c r="A447" s="2">
        <f t="shared" si="71"/>
        <v>0</v>
      </c>
      <c r="B447" s="5" t="s">
        <v>25</v>
      </c>
      <c r="C447" s="7"/>
      <c r="D447" s="7"/>
      <c r="E447" s="7"/>
      <c r="F447" s="7"/>
      <c r="G447" s="7">
        <v>189.5</v>
      </c>
      <c r="H447" s="7"/>
      <c r="I447" s="7"/>
      <c r="J447" s="7"/>
      <c r="K447" s="7"/>
      <c r="L447" s="7">
        <f>SUM(C447:K447)</f>
        <v>189.5</v>
      </c>
      <c r="M447" s="7">
        <v>189.5</v>
      </c>
      <c r="N447" s="7">
        <f t="shared" si="70"/>
        <v>0</v>
      </c>
      <c r="O447" s="29">
        <v>43642</v>
      </c>
    </row>
    <row r="448" spans="1:17" ht="15.75" x14ac:dyDescent="0.25">
      <c r="A448" s="2">
        <f t="shared" si="71"/>
        <v>-63.9</v>
      </c>
      <c r="B448" s="5" t="s">
        <v>27</v>
      </c>
      <c r="C448" s="7">
        <v>27</v>
      </c>
      <c r="D448" s="7"/>
      <c r="E448" s="7"/>
      <c r="F448" s="7"/>
      <c r="G448" s="7"/>
      <c r="H448" s="7"/>
      <c r="I448" s="7"/>
      <c r="J448" s="7"/>
      <c r="K448" s="7">
        <v>36</v>
      </c>
      <c r="L448" s="7">
        <f>SUM(C448:K448)</f>
        <v>63</v>
      </c>
      <c r="M448" s="7"/>
      <c r="N448" s="7">
        <f t="shared" si="70"/>
        <v>-126.9</v>
      </c>
    </row>
    <row r="449" spans="1:17" ht="15.75" x14ac:dyDescent="0.25">
      <c r="A449" s="2">
        <f t="shared" si="71"/>
        <v>-44</v>
      </c>
      <c r="B449" s="5" t="s">
        <v>29</v>
      </c>
      <c r="C449" s="7"/>
      <c r="D449" s="7"/>
      <c r="E449" s="7"/>
      <c r="F449" s="7"/>
      <c r="G449" s="7"/>
      <c r="H449" s="7"/>
      <c r="I449" s="7">
        <v>18</v>
      </c>
      <c r="J449" s="7"/>
      <c r="K449" s="7">
        <v>22.5</v>
      </c>
      <c r="L449" s="7">
        <f t="shared" ref="L449:L450" si="73">SUM(C449:K449)</f>
        <v>40.5</v>
      </c>
      <c r="M449" s="7">
        <v>50</v>
      </c>
      <c r="N449" s="7">
        <f t="shared" si="70"/>
        <v>-34.5</v>
      </c>
      <c r="O449" t="s">
        <v>303</v>
      </c>
    </row>
    <row r="450" spans="1:17" ht="15.75" x14ac:dyDescent="0.25">
      <c r="A450" s="2">
        <f t="shared" si="71"/>
        <v>462.11999999999995</v>
      </c>
      <c r="B450" s="5" t="s">
        <v>30</v>
      </c>
      <c r="C450" s="7"/>
      <c r="D450" s="7"/>
      <c r="E450" s="7"/>
      <c r="F450" s="7"/>
      <c r="G450" s="7"/>
      <c r="H450" s="7"/>
      <c r="I450" s="7"/>
      <c r="J450" s="7"/>
      <c r="K450" s="7">
        <v>328.95</v>
      </c>
      <c r="L450" s="7">
        <f t="shared" si="73"/>
        <v>328.95</v>
      </c>
      <c r="M450" s="7"/>
      <c r="N450" s="7">
        <f t="shared" si="70"/>
        <v>133.16999999999996</v>
      </c>
    </row>
    <row r="451" spans="1:17" ht="15.75" hidden="1" x14ac:dyDescent="0.25">
      <c r="A451" s="2">
        <f t="shared" si="71"/>
        <v>0</v>
      </c>
      <c r="B451" s="5" t="s">
        <v>56</v>
      </c>
      <c r="C451" s="7"/>
      <c r="D451" s="7"/>
      <c r="E451" s="7"/>
      <c r="F451" s="7"/>
      <c r="G451" s="7"/>
      <c r="H451" s="7"/>
      <c r="I451" s="7"/>
      <c r="J451" s="7"/>
      <c r="K451" s="7"/>
      <c r="L451" s="7">
        <f>SUM(C451:K451)</f>
        <v>0</v>
      </c>
      <c r="M451" s="7"/>
      <c r="N451" s="7">
        <f t="shared" si="70"/>
        <v>0</v>
      </c>
    </row>
    <row r="452" spans="1:17" ht="15.75" hidden="1" x14ac:dyDescent="0.25">
      <c r="A452" s="2">
        <f t="shared" si="71"/>
        <v>0</v>
      </c>
      <c r="B452" s="5" t="s">
        <v>272</v>
      </c>
      <c r="C452" s="7"/>
      <c r="D452" s="7"/>
      <c r="E452" s="7"/>
      <c r="F452" s="7"/>
      <c r="G452" s="7"/>
      <c r="H452" s="7"/>
      <c r="I452" s="7"/>
      <c r="J452" s="7"/>
      <c r="K452" s="7"/>
      <c r="L452" s="7">
        <f>SUM(C452:K452)</f>
        <v>0</v>
      </c>
      <c r="M452" s="7"/>
      <c r="N452" s="7">
        <f t="shared" si="70"/>
        <v>0</v>
      </c>
    </row>
    <row r="453" spans="1:17" ht="15.75" x14ac:dyDescent="0.25">
      <c r="A453" s="2">
        <f t="shared" si="71"/>
        <v>-47.500000000000007</v>
      </c>
      <c r="B453" s="5" t="s">
        <v>101</v>
      </c>
      <c r="C453" s="7"/>
      <c r="D453" s="7"/>
      <c r="E453" s="7"/>
      <c r="F453" s="7"/>
      <c r="G453" s="7"/>
      <c r="H453" s="7"/>
      <c r="I453" s="7"/>
      <c r="J453" s="7"/>
      <c r="K453" s="7"/>
      <c r="L453" s="7">
        <f t="shared" ref="L453:L471" si="74">SUM(C453:K453)</f>
        <v>0</v>
      </c>
      <c r="M453" s="7">
        <v>47.5</v>
      </c>
      <c r="N453" s="7">
        <f t="shared" si="70"/>
        <v>-7.1054273576010019E-15</v>
      </c>
      <c r="O453" t="s">
        <v>299</v>
      </c>
    </row>
    <row r="454" spans="1:17" ht="15.75" x14ac:dyDescent="0.25">
      <c r="A454" s="2">
        <f t="shared" si="71"/>
        <v>-9.8000000000000007</v>
      </c>
      <c r="B454" s="5" t="s">
        <v>41</v>
      </c>
      <c r="C454" s="6"/>
      <c r="D454" s="6"/>
      <c r="E454" s="7"/>
      <c r="F454" s="7"/>
      <c r="G454" s="7"/>
      <c r="H454" s="7"/>
      <c r="I454" s="7"/>
      <c r="J454" s="7"/>
      <c r="K454" s="7"/>
      <c r="L454" s="7">
        <f t="shared" si="74"/>
        <v>0</v>
      </c>
      <c r="M454" s="7"/>
      <c r="N454" s="7">
        <f t="shared" si="70"/>
        <v>-9.8000000000000007</v>
      </c>
    </row>
    <row r="455" spans="1:17" ht="15.75" x14ac:dyDescent="0.25">
      <c r="A455" s="2">
        <f t="shared" si="71"/>
        <v>-25</v>
      </c>
      <c r="B455" s="5" t="s">
        <v>102</v>
      </c>
      <c r="C455" s="6"/>
      <c r="D455" s="7"/>
      <c r="E455" s="7"/>
      <c r="F455" s="7"/>
      <c r="G455" s="7"/>
      <c r="H455" s="7"/>
      <c r="I455" s="7"/>
      <c r="J455" s="7"/>
      <c r="K455" s="7"/>
      <c r="L455" s="7">
        <f t="shared" si="74"/>
        <v>0</v>
      </c>
      <c r="M455" s="7">
        <v>25</v>
      </c>
      <c r="N455" s="7">
        <f t="shared" si="70"/>
        <v>0</v>
      </c>
      <c r="O455" t="s">
        <v>310</v>
      </c>
    </row>
    <row r="456" spans="1:17" ht="15.75" x14ac:dyDescent="0.25">
      <c r="A456" s="2">
        <f t="shared" si="71"/>
        <v>-245.7</v>
      </c>
      <c r="B456" s="5" t="s">
        <v>45</v>
      </c>
      <c r="C456" s="7"/>
      <c r="D456" s="6"/>
      <c r="E456" s="6"/>
      <c r="F456" s="7"/>
      <c r="G456" s="7"/>
      <c r="H456" s="7"/>
      <c r="I456" s="7"/>
      <c r="J456" s="7"/>
      <c r="K456" s="7"/>
      <c r="L456" s="7">
        <f t="shared" si="74"/>
        <v>0</v>
      </c>
      <c r="M456" s="7"/>
      <c r="N456" s="7">
        <f t="shared" si="70"/>
        <v>-245.7</v>
      </c>
    </row>
    <row r="457" spans="1:17" ht="15.75" x14ac:dyDescent="0.25">
      <c r="A457" s="2">
        <f t="shared" si="71"/>
        <v>-119.3</v>
      </c>
      <c r="B457" s="5" t="s">
        <v>46</v>
      </c>
      <c r="C457" s="7">
        <v>25</v>
      </c>
      <c r="D457" s="7"/>
      <c r="E457" s="10"/>
      <c r="F457" s="7">
        <v>25</v>
      </c>
      <c r="G457" s="7"/>
      <c r="H457" s="7"/>
      <c r="I457" s="7"/>
      <c r="J457" s="7"/>
      <c r="K457" s="7"/>
      <c r="L457" s="7">
        <f t="shared" si="74"/>
        <v>50</v>
      </c>
      <c r="M457" s="7">
        <v>193.6</v>
      </c>
      <c r="N457" s="7">
        <f t="shared" si="70"/>
        <v>24.299999999999997</v>
      </c>
      <c r="O457" t="s">
        <v>312</v>
      </c>
    </row>
    <row r="458" spans="1:17" ht="15.75" x14ac:dyDescent="0.25">
      <c r="A458" s="2">
        <f t="shared" si="71"/>
        <v>-32</v>
      </c>
      <c r="B458" s="5" t="s">
        <v>79</v>
      </c>
      <c r="C458" s="7">
        <v>25</v>
      </c>
      <c r="D458" s="6"/>
      <c r="E458" s="10"/>
      <c r="F458" s="7"/>
      <c r="G458" s="7"/>
      <c r="H458" s="7"/>
      <c r="I458" s="7"/>
      <c r="J458" s="7"/>
      <c r="K458" s="7">
        <v>59</v>
      </c>
      <c r="L458" s="7">
        <f t="shared" si="74"/>
        <v>84</v>
      </c>
      <c r="M458" s="7">
        <v>57</v>
      </c>
      <c r="N458" s="7">
        <f t="shared" si="70"/>
        <v>-59</v>
      </c>
      <c r="O458" t="s">
        <v>311</v>
      </c>
    </row>
    <row r="459" spans="1:17" ht="15.75" hidden="1" x14ac:dyDescent="0.25">
      <c r="A459" s="2">
        <f t="shared" si="71"/>
        <v>0</v>
      </c>
      <c r="B459" s="5" t="s">
        <v>261</v>
      </c>
      <c r="C459" s="7"/>
      <c r="D459" s="6"/>
      <c r="E459" s="10"/>
      <c r="F459" s="7"/>
      <c r="G459" s="7"/>
      <c r="H459" s="7"/>
      <c r="I459" s="7"/>
      <c r="J459" s="7"/>
      <c r="K459" s="7"/>
      <c r="L459" s="7">
        <f t="shared" si="74"/>
        <v>0</v>
      </c>
      <c r="M459" s="7"/>
      <c r="N459" s="7">
        <f t="shared" si="70"/>
        <v>0</v>
      </c>
    </row>
    <row r="460" spans="1:17" ht="15.75" x14ac:dyDescent="0.25">
      <c r="A460" s="2">
        <f t="shared" si="71"/>
        <v>-781.99999999999977</v>
      </c>
      <c r="B460" s="5" t="s">
        <v>103</v>
      </c>
      <c r="C460" s="6"/>
      <c r="D460" s="6"/>
      <c r="E460" s="7">
        <v>14.4</v>
      </c>
      <c r="F460" s="7"/>
      <c r="G460" s="7"/>
      <c r="H460" s="7">
        <v>177.3</v>
      </c>
      <c r="I460" s="7"/>
      <c r="J460" s="7"/>
      <c r="K460" s="7">
        <v>106.2</v>
      </c>
      <c r="L460" s="7">
        <f t="shared" si="74"/>
        <v>297.90000000000003</v>
      </c>
      <c r="M460" s="7">
        <f>200+200+200</f>
        <v>600</v>
      </c>
      <c r="N460" s="7">
        <f t="shared" si="70"/>
        <v>-479.89999999999981</v>
      </c>
      <c r="O460" t="s">
        <v>306</v>
      </c>
      <c r="P460" t="s">
        <v>307</v>
      </c>
      <c r="Q460" t="s">
        <v>316</v>
      </c>
    </row>
    <row r="461" spans="1:17" ht="15.75" hidden="1" x14ac:dyDescent="0.25">
      <c r="A461" s="2">
        <f t="shared" si="71"/>
        <v>0</v>
      </c>
      <c r="B461" s="5" t="s">
        <v>211</v>
      </c>
      <c r="C461" s="6"/>
      <c r="D461" s="7"/>
      <c r="E461" s="6"/>
      <c r="F461" s="7"/>
      <c r="G461" s="7"/>
      <c r="H461" s="7"/>
      <c r="I461" s="7"/>
      <c r="J461" s="7"/>
      <c r="K461" s="7"/>
      <c r="L461" s="7">
        <f t="shared" si="74"/>
        <v>0</v>
      </c>
      <c r="M461" s="7"/>
      <c r="N461" s="7">
        <f t="shared" si="70"/>
        <v>0</v>
      </c>
    </row>
    <row r="462" spans="1:17" ht="15.75" x14ac:dyDescent="0.25">
      <c r="A462" s="2">
        <f t="shared" si="71"/>
        <v>0</v>
      </c>
      <c r="B462" s="5" t="s">
        <v>139</v>
      </c>
      <c r="C462" s="7"/>
      <c r="D462" s="7"/>
      <c r="E462" s="6"/>
      <c r="F462" s="7"/>
      <c r="G462" s="7">
        <v>17.5</v>
      </c>
      <c r="H462" s="7"/>
      <c r="I462" s="7"/>
      <c r="J462" s="7"/>
      <c r="K462" s="7"/>
      <c r="L462" s="7">
        <f t="shared" si="74"/>
        <v>17.5</v>
      </c>
      <c r="M462" s="7"/>
      <c r="N462" s="7">
        <f t="shared" si="70"/>
        <v>-17.5</v>
      </c>
    </row>
    <row r="463" spans="1:17" ht="15.75" hidden="1" x14ac:dyDescent="0.25">
      <c r="A463" s="2">
        <f t="shared" si="71"/>
        <v>0</v>
      </c>
      <c r="B463" s="5" t="s">
        <v>191</v>
      </c>
      <c r="C463" s="7"/>
      <c r="D463" s="6"/>
      <c r="E463" s="7"/>
      <c r="F463" s="7"/>
      <c r="G463" s="7"/>
      <c r="H463" s="7"/>
      <c r="I463" s="7"/>
      <c r="J463" s="7"/>
      <c r="K463" s="7"/>
      <c r="L463" s="7">
        <f t="shared" si="74"/>
        <v>0</v>
      </c>
      <c r="M463" s="7"/>
      <c r="N463" s="7">
        <f t="shared" si="70"/>
        <v>0</v>
      </c>
    </row>
    <row r="464" spans="1:17" ht="15.75" hidden="1" x14ac:dyDescent="0.25">
      <c r="A464" s="2">
        <f t="shared" si="71"/>
        <v>0</v>
      </c>
      <c r="B464" s="5" t="s">
        <v>91</v>
      </c>
      <c r="C464" s="7"/>
      <c r="D464" s="7"/>
      <c r="E464" s="7"/>
      <c r="F464" s="7"/>
      <c r="G464" s="7"/>
      <c r="H464" s="7"/>
      <c r="I464" s="7"/>
      <c r="J464" s="7"/>
      <c r="K464" s="7"/>
      <c r="L464" s="7">
        <f t="shared" si="74"/>
        <v>0</v>
      </c>
      <c r="M464" s="7"/>
      <c r="N464" s="7">
        <f t="shared" si="70"/>
        <v>0</v>
      </c>
    </row>
    <row r="465" spans="1:16" ht="15.75" x14ac:dyDescent="0.25">
      <c r="A465" s="2">
        <f t="shared" si="71"/>
        <v>-17.5</v>
      </c>
      <c r="B465" s="5" t="s">
        <v>31</v>
      </c>
      <c r="C465" s="7">
        <v>23</v>
      </c>
      <c r="D465" s="7"/>
      <c r="E465" s="7"/>
      <c r="F465" s="7"/>
      <c r="G465" s="7"/>
      <c r="H465" s="7">
        <v>18</v>
      </c>
      <c r="I465" s="7"/>
      <c r="J465" s="7">
        <v>20</v>
      </c>
      <c r="K465" s="7">
        <v>22.5</v>
      </c>
      <c r="L465" s="7">
        <f t="shared" si="74"/>
        <v>83.5</v>
      </c>
      <c r="M465" s="7">
        <f>17.5+23</f>
        <v>40.5</v>
      </c>
      <c r="N465" s="7">
        <f t="shared" si="70"/>
        <v>-60.5</v>
      </c>
      <c r="O465" t="s">
        <v>300</v>
      </c>
      <c r="P465" t="s">
        <v>315</v>
      </c>
    </row>
    <row r="466" spans="1:16" ht="15.75" x14ac:dyDescent="0.25">
      <c r="A466" s="2">
        <f t="shared" si="71"/>
        <v>-25</v>
      </c>
      <c r="B466" s="5" t="s">
        <v>37</v>
      </c>
      <c r="C466" s="7"/>
      <c r="D466" s="7"/>
      <c r="E466" s="7"/>
      <c r="F466" s="7"/>
      <c r="G466" s="7"/>
      <c r="H466" s="7"/>
      <c r="I466" s="7"/>
      <c r="J466" s="7"/>
      <c r="K466" s="7"/>
      <c r="L466" s="7">
        <f t="shared" si="74"/>
        <v>0</v>
      </c>
      <c r="M466" s="7">
        <v>25</v>
      </c>
      <c r="N466" s="7">
        <f t="shared" si="70"/>
        <v>0</v>
      </c>
      <c r="O466" t="s">
        <v>318</v>
      </c>
    </row>
    <row r="467" spans="1:16" ht="15.75" x14ac:dyDescent="0.25">
      <c r="A467" s="2">
        <f t="shared" si="71"/>
        <v>-20</v>
      </c>
      <c r="B467" s="5" t="s">
        <v>105</v>
      </c>
      <c r="C467" s="7"/>
      <c r="D467" s="7"/>
      <c r="E467" s="7"/>
      <c r="F467" s="7"/>
      <c r="G467" s="7"/>
      <c r="H467" s="7"/>
      <c r="I467" s="7"/>
      <c r="J467" s="7"/>
      <c r="K467" s="7"/>
      <c r="L467" s="7">
        <f t="shared" si="74"/>
        <v>0</v>
      </c>
      <c r="M467" s="7"/>
      <c r="N467" s="7">
        <f t="shared" si="70"/>
        <v>-20</v>
      </c>
    </row>
    <row r="468" spans="1:16" ht="15.75" x14ac:dyDescent="0.25">
      <c r="A468" s="2">
        <f t="shared" si="71"/>
        <v>-9</v>
      </c>
      <c r="B468" s="5" t="s">
        <v>54</v>
      </c>
      <c r="C468" s="7"/>
      <c r="D468" s="7"/>
      <c r="E468" s="7"/>
      <c r="F468" s="7"/>
      <c r="G468" s="7"/>
      <c r="H468" s="7"/>
      <c r="I468" s="7"/>
      <c r="J468" s="7"/>
      <c r="K468" s="7"/>
      <c r="L468" s="7">
        <f t="shared" si="74"/>
        <v>0</v>
      </c>
      <c r="M468" s="7">
        <v>9</v>
      </c>
      <c r="N468" s="7">
        <f t="shared" si="70"/>
        <v>0</v>
      </c>
      <c r="O468" t="s">
        <v>308</v>
      </c>
    </row>
    <row r="469" spans="1:16" ht="15.75" x14ac:dyDescent="0.25">
      <c r="A469" s="2">
        <f t="shared" si="71"/>
        <v>-13.5</v>
      </c>
      <c r="B469" s="5" t="s">
        <v>269</v>
      </c>
      <c r="C469" s="7"/>
      <c r="D469" s="7"/>
      <c r="E469" s="7"/>
      <c r="F469" s="7"/>
      <c r="G469" s="7">
        <v>13.5</v>
      </c>
      <c r="H469" s="7"/>
      <c r="I469" s="7"/>
      <c r="J469" s="7"/>
      <c r="K469" s="7"/>
      <c r="L469" s="7">
        <f t="shared" si="74"/>
        <v>13.5</v>
      </c>
      <c r="M469" s="7">
        <v>27</v>
      </c>
      <c r="N469" s="7">
        <f t="shared" si="70"/>
        <v>0</v>
      </c>
      <c r="O469" t="s">
        <v>317</v>
      </c>
    </row>
    <row r="470" spans="1:16" ht="15.75" hidden="1" x14ac:dyDescent="0.25">
      <c r="A470" s="2">
        <f t="shared" si="71"/>
        <v>0</v>
      </c>
      <c r="B470" s="5" t="s">
        <v>19</v>
      </c>
      <c r="C470" s="7"/>
      <c r="D470" s="7"/>
      <c r="E470" s="7"/>
      <c r="F470" s="7"/>
      <c r="G470" s="7"/>
      <c r="H470" s="7"/>
      <c r="I470" s="7"/>
      <c r="J470" s="7"/>
      <c r="K470" s="7"/>
      <c r="L470" s="7">
        <f t="shared" si="74"/>
        <v>0</v>
      </c>
      <c r="M470" s="7"/>
      <c r="N470" s="7">
        <f t="shared" si="70"/>
        <v>0</v>
      </c>
    </row>
    <row r="471" spans="1:16" ht="15.75" hidden="1" x14ac:dyDescent="0.25">
      <c r="A471" s="2">
        <f t="shared" si="71"/>
        <v>0</v>
      </c>
      <c r="B471" s="5" t="s">
        <v>138</v>
      </c>
      <c r="C471" s="7"/>
      <c r="D471" s="7"/>
      <c r="E471" s="7"/>
      <c r="F471" s="7"/>
      <c r="G471" s="7"/>
      <c r="H471" s="7"/>
      <c r="I471" s="7"/>
      <c r="J471" s="7"/>
      <c r="K471" s="7"/>
      <c r="L471" s="7">
        <f t="shared" si="74"/>
        <v>0</v>
      </c>
      <c r="M471" s="7"/>
      <c r="N471" s="7">
        <f t="shared" si="70"/>
        <v>0</v>
      </c>
    </row>
    <row r="472" spans="1:16" ht="15.75" x14ac:dyDescent="0.25">
      <c r="A472" s="2">
        <f t="shared" si="71"/>
        <v>7</v>
      </c>
      <c r="B472" s="5" t="s">
        <v>136</v>
      </c>
      <c r="C472" s="7"/>
      <c r="D472" s="7"/>
      <c r="E472" s="7"/>
      <c r="F472" s="7"/>
      <c r="G472" s="7"/>
      <c r="H472" s="7"/>
      <c r="I472" s="7"/>
      <c r="J472" s="7"/>
      <c r="K472" s="7"/>
      <c r="L472" s="7">
        <f>SUM(C472:K472)</f>
        <v>0</v>
      </c>
      <c r="M472" s="7"/>
      <c r="N472" s="8">
        <f t="shared" si="70"/>
        <v>7</v>
      </c>
    </row>
    <row r="473" spans="1:16" ht="15.75" x14ac:dyDescent="0.25">
      <c r="A473" s="2">
        <f t="shared" si="71"/>
        <v>0</v>
      </c>
      <c r="B473" s="5" t="s">
        <v>44</v>
      </c>
      <c r="C473" s="7"/>
      <c r="D473" s="7"/>
      <c r="E473" s="7"/>
      <c r="F473" s="7"/>
      <c r="G473" s="7">
        <v>55.8</v>
      </c>
      <c r="H473" s="7"/>
      <c r="I473" s="7"/>
      <c r="J473" s="7"/>
      <c r="K473" s="7"/>
      <c r="L473" s="7">
        <f t="shared" ref="L473:L483" si="75">SUM(C473:K473)</f>
        <v>55.8</v>
      </c>
      <c r="M473" s="7">
        <v>55.8</v>
      </c>
      <c r="N473" s="7">
        <f t="shared" si="70"/>
        <v>0</v>
      </c>
      <c r="O473" t="s">
        <v>314</v>
      </c>
    </row>
    <row r="474" spans="1:16" ht="15.75" hidden="1" x14ac:dyDescent="0.25">
      <c r="A474" s="2">
        <f t="shared" si="71"/>
        <v>0</v>
      </c>
      <c r="B474" s="5" t="s">
        <v>95</v>
      </c>
      <c r="C474" s="6"/>
      <c r="D474" s="7"/>
      <c r="E474" s="6"/>
      <c r="F474" s="7"/>
      <c r="G474" s="7"/>
      <c r="H474" s="7"/>
      <c r="I474" s="7"/>
      <c r="J474" s="7"/>
      <c r="K474" s="7"/>
      <c r="L474" s="7">
        <f t="shared" si="75"/>
        <v>0</v>
      </c>
      <c r="M474" s="7"/>
      <c r="N474" s="7">
        <f t="shared" si="70"/>
        <v>0</v>
      </c>
    </row>
    <row r="475" spans="1:16" ht="15.75" x14ac:dyDescent="0.25">
      <c r="A475" s="2">
        <f t="shared" si="71"/>
        <v>-37.799999999999997</v>
      </c>
      <c r="B475" s="5" t="s">
        <v>36</v>
      </c>
      <c r="C475" s="7"/>
      <c r="D475" s="7"/>
      <c r="E475" s="6"/>
      <c r="F475" s="7"/>
      <c r="G475" s="7"/>
      <c r="H475" s="7"/>
      <c r="I475" s="7"/>
      <c r="J475" s="7"/>
      <c r="K475" s="7"/>
      <c r="L475" s="7">
        <f t="shared" si="75"/>
        <v>0</v>
      </c>
      <c r="M475" s="7">
        <v>37.799999999999997</v>
      </c>
      <c r="N475" s="7">
        <f t="shared" si="70"/>
        <v>0</v>
      </c>
      <c r="O475" t="s">
        <v>297</v>
      </c>
    </row>
    <row r="476" spans="1:16" ht="15.75" x14ac:dyDescent="0.25">
      <c r="A476" s="2">
        <f t="shared" si="71"/>
        <v>0</v>
      </c>
      <c r="B476" s="5" t="s">
        <v>319</v>
      </c>
      <c r="C476" s="7"/>
      <c r="D476" s="7"/>
      <c r="E476" s="6"/>
      <c r="F476" s="7"/>
      <c r="G476" s="7"/>
      <c r="H476" s="7"/>
      <c r="I476" s="7"/>
      <c r="J476" s="7"/>
      <c r="K476" s="7">
        <v>18</v>
      </c>
      <c r="L476" s="7">
        <f t="shared" si="75"/>
        <v>18</v>
      </c>
      <c r="M476" s="7">
        <v>36</v>
      </c>
      <c r="N476" s="7">
        <f t="shared" si="70"/>
        <v>18</v>
      </c>
      <c r="O476" s="29">
        <v>43640</v>
      </c>
      <c r="P476" t="s">
        <v>320</v>
      </c>
    </row>
    <row r="477" spans="1:16" ht="15.75" hidden="1" x14ac:dyDescent="0.25">
      <c r="A477" s="2">
        <f t="shared" si="71"/>
        <v>0</v>
      </c>
      <c r="B477" s="5" t="s">
        <v>111</v>
      </c>
      <c r="C477" s="6"/>
      <c r="D477" s="7"/>
      <c r="E477" s="6"/>
      <c r="F477" s="7"/>
      <c r="G477" s="7"/>
      <c r="H477" s="7"/>
      <c r="I477" s="7"/>
      <c r="J477" s="7"/>
      <c r="K477" s="7"/>
      <c r="L477" s="7">
        <f t="shared" si="75"/>
        <v>0</v>
      </c>
      <c r="M477" s="7"/>
      <c r="N477" s="7">
        <f t="shared" si="70"/>
        <v>0</v>
      </c>
    </row>
    <row r="478" spans="1:16" ht="15.75" hidden="1" x14ac:dyDescent="0.25">
      <c r="A478" s="2">
        <f t="shared" si="71"/>
        <v>0</v>
      </c>
      <c r="B478" s="5" t="s">
        <v>51</v>
      </c>
      <c r="C478" s="6"/>
      <c r="D478" s="7"/>
      <c r="E478" s="7"/>
      <c r="F478" s="7"/>
      <c r="G478" s="7"/>
      <c r="H478" s="7"/>
      <c r="I478" s="7"/>
      <c r="J478" s="7"/>
      <c r="K478" s="7"/>
      <c r="L478" s="7">
        <f t="shared" si="75"/>
        <v>0</v>
      </c>
      <c r="M478" s="7"/>
      <c r="N478" s="7">
        <f t="shared" si="70"/>
        <v>0</v>
      </c>
    </row>
    <row r="479" spans="1:16" ht="15.75" hidden="1" x14ac:dyDescent="0.25">
      <c r="A479" s="2">
        <f t="shared" si="71"/>
        <v>0</v>
      </c>
      <c r="B479" s="5" t="s">
        <v>113</v>
      </c>
      <c r="C479" s="6"/>
      <c r="D479" s="7"/>
      <c r="E479" s="7"/>
      <c r="F479" s="7"/>
      <c r="G479" s="7"/>
      <c r="H479" s="7"/>
      <c r="I479" s="7"/>
      <c r="J479" s="7"/>
      <c r="K479" s="7"/>
      <c r="L479" s="7">
        <f t="shared" si="75"/>
        <v>0</v>
      </c>
      <c r="M479" s="7"/>
      <c r="N479" s="7">
        <f t="shared" si="70"/>
        <v>0</v>
      </c>
    </row>
    <row r="480" spans="1:16" ht="15.75" x14ac:dyDescent="0.25">
      <c r="A480" s="2">
        <f t="shared" si="71"/>
        <v>72</v>
      </c>
      <c r="B480" s="5" t="s">
        <v>291</v>
      </c>
      <c r="C480" s="6"/>
      <c r="D480" s="7"/>
      <c r="E480" s="7">
        <v>72</v>
      </c>
      <c r="F480" s="7"/>
      <c r="G480" s="7"/>
      <c r="H480" s="7"/>
      <c r="I480" s="7"/>
      <c r="J480" s="7">
        <v>72</v>
      </c>
      <c r="K480" s="7"/>
      <c r="L480" s="7">
        <f t="shared" si="75"/>
        <v>144</v>
      </c>
      <c r="M480" s="7">
        <v>72</v>
      </c>
      <c r="N480" s="7">
        <f t="shared" si="70"/>
        <v>0</v>
      </c>
      <c r="O480" s="29">
        <v>43633</v>
      </c>
    </row>
    <row r="481" spans="1:15" ht="15.75" hidden="1" x14ac:dyDescent="0.25">
      <c r="A481" s="2">
        <f t="shared" si="71"/>
        <v>0</v>
      </c>
      <c r="B481" s="5" t="s">
        <v>114</v>
      </c>
      <c r="C481" s="6"/>
      <c r="D481" s="7"/>
      <c r="E481" s="7"/>
      <c r="F481" s="7"/>
      <c r="G481" s="7"/>
      <c r="H481" s="7"/>
      <c r="I481" s="7"/>
      <c r="J481" s="7"/>
      <c r="K481" s="7"/>
      <c r="L481" s="7">
        <f t="shared" si="75"/>
        <v>0</v>
      </c>
      <c r="M481" s="7"/>
      <c r="N481" s="7">
        <f t="shared" si="70"/>
        <v>0</v>
      </c>
    </row>
    <row r="482" spans="1:15" ht="15.75" x14ac:dyDescent="0.25">
      <c r="A482" s="2">
        <f t="shared" si="71"/>
        <v>0</v>
      </c>
      <c r="B482" s="5" t="s">
        <v>115</v>
      </c>
      <c r="C482" s="6"/>
      <c r="D482" s="7"/>
      <c r="E482" s="7">
        <v>21.6</v>
      </c>
      <c r="F482" s="7"/>
      <c r="G482" s="7"/>
      <c r="H482" s="7"/>
      <c r="I482" s="7"/>
      <c r="J482" s="7"/>
      <c r="K482" s="7"/>
      <c r="L482" s="7">
        <f t="shared" si="75"/>
        <v>21.6</v>
      </c>
      <c r="M482" s="7">
        <v>21.6</v>
      </c>
      <c r="N482" s="7">
        <f t="shared" si="70"/>
        <v>0</v>
      </c>
      <c r="O482" t="s">
        <v>309</v>
      </c>
    </row>
    <row r="483" spans="1:15" ht="15.75" x14ac:dyDescent="0.25">
      <c r="A483" s="2">
        <f t="shared" si="71"/>
        <v>0</v>
      </c>
      <c r="B483" s="5" t="s">
        <v>252</v>
      </c>
      <c r="C483" s="7"/>
      <c r="D483" s="7"/>
      <c r="E483" s="7">
        <v>25</v>
      </c>
      <c r="F483" s="7"/>
      <c r="G483" s="7"/>
      <c r="H483" s="7"/>
      <c r="I483" s="7"/>
      <c r="J483" s="7"/>
      <c r="K483" s="7"/>
      <c r="L483" s="7">
        <f t="shared" si="75"/>
        <v>25</v>
      </c>
      <c r="M483" s="7"/>
      <c r="N483" s="7">
        <f t="shared" si="70"/>
        <v>-25</v>
      </c>
    </row>
    <row r="484" spans="1:15" ht="15.75" x14ac:dyDescent="0.25">
      <c r="A484" s="2">
        <f t="shared" si="71"/>
        <v>300</v>
      </c>
      <c r="B484" s="5" t="s">
        <v>117</v>
      </c>
      <c r="C484" s="7">
        <v>100</v>
      </c>
      <c r="D484" s="7"/>
      <c r="E484" s="7">
        <v>100</v>
      </c>
      <c r="F484" s="7"/>
      <c r="G484" s="7">
        <v>100</v>
      </c>
      <c r="H484" s="7"/>
      <c r="I484" s="7"/>
      <c r="J484" s="7"/>
      <c r="K484" s="7"/>
      <c r="L484" s="7">
        <f>SUM(C484:K484)</f>
        <v>300</v>
      </c>
      <c r="M484" s="7"/>
      <c r="N484" s="7">
        <f t="shared" si="70"/>
        <v>0</v>
      </c>
    </row>
    <row r="485" spans="1:15" ht="15.75" hidden="1" x14ac:dyDescent="0.25">
      <c r="A485" s="2">
        <f t="shared" si="71"/>
        <v>0</v>
      </c>
      <c r="B485" s="5" t="s">
        <v>118</v>
      </c>
      <c r="C485" s="7"/>
      <c r="D485" s="7"/>
      <c r="E485" s="7"/>
      <c r="F485" s="7"/>
      <c r="G485" s="7"/>
      <c r="H485" s="7"/>
      <c r="I485" s="7"/>
      <c r="J485" s="7"/>
      <c r="K485" s="7"/>
      <c r="L485" s="7">
        <f t="shared" ref="L485:L489" si="76">SUM(C485:K485)</f>
        <v>0</v>
      </c>
      <c r="M485" s="7"/>
      <c r="N485" s="7">
        <f t="shared" si="70"/>
        <v>0</v>
      </c>
    </row>
    <row r="486" spans="1:15" ht="15.75" hidden="1" x14ac:dyDescent="0.25">
      <c r="A486" s="2">
        <f t="shared" si="71"/>
        <v>0</v>
      </c>
      <c r="B486" s="5" t="s">
        <v>233</v>
      </c>
      <c r="C486" s="7"/>
      <c r="D486" s="7"/>
      <c r="E486" s="7"/>
      <c r="F486" s="7"/>
      <c r="G486" s="7"/>
      <c r="H486" s="7"/>
      <c r="I486" s="7"/>
      <c r="J486" s="7"/>
      <c r="K486" s="7"/>
      <c r="L486" s="7">
        <f t="shared" si="76"/>
        <v>0</v>
      </c>
      <c r="M486" s="7"/>
      <c r="N486" s="7">
        <f t="shared" si="70"/>
        <v>0</v>
      </c>
    </row>
    <row r="487" spans="1:15" ht="15.75" x14ac:dyDescent="0.25">
      <c r="A487" s="2">
        <f t="shared" si="71"/>
        <v>-25</v>
      </c>
      <c r="B487" s="5" t="s">
        <v>135</v>
      </c>
      <c r="C487" s="7"/>
      <c r="D487" s="7"/>
      <c r="E487" s="7"/>
      <c r="F487" s="7"/>
      <c r="G487" s="7"/>
      <c r="H487" s="7"/>
      <c r="I487" s="7"/>
      <c r="J487" s="7"/>
      <c r="K487" s="7"/>
      <c r="L487" s="7">
        <f t="shared" si="76"/>
        <v>0</v>
      </c>
      <c r="M487" s="7">
        <v>25</v>
      </c>
      <c r="N487" s="7">
        <f t="shared" si="70"/>
        <v>0</v>
      </c>
      <c r="O487" t="s">
        <v>318</v>
      </c>
    </row>
    <row r="488" spans="1:15" ht="15.75" x14ac:dyDescent="0.25">
      <c r="A488" s="2">
        <f t="shared" ref="A488:A489" si="77">N415</f>
        <v>0</v>
      </c>
      <c r="B488" s="5" t="s">
        <v>305</v>
      </c>
      <c r="C488" s="7"/>
      <c r="D488" s="7"/>
      <c r="E488" s="7"/>
      <c r="F488" s="7"/>
      <c r="G488" s="7"/>
      <c r="H488" s="7">
        <v>286.2</v>
      </c>
      <c r="I488" s="7"/>
      <c r="J488" s="7"/>
      <c r="K488" s="7">
        <v>238.5</v>
      </c>
      <c r="L488" s="7">
        <f t="shared" si="76"/>
        <v>524.70000000000005</v>
      </c>
      <c r="M488" s="7">
        <v>286.2</v>
      </c>
      <c r="N488" s="7">
        <f t="shared" si="70"/>
        <v>-238.50000000000006</v>
      </c>
      <c r="O488" s="29">
        <v>43642</v>
      </c>
    </row>
    <row r="489" spans="1:15" ht="15.75" hidden="1" x14ac:dyDescent="0.25">
      <c r="A489" s="2">
        <f t="shared" si="77"/>
        <v>0</v>
      </c>
      <c r="B489" s="5" t="s">
        <v>121</v>
      </c>
      <c r="C489" s="7"/>
      <c r="D489" s="7"/>
      <c r="E489" s="7"/>
      <c r="F489" s="7"/>
      <c r="G489" s="7"/>
      <c r="H489" s="7"/>
      <c r="I489" s="7"/>
      <c r="J489" s="7"/>
      <c r="K489" s="7"/>
      <c r="L489" s="7">
        <f t="shared" si="76"/>
        <v>0</v>
      </c>
      <c r="M489" s="7"/>
      <c r="N489" s="7">
        <f t="shared" si="70"/>
        <v>0</v>
      </c>
    </row>
    <row r="490" spans="1:15" ht="15.75" x14ac:dyDescent="0.25">
      <c r="A490" s="2">
        <f>SUM(A422:A489)</f>
        <v>-3005.0000000000009</v>
      </c>
      <c r="B490" s="6" t="s">
        <v>104</v>
      </c>
      <c r="C490" s="7">
        <f t="shared" ref="C490:I490" si="78">SUM(C422:C488)</f>
        <v>333</v>
      </c>
      <c r="D490" s="7">
        <f t="shared" si="78"/>
        <v>93.4</v>
      </c>
      <c r="E490" s="7">
        <f t="shared" si="78"/>
        <v>253</v>
      </c>
      <c r="F490" s="7">
        <f t="shared" si="78"/>
        <v>25</v>
      </c>
      <c r="G490" s="7">
        <f t="shared" si="78"/>
        <v>491.7</v>
      </c>
      <c r="H490" s="7">
        <f t="shared" si="78"/>
        <v>551.5</v>
      </c>
      <c r="I490" s="7">
        <f t="shared" si="78"/>
        <v>113</v>
      </c>
      <c r="J490" s="7">
        <f>SUM(J422:J488)</f>
        <v>142</v>
      </c>
      <c r="K490" s="7">
        <f>SUM(K422:K489)</f>
        <v>831.65</v>
      </c>
      <c r="L490" s="7">
        <f>SUM(L422:L489)</f>
        <v>2834.25</v>
      </c>
      <c r="M490" s="15">
        <f>SUM(M422:M489)</f>
        <v>2785.5</v>
      </c>
      <c r="N490" s="7">
        <f>SUM(N422:N489)</f>
        <v>-3053.7499999999995</v>
      </c>
    </row>
    <row r="493" spans="1:15" ht="15.75" x14ac:dyDescent="0.25">
      <c r="A493" s="57" t="s">
        <v>295</v>
      </c>
      <c r="B493" s="57" t="s">
        <v>75</v>
      </c>
      <c r="C493" s="27">
        <v>51</v>
      </c>
      <c r="D493" s="27">
        <v>52</v>
      </c>
      <c r="E493" s="27">
        <v>53</v>
      </c>
      <c r="F493" s="27">
        <v>54</v>
      </c>
      <c r="G493" s="27">
        <v>55</v>
      </c>
      <c r="H493" s="27">
        <v>56</v>
      </c>
      <c r="I493" s="27">
        <v>57</v>
      </c>
      <c r="J493" s="27">
        <v>58</v>
      </c>
      <c r="K493" s="27">
        <v>59</v>
      </c>
      <c r="L493" s="57" t="s">
        <v>68</v>
      </c>
      <c r="M493" s="61" t="s">
        <v>137</v>
      </c>
      <c r="N493" s="57" t="s">
        <v>322</v>
      </c>
    </row>
    <row r="494" spans="1:15" ht="15.75" x14ac:dyDescent="0.25">
      <c r="A494" s="58"/>
      <c r="B494" s="58"/>
      <c r="C494" s="26">
        <v>2</v>
      </c>
      <c r="D494" s="26">
        <v>6</v>
      </c>
      <c r="E494" s="26">
        <v>10</v>
      </c>
      <c r="F494" s="26">
        <v>13</v>
      </c>
      <c r="G494" s="26">
        <v>17</v>
      </c>
      <c r="H494" s="26">
        <v>20</v>
      </c>
      <c r="I494" s="26">
        <v>24</v>
      </c>
      <c r="J494" s="26">
        <v>27</v>
      </c>
      <c r="K494" s="6">
        <v>31</v>
      </c>
      <c r="L494" s="58"/>
      <c r="M494" s="62"/>
      <c r="N494" s="58"/>
    </row>
    <row r="495" spans="1:15" ht="15.75" x14ac:dyDescent="0.25">
      <c r="A495" s="2">
        <v>0</v>
      </c>
      <c r="B495" s="5" t="s">
        <v>123</v>
      </c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7">
        <f>M495+A495-L495</f>
        <v>0</v>
      </c>
    </row>
    <row r="496" spans="1:15" ht="15.75" x14ac:dyDescent="0.25">
      <c r="A496" s="2">
        <f>N423</f>
        <v>-15</v>
      </c>
      <c r="B496" s="5" t="s">
        <v>125</v>
      </c>
      <c r="C496" s="6"/>
      <c r="D496" s="7"/>
      <c r="E496" s="6"/>
      <c r="F496" s="7">
        <v>36</v>
      </c>
      <c r="G496" s="6"/>
      <c r="H496" s="6"/>
      <c r="I496" s="7"/>
      <c r="J496" s="6"/>
      <c r="K496" s="7"/>
      <c r="L496" s="7">
        <f>SUM(C496:K496)</f>
        <v>36</v>
      </c>
      <c r="M496" s="7">
        <v>51</v>
      </c>
      <c r="N496" s="7">
        <f t="shared" ref="N496:N563" si="79">M496+A496-L496</f>
        <v>0</v>
      </c>
      <c r="O496" t="s">
        <v>333</v>
      </c>
    </row>
    <row r="497" spans="1:15" ht="15.75" x14ac:dyDescent="0.25">
      <c r="A497" s="2">
        <f t="shared" ref="A497:A511" si="80">N424</f>
        <v>-50</v>
      </c>
      <c r="B497" s="5" t="s">
        <v>194</v>
      </c>
      <c r="C497" s="7"/>
      <c r="D497" s="7"/>
      <c r="E497" s="7">
        <v>27</v>
      </c>
      <c r="F497" s="7">
        <v>18</v>
      </c>
      <c r="G497" s="7"/>
      <c r="H497" s="7">
        <v>18</v>
      </c>
      <c r="I497" s="7"/>
      <c r="J497" s="15"/>
      <c r="K497" s="7"/>
      <c r="L497" s="7">
        <f>SUM(C497:K497)</f>
        <v>63</v>
      </c>
      <c r="M497" s="7"/>
      <c r="N497" s="7">
        <f t="shared" si="79"/>
        <v>-113</v>
      </c>
    </row>
    <row r="498" spans="1:15" ht="15.75" x14ac:dyDescent="0.25">
      <c r="A498" s="2">
        <f t="shared" si="80"/>
        <v>-32</v>
      </c>
      <c r="B498" s="5" t="s">
        <v>2</v>
      </c>
      <c r="C498" s="6"/>
      <c r="D498" s="7"/>
      <c r="E498" s="6"/>
      <c r="F498" s="7"/>
      <c r="G498" s="6"/>
      <c r="H498" s="7"/>
      <c r="I498" s="6"/>
      <c r="J498" s="6"/>
      <c r="K498" s="7"/>
      <c r="L498" s="7">
        <f>SUM(C498:K498)</f>
        <v>0</v>
      </c>
      <c r="M498" s="7"/>
      <c r="N498" s="7">
        <f t="shared" si="79"/>
        <v>-32</v>
      </c>
    </row>
    <row r="499" spans="1:15" ht="15.75" x14ac:dyDescent="0.25">
      <c r="A499" s="2">
        <f t="shared" si="80"/>
        <v>-25.8</v>
      </c>
      <c r="B499" s="5" t="s">
        <v>129</v>
      </c>
      <c r="C499" s="6"/>
      <c r="D499" s="7"/>
      <c r="E499" s="6"/>
      <c r="F499" s="6"/>
      <c r="G499" s="6"/>
      <c r="H499" s="7"/>
      <c r="I499" s="6"/>
      <c r="J499" s="6"/>
      <c r="K499" s="7"/>
      <c r="L499" s="7">
        <f t="shared" ref="L499:L519" si="81">SUM(C499:K499)</f>
        <v>0</v>
      </c>
      <c r="M499" s="7"/>
      <c r="N499" s="7">
        <f t="shared" si="79"/>
        <v>-25.8</v>
      </c>
    </row>
    <row r="500" spans="1:15" ht="15.75" hidden="1" x14ac:dyDescent="0.25">
      <c r="A500" s="2">
        <f t="shared" si="80"/>
        <v>0</v>
      </c>
      <c r="B500" s="5" t="s">
        <v>195</v>
      </c>
      <c r="C500" s="6"/>
      <c r="D500" s="7"/>
      <c r="E500" s="6"/>
      <c r="F500" s="6"/>
      <c r="G500" s="6"/>
      <c r="H500" s="7"/>
      <c r="I500" s="7"/>
      <c r="J500" s="6"/>
      <c r="K500" s="7"/>
      <c r="L500" s="7">
        <f t="shared" si="81"/>
        <v>0</v>
      </c>
      <c r="M500" s="7"/>
      <c r="N500" s="7">
        <f t="shared" si="79"/>
        <v>0</v>
      </c>
    </row>
    <row r="501" spans="1:15" ht="15.75" x14ac:dyDescent="0.25">
      <c r="A501" s="2">
        <f t="shared" si="80"/>
        <v>-56</v>
      </c>
      <c r="B501" s="5" t="s">
        <v>128</v>
      </c>
      <c r="C501" s="7"/>
      <c r="D501" s="7"/>
      <c r="E501" s="7"/>
      <c r="F501" s="7">
        <v>45</v>
      </c>
      <c r="G501" s="7"/>
      <c r="H501" s="7"/>
      <c r="I501" s="7"/>
      <c r="J501" s="7"/>
      <c r="K501" s="7"/>
      <c r="L501" s="7">
        <f t="shared" si="81"/>
        <v>45</v>
      </c>
      <c r="M501" s="7">
        <v>101</v>
      </c>
      <c r="N501" s="7">
        <f t="shared" si="79"/>
        <v>0</v>
      </c>
      <c r="O501" t="s">
        <v>335</v>
      </c>
    </row>
    <row r="502" spans="1:15" ht="15.75" x14ac:dyDescent="0.25">
      <c r="A502" s="2">
        <f t="shared" si="80"/>
        <v>-310.2</v>
      </c>
      <c r="B502" s="5" t="s">
        <v>127</v>
      </c>
      <c r="C502" s="6"/>
      <c r="D502" s="7"/>
      <c r="E502" s="7"/>
      <c r="F502" s="6"/>
      <c r="G502" s="6"/>
      <c r="H502" s="7"/>
      <c r="I502" s="6"/>
      <c r="J502" s="7"/>
      <c r="K502" s="7"/>
      <c r="L502" s="7">
        <f t="shared" si="81"/>
        <v>0</v>
      </c>
      <c r="M502" s="7"/>
      <c r="N502" s="7">
        <f t="shared" si="79"/>
        <v>-310.2</v>
      </c>
    </row>
    <row r="503" spans="1:15" ht="15.75" hidden="1" x14ac:dyDescent="0.25">
      <c r="A503" s="2">
        <f t="shared" si="80"/>
        <v>0</v>
      </c>
      <c r="B503" s="5" t="s">
        <v>126</v>
      </c>
      <c r="C503" s="6"/>
      <c r="D503" s="7"/>
      <c r="E503" s="6"/>
      <c r="F503" s="6"/>
      <c r="G503" s="6"/>
      <c r="H503" s="7"/>
      <c r="I503" s="6"/>
      <c r="J503" s="6"/>
      <c r="K503" s="7"/>
      <c r="L503" s="7">
        <f t="shared" si="81"/>
        <v>0</v>
      </c>
      <c r="M503" s="7"/>
      <c r="N503" s="7">
        <f t="shared" si="79"/>
        <v>0</v>
      </c>
    </row>
    <row r="504" spans="1:15" ht="15.75" x14ac:dyDescent="0.25">
      <c r="A504" s="2">
        <f t="shared" si="80"/>
        <v>-503.20000000000005</v>
      </c>
      <c r="B504" s="5" t="s">
        <v>130</v>
      </c>
      <c r="C504" s="7"/>
      <c r="D504" s="7"/>
      <c r="E504" s="7"/>
      <c r="F504" s="7"/>
      <c r="G504" s="7"/>
      <c r="H504" s="7"/>
      <c r="I504" s="6"/>
      <c r="J504" s="7"/>
      <c r="K504" s="7"/>
      <c r="L504" s="7">
        <f t="shared" si="81"/>
        <v>0</v>
      </c>
      <c r="M504" s="7"/>
      <c r="N504" s="7">
        <f t="shared" si="79"/>
        <v>-503.20000000000005</v>
      </c>
    </row>
    <row r="505" spans="1:15" ht="15.75" x14ac:dyDescent="0.25">
      <c r="A505" s="2">
        <f t="shared" si="80"/>
        <v>-93.63</v>
      </c>
      <c r="B505" s="5" t="s">
        <v>131</v>
      </c>
      <c r="C505" s="7"/>
      <c r="D505" s="7"/>
      <c r="E505" s="7"/>
      <c r="F505" s="7"/>
      <c r="G505" s="7"/>
      <c r="H505" s="7"/>
      <c r="I505" s="7"/>
      <c r="J505" s="6"/>
      <c r="K505" s="7"/>
      <c r="L505" s="7">
        <f t="shared" si="81"/>
        <v>0</v>
      </c>
      <c r="M505" s="7"/>
      <c r="N505" s="7">
        <f t="shared" si="79"/>
        <v>-93.63</v>
      </c>
    </row>
    <row r="506" spans="1:15" ht="15.75" x14ac:dyDescent="0.25">
      <c r="A506" s="2">
        <f t="shared" si="80"/>
        <v>-100</v>
      </c>
      <c r="B506" s="5" t="s">
        <v>132</v>
      </c>
      <c r="C506" s="7"/>
      <c r="D506" s="7">
        <v>25</v>
      </c>
      <c r="E506" s="7"/>
      <c r="F506" s="7"/>
      <c r="G506" s="7"/>
      <c r="H506" s="7"/>
      <c r="I506" s="7"/>
      <c r="J506" s="7"/>
      <c r="K506" s="7"/>
      <c r="L506" s="7">
        <f t="shared" si="81"/>
        <v>25</v>
      </c>
      <c r="M506" s="7">
        <v>100</v>
      </c>
      <c r="N506" s="7">
        <f t="shared" si="79"/>
        <v>-25</v>
      </c>
      <c r="O506" t="s">
        <v>332</v>
      </c>
    </row>
    <row r="507" spans="1:15" ht="15.75" hidden="1" x14ac:dyDescent="0.25">
      <c r="A507" s="2">
        <f t="shared" si="80"/>
        <v>0</v>
      </c>
      <c r="B507" s="5" t="s">
        <v>9</v>
      </c>
      <c r="C507" s="6"/>
      <c r="D507" s="7"/>
      <c r="E507" s="7"/>
      <c r="F507" s="7"/>
      <c r="G507" s="7"/>
      <c r="H507" s="6"/>
      <c r="I507" s="7"/>
      <c r="J507" s="6"/>
      <c r="K507" s="7"/>
      <c r="L507" s="7">
        <f t="shared" si="81"/>
        <v>0</v>
      </c>
      <c r="M507" s="7"/>
      <c r="N507" s="7">
        <f t="shared" si="79"/>
        <v>0</v>
      </c>
    </row>
    <row r="508" spans="1:15" ht="15.75" x14ac:dyDescent="0.25">
      <c r="A508" s="2">
        <f t="shared" si="80"/>
        <v>-25</v>
      </c>
      <c r="B508" s="5" t="s">
        <v>133</v>
      </c>
      <c r="C508" s="7">
        <v>25</v>
      </c>
      <c r="D508" s="7"/>
      <c r="E508" s="7"/>
      <c r="F508" s="7"/>
      <c r="G508" s="7"/>
      <c r="H508" s="7"/>
      <c r="I508" s="7"/>
      <c r="J508" s="7"/>
      <c r="K508" s="7"/>
      <c r="L508" s="7">
        <f t="shared" si="81"/>
        <v>25</v>
      </c>
      <c r="M508" s="8"/>
      <c r="N508" s="7">
        <f t="shared" si="79"/>
        <v>-50</v>
      </c>
    </row>
    <row r="509" spans="1:15" ht="15.75" hidden="1" x14ac:dyDescent="0.25">
      <c r="A509" s="2">
        <f t="shared" si="80"/>
        <v>0</v>
      </c>
      <c r="B509" s="5" t="s">
        <v>96</v>
      </c>
      <c r="C509" s="7"/>
      <c r="D509" s="7"/>
      <c r="E509" s="7"/>
      <c r="F509" s="7"/>
      <c r="G509" s="7"/>
      <c r="H509" s="7"/>
      <c r="I509" s="7"/>
      <c r="J509" s="7"/>
      <c r="K509" s="7"/>
      <c r="L509" s="7">
        <f t="shared" si="81"/>
        <v>0</v>
      </c>
      <c r="M509" s="7"/>
      <c r="N509" s="7">
        <f t="shared" si="79"/>
        <v>0</v>
      </c>
    </row>
    <row r="510" spans="1:15" ht="15.75" x14ac:dyDescent="0.25">
      <c r="A510" s="2">
        <f t="shared" si="80"/>
        <v>0</v>
      </c>
      <c r="B510" s="5" t="s">
        <v>134</v>
      </c>
      <c r="C510" s="7">
        <v>25</v>
      </c>
      <c r="D510" s="7"/>
      <c r="E510" s="6"/>
      <c r="F510" s="6"/>
      <c r="G510" s="6"/>
      <c r="H510" s="7"/>
      <c r="I510" s="7"/>
      <c r="J510" s="7"/>
      <c r="K510" s="7"/>
      <c r="L510" s="7">
        <f t="shared" si="81"/>
        <v>25</v>
      </c>
      <c r="M510" s="7">
        <v>25</v>
      </c>
      <c r="N510" s="7">
        <f t="shared" si="79"/>
        <v>0</v>
      </c>
      <c r="O510" t="s">
        <v>334</v>
      </c>
    </row>
    <row r="511" spans="1:15" ht="15.75" x14ac:dyDescent="0.25">
      <c r="A511" s="2">
        <f t="shared" si="80"/>
        <v>26.100000000000005</v>
      </c>
      <c r="B511" s="5" t="s">
        <v>99</v>
      </c>
      <c r="C511" s="7"/>
      <c r="D511" s="7"/>
      <c r="E511" s="6"/>
      <c r="F511" s="7">
        <v>14.4</v>
      </c>
      <c r="G511" s="6"/>
      <c r="H511" s="6"/>
      <c r="I511" s="6"/>
      <c r="J511" s="6"/>
      <c r="K511" s="7"/>
      <c r="L511" s="7">
        <f t="shared" si="81"/>
        <v>14.4</v>
      </c>
      <c r="M511" s="7">
        <v>14.4</v>
      </c>
      <c r="N511" s="7">
        <f t="shared" si="79"/>
        <v>26.100000000000009</v>
      </c>
      <c r="O511" t="s">
        <v>338</v>
      </c>
    </row>
    <row r="512" spans="1:15" ht="15.75" x14ac:dyDescent="0.25">
      <c r="A512" s="2"/>
      <c r="B512" s="5" t="s">
        <v>323</v>
      </c>
      <c r="C512" s="7"/>
      <c r="D512" s="7">
        <v>36</v>
      </c>
      <c r="E512" s="6"/>
      <c r="F512" s="6"/>
      <c r="G512" s="6"/>
      <c r="H512" s="6"/>
      <c r="I512" s="6"/>
      <c r="J512" s="6"/>
      <c r="K512" s="7"/>
      <c r="L512" s="7">
        <f t="shared" ref="L512" si="82">SUM(C512:K512)</f>
        <v>36</v>
      </c>
      <c r="M512" s="7">
        <v>36</v>
      </c>
      <c r="N512" s="7">
        <f t="shared" ref="N512" si="83">M512+A512-L512</f>
        <v>0</v>
      </c>
      <c r="O512" s="29">
        <v>43658</v>
      </c>
    </row>
    <row r="513" spans="1:17" ht="15.75" x14ac:dyDescent="0.25">
      <c r="A513" s="2">
        <f t="shared" ref="A513:A544" si="84">N439</f>
        <v>0</v>
      </c>
      <c r="B513" s="5" t="s">
        <v>21</v>
      </c>
      <c r="C513" s="7">
        <v>10</v>
      </c>
      <c r="D513" s="7"/>
      <c r="E513" s="7"/>
      <c r="F513" s="7"/>
      <c r="G513" s="7"/>
      <c r="H513" s="7"/>
      <c r="I513" s="7"/>
      <c r="J513" s="7"/>
      <c r="K513" s="7"/>
      <c r="L513" s="7">
        <f t="shared" si="81"/>
        <v>10</v>
      </c>
      <c r="M513" s="7">
        <v>10</v>
      </c>
      <c r="N513" s="7">
        <f t="shared" si="79"/>
        <v>0</v>
      </c>
      <c r="O513" t="s">
        <v>324</v>
      </c>
    </row>
    <row r="514" spans="1:17" ht="15.75" hidden="1" x14ac:dyDescent="0.25">
      <c r="A514" s="2">
        <f t="shared" si="84"/>
        <v>0</v>
      </c>
      <c r="B514" s="5" t="s">
        <v>47</v>
      </c>
      <c r="C514" s="7"/>
      <c r="D514" s="7"/>
      <c r="E514" s="7"/>
      <c r="F514" s="7"/>
      <c r="G514" s="7"/>
      <c r="H514" s="7"/>
      <c r="I514" s="7"/>
      <c r="J514" s="7"/>
      <c r="K514" s="7"/>
      <c r="L514" s="7">
        <f t="shared" si="81"/>
        <v>0</v>
      </c>
      <c r="M514" s="7"/>
      <c r="N514" s="7">
        <f t="shared" si="79"/>
        <v>0</v>
      </c>
    </row>
    <row r="515" spans="1:17" ht="15.75" x14ac:dyDescent="0.25">
      <c r="A515" s="2">
        <f t="shared" si="84"/>
        <v>-525.99</v>
      </c>
      <c r="B515" s="5" t="s">
        <v>53</v>
      </c>
      <c r="C515" s="7"/>
      <c r="D515" s="7"/>
      <c r="E515" s="7"/>
      <c r="F515" s="7"/>
      <c r="G515" s="7"/>
      <c r="H515" s="7"/>
      <c r="I515" s="7"/>
      <c r="J515" s="7"/>
      <c r="K515" s="7"/>
      <c r="L515" s="7">
        <f t="shared" si="81"/>
        <v>0</v>
      </c>
      <c r="M515" s="7"/>
      <c r="N515" s="7">
        <f t="shared" si="79"/>
        <v>-525.99</v>
      </c>
    </row>
    <row r="516" spans="1:17" ht="15.75" x14ac:dyDescent="0.25">
      <c r="A516" s="2">
        <f t="shared" si="84"/>
        <v>-183.20000000000007</v>
      </c>
      <c r="B516" s="5" t="s">
        <v>33</v>
      </c>
      <c r="C516" s="7">
        <v>108</v>
      </c>
      <c r="D516" s="7">
        <v>12.6</v>
      </c>
      <c r="E516" s="7">
        <v>25</v>
      </c>
      <c r="F516" s="7"/>
      <c r="G516" s="7"/>
      <c r="H516" s="7"/>
      <c r="I516" s="7"/>
      <c r="J516" s="7"/>
      <c r="K516" s="7"/>
      <c r="L516" s="7">
        <f t="shared" si="81"/>
        <v>145.6</v>
      </c>
      <c r="M516" s="7">
        <f>25+108+195.8</f>
        <v>328.8</v>
      </c>
      <c r="N516" s="7">
        <f t="shared" si="79"/>
        <v>0</v>
      </c>
      <c r="O516" t="s">
        <v>325</v>
      </c>
      <c r="P516" t="s">
        <v>327</v>
      </c>
      <c r="Q516" t="s">
        <v>331</v>
      </c>
    </row>
    <row r="517" spans="1:17" ht="15.75" hidden="1" x14ac:dyDescent="0.25">
      <c r="A517" s="2">
        <f t="shared" si="84"/>
        <v>0</v>
      </c>
      <c r="B517" s="5" t="s">
        <v>87</v>
      </c>
      <c r="C517" s="7"/>
      <c r="D517" s="7"/>
      <c r="E517" s="7"/>
      <c r="F517" s="7"/>
      <c r="G517" s="7"/>
      <c r="H517" s="7"/>
      <c r="I517" s="7"/>
      <c r="J517" s="7"/>
      <c r="K517" s="7"/>
      <c r="L517" s="7">
        <f t="shared" si="81"/>
        <v>0</v>
      </c>
      <c r="M517" s="7"/>
      <c r="N517" s="7">
        <f t="shared" si="79"/>
        <v>0</v>
      </c>
    </row>
    <row r="518" spans="1:17" ht="15.75" x14ac:dyDescent="0.25">
      <c r="A518" s="2">
        <f t="shared" si="84"/>
        <v>0</v>
      </c>
      <c r="B518" s="5" t="s">
        <v>23</v>
      </c>
      <c r="C518" s="7">
        <v>29.7</v>
      </c>
      <c r="D518" s="7"/>
      <c r="E518" s="7"/>
      <c r="F518" s="7"/>
      <c r="G518" s="7"/>
      <c r="H518" s="7"/>
      <c r="I518" s="7"/>
      <c r="J518" s="7"/>
      <c r="K518" s="7">
        <v>36</v>
      </c>
      <c r="L518" s="7">
        <f t="shared" si="81"/>
        <v>65.7</v>
      </c>
      <c r="M518" s="7">
        <v>29.7</v>
      </c>
      <c r="N518" s="7">
        <f t="shared" si="79"/>
        <v>-36</v>
      </c>
      <c r="O518" t="s">
        <v>336</v>
      </c>
    </row>
    <row r="519" spans="1:17" ht="15.75" x14ac:dyDescent="0.25">
      <c r="A519" s="2">
        <f t="shared" si="84"/>
        <v>-25</v>
      </c>
      <c r="B519" s="5" t="s">
        <v>24</v>
      </c>
      <c r="C519" s="7"/>
      <c r="D519" s="7"/>
      <c r="E519" s="7"/>
      <c r="F519" s="7"/>
      <c r="G519" s="7"/>
      <c r="H519" s="7"/>
      <c r="I519" s="7"/>
      <c r="J519" s="7"/>
      <c r="K519" s="7"/>
      <c r="L519" s="7">
        <f t="shared" si="81"/>
        <v>0</v>
      </c>
      <c r="M519" s="7"/>
      <c r="N519" s="7">
        <f t="shared" si="79"/>
        <v>-25</v>
      </c>
    </row>
    <row r="520" spans="1:17" ht="15.75" x14ac:dyDescent="0.25">
      <c r="A520" s="2">
        <f t="shared" si="84"/>
        <v>0</v>
      </c>
      <c r="B520" s="5" t="s">
        <v>51</v>
      </c>
      <c r="C520" s="7"/>
      <c r="D520" s="7"/>
      <c r="E520" s="7"/>
      <c r="F520" s="7">
        <v>18.899999999999999</v>
      </c>
      <c r="G520" s="7"/>
      <c r="H520" s="7"/>
      <c r="I520" s="7"/>
      <c r="J520" s="7"/>
      <c r="K520" s="7"/>
      <c r="L520" s="7">
        <f>SUM(C520:K520)</f>
        <v>18.899999999999999</v>
      </c>
      <c r="M520" s="7">
        <v>18.899999999999999</v>
      </c>
      <c r="N520" s="7">
        <f t="shared" si="79"/>
        <v>0</v>
      </c>
      <c r="O520" t="s">
        <v>346</v>
      </c>
    </row>
    <row r="521" spans="1:17" ht="15.75" hidden="1" x14ac:dyDescent="0.25">
      <c r="A521" s="2">
        <f t="shared" si="84"/>
        <v>0</v>
      </c>
      <c r="B521" s="5" t="s">
        <v>25</v>
      </c>
      <c r="C521" s="7"/>
      <c r="D521" s="7"/>
      <c r="E521" s="7"/>
      <c r="F521" s="7"/>
      <c r="G521" s="7"/>
      <c r="H521" s="7"/>
      <c r="I521" s="7"/>
      <c r="J521" s="7"/>
      <c r="K521" s="7"/>
      <c r="L521" s="7">
        <f>SUM(C521:K521)</f>
        <v>0</v>
      </c>
      <c r="M521" s="7"/>
      <c r="N521" s="7">
        <f t="shared" si="79"/>
        <v>0</v>
      </c>
    </row>
    <row r="522" spans="1:17" ht="15.75" x14ac:dyDescent="0.25">
      <c r="A522" s="2">
        <f t="shared" si="84"/>
        <v>-126.9</v>
      </c>
      <c r="B522" s="5" t="s">
        <v>27</v>
      </c>
      <c r="C522" s="7"/>
      <c r="D522" s="7"/>
      <c r="E522" s="7"/>
      <c r="F522" s="7"/>
      <c r="G522" s="7"/>
      <c r="H522" s="7"/>
      <c r="I522" s="7"/>
      <c r="J522" s="7">
        <v>21.6</v>
      </c>
      <c r="K522" s="7"/>
      <c r="L522" s="7">
        <f>SUM(C522:K522)</f>
        <v>21.6</v>
      </c>
      <c r="M522" s="7">
        <f>50+50</f>
        <v>100</v>
      </c>
      <c r="N522" s="7">
        <f t="shared" si="79"/>
        <v>-48.500000000000007</v>
      </c>
      <c r="O522" t="s">
        <v>326</v>
      </c>
      <c r="P522" t="s">
        <v>345</v>
      </c>
    </row>
    <row r="523" spans="1:17" ht="15.75" x14ac:dyDescent="0.25">
      <c r="A523" s="2">
        <f t="shared" si="84"/>
        <v>-34.5</v>
      </c>
      <c r="B523" s="5" t="s">
        <v>29</v>
      </c>
      <c r="C523" s="7"/>
      <c r="D523" s="7"/>
      <c r="E523" s="7"/>
      <c r="F523" s="7"/>
      <c r="G523" s="7"/>
      <c r="H523" s="7"/>
      <c r="I523" s="7"/>
      <c r="J523" s="7">
        <v>22.5</v>
      </c>
      <c r="K523" s="7"/>
      <c r="L523" s="7">
        <f t="shared" ref="L523:L524" si="85">SUM(C523:K523)</f>
        <v>22.5</v>
      </c>
      <c r="M523" s="7"/>
      <c r="N523" s="7">
        <f t="shared" si="79"/>
        <v>-57</v>
      </c>
    </row>
    <row r="524" spans="1:17" ht="15.75" x14ac:dyDescent="0.25">
      <c r="A524" s="2">
        <f t="shared" si="84"/>
        <v>133.16999999999996</v>
      </c>
      <c r="B524" s="5" t="s">
        <v>30</v>
      </c>
      <c r="C524" s="7"/>
      <c r="D524" s="7"/>
      <c r="E524" s="7"/>
      <c r="F524" s="7"/>
      <c r="G524" s="7"/>
      <c r="H524" s="7">
        <v>197.37</v>
      </c>
      <c r="I524" s="7"/>
      <c r="J524" s="7"/>
      <c r="K524" s="7"/>
      <c r="L524" s="7">
        <f t="shared" si="85"/>
        <v>197.37</v>
      </c>
      <c r="M524" s="7"/>
      <c r="N524" s="7">
        <f t="shared" si="79"/>
        <v>-64.200000000000045</v>
      </c>
    </row>
    <row r="525" spans="1:17" ht="15.75" hidden="1" x14ac:dyDescent="0.25">
      <c r="A525" s="2">
        <f t="shared" si="84"/>
        <v>0</v>
      </c>
      <c r="B525" s="5" t="s">
        <v>56</v>
      </c>
      <c r="C525" s="7"/>
      <c r="D525" s="7"/>
      <c r="E525" s="7"/>
      <c r="F525" s="7"/>
      <c r="G525" s="7"/>
      <c r="H525" s="7"/>
      <c r="I525" s="7"/>
      <c r="J525" s="7"/>
      <c r="K525" s="7"/>
      <c r="L525" s="7">
        <f>SUM(C525:K525)</f>
        <v>0</v>
      </c>
      <c r="M525" s="7"/>
      <c r="N525" s="7">
        <f t="shared" si="79"/>
        <v>0</v>
      </c>
    </row>
    <row r="526" spans="1:17" ht="15.75" hidden="1" x14ac:dyDescent="0.25">
      <c r="A526" s="2">
        <f t="shared" si="84"/>
        <v>0</v>
      </c>
      <c r="B526" s="5" t="s">
        <v>272</v>
      </c>
      <c r="C526" s="7"/>
      <c r="D526" s="7"/>
      <c r="E526" s="7"/>
      <c r="F526" s="7"/>
      <c r="G526" s="7"/>
      <c r="H526" s="7"/>
      <c r="I526" s="7"/>
      <c r="J526" s="7"/>
      <c r="K526" s="7"/>
      <c r="L526" s="7">
        <f>SUM(C526:K526)</f>
        <v>0</v>
      </c>
      <c r="M526" s="7"/>
      <c r="N526" s="7">
        <f t="shared" si="79"/>
        <v>0</v>
      </c>
    </row>
    <row r="527" spans="1:17" ht="15.75" x14ac:dyDescent="0.25">
      <c r="A527" s="2">
        <f t="shared" si="84"/>
        <v>-7.1054273576010019E-15</v>
      </c>
      <c r="B527" s="5" t="s">
        <v>101</v>
      </c>
      <c r="C527" s="7">
        <v>25</v>
      </c>
      <c r="D527" s="7"/>
      <c r="E527" s="7"/>
      <c r="F527" s="7"/>
      <c r="G527" s="7"/>
      <c r="H527" s="7"/>
      <c r="I527" s="7"/>
      <c r="J527" s="7"/>
      <c r="K527" s="7"/>
      <c r="L527" s="7">
        <f t="shared" ref="L527:L545" si="86">SUM(C527:K527)</f>
        <v>25</v>
      </c>
      <c r="M527" s="7">
        <v>25</v>
      </c>
      <c r="N527" s="7">
        <f t="shared" si="79"/>
        <v>0</v>
      </c>
      <c r="O527" t="s">
        <v>329</v>
      </c>
    </row>
    <row r="528" spans="1:17" ht="15.75" x14ac:dyDescent="0.25">
      <c r="A528" s="2">
        <f t="shared" si="84"/>
        <v>-9.8000000000000007</v>
      </c>
      <c r="B528" s="5" t="s">
        <v>41</v>
      </c>
      <c r="C528" s="6"/>
      <c r="D528" s="6"/>
      <c r="E528" s="7"/>
      <c r="F528" s="7"/>
      <c r="G528" s="7"/>
      <c r="H528" s="7"/>
      <c r="I528" s="7"/>
      <c r="J528" s="7"/>
      <c r="K528" s="7"/>
      <c r="L528" s="7">
        <f t="shared" si="86"/>
        <v>0</v>
      </c>
      <c r="M528" s="7"/>
      <c r="N528" s="7">
        <f t="shared" si="79"/>
        <v>-9.8000000000000007</v>
      </c>
    </row>
    <row r="529" spans="1:18" ht="15.75" hidden="1" x14ac:dyDescent="0.25">
      <c r="A529" s="2">
        <f t="shared" si="84"/>
        <v>0</v>
      </c>
      <c r="B529" s="5" t="s">
        <v>102</v>
      </c>
      <c r="C529" s="6"/>
      <c r="D529" s="7"/>
      <c r="E529" s="7"/>
      <c r="F529" s="7"/>
      <c r="G529" s="7"/>
      <c r="H529" s="7"/>
      <c r="I529" s="7"/>
      <c r="J529" s="7"/>
      <c r="K529" s="7"/>
      <c r="L529" s="7">
        <f t="shared" si="86"/>
        <v>0</v>
      </c>
      <c r="M529" s="7"/>
      <c r="N529" s="7">
        <f t="shared" si="79"/>
        <v>0</v>
      </c>
    </row>
    <row r="530" spans="1:18" ht="15.75" x14ac:dyDescent="0.25">
      <c r="A530" s="2">
        <f t="shared" si="84"/>
        <v>-245.7</v>
      </c>
      <c r="B530" s="5" t="s">
        <v>45</v>
      </c>
      <c r="C530" s="7"/>
      <c r="D530" s="6"/>
      <c r="E530" s="6"/>
      <c r="F530" s="7">
        <v>67.5</v>
      </c>
      <c r="G530" s="7"/>
      <c r="H530" s="7"/>
      <c r="I530" s="7"/>
      <c r="J530" s="7"/>
      <c r="K530" s="7"/>
      <c r="L530" s="7">
        <f t="shared" si="86"/>
        <v>67.5</v>
      </c>
      <c r="M530" s="7">
        <v>245.7</v>
      </c>
      <c r="N530" s="7">
        <f t="shared" si="79"/>
        <v>-67.5</v>
      </c>
      <c r="O530" s="29">
        <v>43648</v>
      </c>
    </row>
    <row r="531" spans="1:18" ht="15.75" x14ac:dyDescent="0.25">
      <c r="A531" s="2">
        <f t="shared" si="84"/>
        <v>24.299999999999997</v>
      </c>
      <c r="B531" s="5" t="s">
        <v>46</v>
      </c>
      <c r="C531" s="7"/>
      <c r="D531" s="7"/>
      <c r="E531" s="10">
        <v>20</v>
      </c>
      <c r="F531" s="7"/>
      <c r="G531" s="7"/>
      <c r="H531" s="7">
        <v>65</v>
      </c>
      <c r="I531" s="7"/>
      <c r="J531" s="7"/>
      <c r="K531" s="7"/>
      <c r="L531" s="7">
        <f t="shared" si="86"/>
        <v>85</v>
      </c>
      <c r="M531" s="7">
        <f>20+65</f>
        <v>85</v>
      </c>
      <c r="N531" s="7">
        <f t="shared" si="79"/>
        <v>24.299999999999997</v>
      </c>
      <c r="O531" t="s">
        <v>337</v>
      </c>
      <c r="P531" t="s">
        <v>348</v>
      </c>
    </row>
    <row r="532" spans="1:18" ht="15.75" x14ac:dyDescent="0.25">
      <c r="A532" s="2">
        <f t="shared" si="84"/>
        <v>-59</v>
      </c>
      <c r="B532" s="5" t="s">
        <v>79</v>
      </c>
      <c r="C532" s="7"/>
      <c r="D532" s="6"/>
      <c r="E532" s="10"/>
      <c r="F532" s="7"/>
      <c r="G532" s="7"/>
      <c r="H532" s="7"/>
      <c r="I532" s="7"/>
      <c r="J532" s="7"/>
      <c r="K532" s="7"/>
      <c r="L532" s="7">
        <f t="shared" si="86"/>
        <v>0</v>
      </c>
      <c r="M532" s="7"/>
      <c r="N532" s="7">
        <f t="shared" si="79"/>
        <v>-59</v>
      </c>
    </row>
    <row r="533" spans="1:18" ht="15.75" hidden="1" x14ac:dyDescent="0.25">
      <c r="A533" s="2">
        <f t="shared" si="84"/>
        <v>0</v>
      </c>
      <c r="B533" s="5" t="s">
        <v>261</v>
      </c>
      <c r="C533" s="7"/>
      <c r="D533" s="6"/>
      <c r="E533" s="10"/>
      <c r="F533" s="7"/>
      <c r="G533" s="7"/>
      <c r="H533" s="7"/>
      <c r="I533" s="7"/>
      <c r="J533" s="7"/>
      <c r="K533" s="7"/>
      <c r="L533" s="7">
        <f t="shared" si="86"/>
        <v>0</v>
      </c>
      <c r="M533" s="7"/>
      <c r="N533" s="7">
        <f t="shared" si="79"/>
        <v>0</v>
      </c>
    </row>
    <row r="534" spans="1:18" ht="15.75" x14ac:dyDescent="0.25">
      <c r="A534" s="2">
        <f t="shared" si="84"/>
        <v>-479.89999999999981</v>
      </c>
      <c r="B534" s="5" t="s">
        <v>103</v>
      </c>
      <c r="C534" s="6"/>
      <c r="D534" s="6"/>
      <c r="E534" s="7"/>
      <c r="F534" s="7">
        <v>222.3</v>
      </c>
      <c r="G534" s="7"/>
      <c r="H534" s="7"/>
      <c r="I534" s="7">
        <v>76.5</v>
      </c>
      <c r="J534" s="7"/>
      <c r="K534" s="7"/>
      <c r="L534" s="7">
        <f t="shared" si="86"/>
        <v>298.8</v>
      </c>
      <c r="M534" s="7">
        <v>150</v>
      </c>
      <c r="N534" s="7">
        <f t="shared" si="79"/>
        <v>-628.69999999999982</v>
      </c>
      <c r="O534" t="s">
        <v>328</v>
      </c>
    </row>
    <row r="535" spans="1:18" ht="15.75" x14ac:dyDescent="0.25">
      <c r="A535" s="2">
        <f t="shared" si="84"/>
        <v>0</v>
      </c>
      <c r="B535" s="5" t="s">
        <v>211</v>
      </c>
      <c r="C535" s="6"/>
      <c r="D535" s="7">
        <v>17.5</v>
      </c>
      <c r="E535" s="6"/>
      <c r="F535" s="7"/>
      <c r="G535" s="7"/>
      <c r="H535" s="7"/>
      <c r="I535" s="7"/>
      <c r="J535" s="7"/>
      <c r="K535" s="7"/>
      <c r="L535" s="7">
        <f t="shared" si="86"/>
        <v>17.5</v>
      </c>
      <c r="M535" s="7">
        <v>17.5</v>
      </c>
      <c r="N535" s="7">
        <f t="shared" si="79"/>
        <v>0</v>
      </c>
      <c r="O535" t="s">
        <v>339</v>
      </c>
    </row>
    <row r="536" spans="1:18" ht="15.75" x14ac:dyDescent="0.25">
      <c r="A536" s="2">
        <f t="shared" si="84"/>
        <v>-17.5</v>
      </c>
      <c r="B536" s="5" t="s">
        <v>139</v>
      </c>
      <c r="C536" s="7"/>
      <c r="D536" s="7"/>
      <c r="E536" s="6"/>
      <c r="F536" s="7"/>
      <c r="G536" s="7"/>
      <c r="H536" s="7"/>
      <c r="I536" s="7"/>
      <c r="J536" s="7"/>
      <c r="K536" s="7"/>
      <c r="L536" s="7">
        <f t="shared" si="86"/>
        <v>0</v>
      </c>
      <c r="M536" s="7">
        <v>17.5</v>
      </c>
      <c r="N536" s="7">
        <f t="shared" si="79"/>
        <v>0</v>
      </c>
      <c r="O536" t="s">
        <v>343</v>
      </c>
    </row>
    <row r="537" spans="1:18" ht="15.75" hidden="1" x14ac:dyDescent="0.25">
      <c r="A537" s="2">
        <f t="shared" si="84"/>
        <v>0</v>
      </c>
      <c r="B537" s="5" t="s">
        <v>191</v>
      </c>
      <c r="C537" s="7"/>
      <c r="D537" s="6"/>
      <c r="E537" s="7"/>
      <c r="F537" s="7"/>
      <c r="G537" s="7"/>
      <c r="H537" s="7"/>
      <c r="I537" s="7"/>
      <c r="J537" s="7"/>
      <c r="K537" s="7"/>
      <c r="L537" s="7">
        <f t="shared" si="86"/>
        <v>0</v>
      </c>
      <c r="M537" s="7"/>
      <c r="N537" s="7">
        <f t="shared" si="79"/>
        <v>0</v>
      </c>
    </row>
    <row r="538" spans="1:18" ht="15.75" hidden="1" x14ac:dyDescent="0.25">
      <c r="A538" s="2">
        <f t="shared" si="84"/>
        <v>0</v>
      </c>
      <c r="B538" s="5" t="s">
        <v>91</v>
      </c>
      <c r="C538" s="7"/>
      <c r="D538" s="7"/>
      <c r="E538" s="7"/>
      <c r="F538" s="7"/>
      <c r="G538" s="7"/>
      <c r="H538" s="7"/>
      <c r="I538" s="7"/>
      <c r="J538" s="7"/>
      <c r="K538" s="7"/>
      <c r="L538" s="7">
        <f t="shared" si="86"/>
        <v>0</v>
      </c>
      <c r="M538" s="7"/>
      <c r="N538" s="7">
        <f t="shared" si="79"/>
        <v>0</v>
      </c>
    </row>
    <row r="539" spans="1:18" ht="15.75" x14ac:dyDescent="0.25">
      <c r="A539" s="2">
        <f t="shared" si="84"/>
        <v>-60.5</v>
      </c>
      <c r="B539" s="5" t="s">
        <v>31</v>
      </c>
      <c r="C539" s="7"/>
      <c r="D539" s="7">
        <v>22.5</v>
      </c>
      <c r="E539" s="7"/>
      <c r="F539" s="7">
        <v>22.5</v>
      </c>
      <c r="G539" s="7"/>
      <c r="H539" s="7">
        <v>45.5</v>
      </c>
      <c r="I539" s="7">
        <v>20</v>
      </c>
      <c r="J539" s="7"/>
      <c r="K539" s="7"/>
      <c r="L539" s="7">
        <f t="shared" si="86"/>
        <v>110.5</v>
      </c>
      <c r="M539" s="7">
        <f>83+22.5+45.5+20</f>
        <v>171</v>
      </c>
      <c r="N539" s="7">
        <f t="shared" si="79"/>
        <v>0</v>
      </c>
      <c r="O539" t="s">
        <v>342</v>
      </c>
      <c r="P539" t="s">
        <v>344</v>
      </c>
      <c r="Q539" t="s">
        <v>347</v>
      </c>
      <c r="R539" t="s">
        <v>349</v>
      </c>
    </row>
    <row r="540" spans="1:18" ht="15.75" hidden="1" x14ac:dyDescent="0.25">
      <c r="A540" s="2">
        <f t="shared" si="84"/>
        <v>0</v>
      </c>
      <c r="B540" s="5" t="s">
        <v>37</v>
      </c>
      <c r="C540" s="7"/>
      <c r="D540" s="7"/>
      <c r="E540" s="7"/>
      <c r="F540" s="7"/>
      <c r="G540" s="7"/>
      <c r="H540" s="7"/>
      <c r="I540" s="7"/>
      <c r="J540" s="7"/>
      <c r="K540" s="7"/>
      <c r="L540" s="7">
        <f t="shared" si="86"/>
        <v>0</v>
      </c>
      <c r="M540" s="7"/>
      <c r="N540" s="7">
        <f t="shared" si="79"/>
        <v>0</v>
      </c>
    </row>
    <row r="541" spans="1:18" ht="15.75" x14ac:dyDescent="0.25">
      <c r="A541" s="2">
        <f t="shared" si="84"/>
        <v>-20</v>
      </c>
      <c r="B541" s="5" t="s">
        <v>105</v>
      </c>
      <c r="C541" s="7"/>
      <c r="D541" s="7"/>
      <c r="E541" s="7"/>
      <c r="F541" s="7"/>
      <c r="G541" s="7"/>
      <c r="H541" s="7"/>
      <c r="I541" s="7"/>
      <c r="J541" s="7"/>
      <c r="K541" s="7"/>
      <c r="L541" s="7">
        <f t="shared" si="86"/>
        <v>0</v>
      </c>
      <c r="M541" s="7">
        <v>20</v>
      </c>
      <c r="N541" s="7">
        <f t="shared" si="79"/>
        <v>0</v>
      </c>
      <c r="O541" t="s">
        <v>340</v>
      </c>
    </row>
    <row r="542" spans="1:18" ht="15.75" hidden="1" x14ac:dyDescent="0.25">
      <c r="A542" s="2">
        <f t="shared" si="84"/>
        <v>0</v>
      </c>
      <c r="B542" s="5" t="s">
        <v>54</v>
      </c>
      <c r="C542" s="7"/>
      <c r="D542" s="7"/>
      <c r="E542" s="7"/>
      <c r="F542" s="7"/>
      <c r="G542" s="7"/>
      <c r="H542" s="7"/>
      <c r="I542" s="7"/>
      <c r="J542" s="7"/>
      <c r="K542" s="7"/>
      <c r="L542" s="7">
        <f t="shared" si="86"/>
        <v>0</v>
      </c>
      <c r="M542" s="7"/>
      <c r="N542" s="7">
        <f t="shared" si="79"/>
        <v>0</v>
      </c>
    </row>
    <row r="543" spans="1:18" ht="15.75" hidden="1" x14ac:dyDescent="0.25">
      <c r="A543" s="2">
        <f t="shared" si="84"/>
        <v>0</v>
      </c>
      <c r="B543" s="5" t="s">
        <v>269</v>
      </c>
      <c r="C543" s="7"/>
      <c r="D543" s="7"/>
      <c r="E543" s="7"/>
      <c r="F543" s="7"/>
      <c r="G543" s="7"/>
      <c r="H543" s="7"/>
      <c r="I543" s="7"/>
      <c r="J543" s="7"/>
      <c r="K543" s="7"/>
      <c r="L543" s="7">
        <f t="shared" si="86"/>
        <v>0</v>
      </c>
      <c r="M543" s="7"/>
      <c r="N543" s="7">
        <f t="shared" si="79"/>
        <v>0</v>
      </c>
    </row>
    <row r="544" spans="1:18" ht="15.75" hidden="1" x14ac:dyDescent="0.25">
      <c r="A544" s="2">
        <f t="shared" si="84"/>
        <v>0</v>
      </c>
      <c r="B544" s="5" t="s">
        <v>19</v>
      </c>
      <c r="C544" s="7"/>
      <c r="D544" s="7"/>
      <c r="E544" s="7"/>
      <c r="F544" s="7"/>
      <c r="G544" s="7"/>
      <c r="H544" s="7"/>
      <c r="I544" s="7"/>
      <c r="J544" s="7"/>
      <c r="K544" s="7"/>
      <c r="L544" s="7">
        <f t="shared" si="86"/>
        <v>0</v>
      </c>
      <c r="M544" s="7"/>
      <c r="N544" s="7">
        <f t="shared" si="79"/>
        <v>0</v>
      </c>
    </row>
    <row r="545" spans="1:15" ht="15.75" hidden="1" x14ac:dyDescent="0.25">
      <c r="A545" s="2">
        <f t="shared" ref="A545:A561" si="87">N471</f>
        <v>0</v>
      </c>
      <c r="B545" s="5" t="s">
        <v>138</v>
      </c>
      <c r="C545" s="7"/>
      <c r="D545" s="7"/>
      <c r="E545" s="7"/>
      <c r="F545" s="7"/>
      <c r="G545" s="7"/>
      <c r="H545" s="7"/>
      <c r="I545" s="7"/>
      <c r="J545" s="7"/>
      <c r="K545" s="7"/>
      <c r="L545" s="7">
        <f t="shared" si="86"/>
        <v>0</v>
      </c>
      <c r="M545" s="7"/>
      <c r="N545" s="7">
        <f t="shared" si="79"/>
        <v>0</v>
      </c>
    </row>
    <row r="546" spans="1:15" ht="15.75" x14ac:dyDescent="0.25">
      <c r="A546" s="2">
        <f t="shared" si="87"/>
        <v>7</v>
      </c>
      <c r="B546" s="5" t="s">
        <v>136</v>
      </c>
      <c r="C546" s="7"/>
      <c r="D546" s="7"/>
      <c r="E546" s="7"/>
      <c r="F546" s="7"/>
      <c r="G546" s="7"/>
      <c r="H546" s="7"/>
      <c r="I546" s="7"/>
      <c r="J546" s="7"/>
      <c r="K546" s="7"/>
      <c r="L546" s="7">
        <f>SUM(C546:K546)</f>
        <v>0</v>
      </c>
      <c r="M546" s="7"/>
      <c r="N546" s="8">
        <f t="shared" si="79"/>
        <v>7</v>
      </c>
    </row>
    <row r="547" spans="1:15" ht="15.75" hidden="1" x14ac:dyDescent="0.25">
      <c r="A547" s="2">
        <f t="shared" si="87"/>
        <v>0</v>
      </c>
      <c r="B547" s="5" t="s">
        <v>44</v>
      </c>
      <c r="C547" s="7"/>
      <c r="D547" s="7"/>
      <c r="E547" s="7"/>
      <c r="F547" s="7"/>
      <c r="G547" s="7"/>
      <c r="H547" s="7"/>
      <c r="I547" s="7"/>
      <c r="J547" s="7"/>
      <c r="K547" s="7"/>
      <c r="L547" s="7">
        <f t="shared" ref="L547:L557" si="88">SUM(C547:K547)</f>
        <v>0</v>
      </c>
      <c r="M547" s="7"/>
      <c r="N547" s="7">
        <f t="shared" si="79"/>
        <v>0</v>
      </c>
    </row>
    <row r="548" spans="1:15" ht="15.75" hidden="1" x14ac:dyDescent="0.25">
      <c r="A548" s="2">
        <f t="shared" si="87"/>
        <v>0</v>
      </c>
      <c r="B548" s="5" t="s">
        <v>95</v>
      </c>
      <c r="C548" s="6"/>
      <c r="D548" s="7"/>
      <c r="E548" s="6"/>
      <c r="F548" s="7"/>
      <c r="G548" s="7"/>
      <c r="H548" s="7"/>
      <c r="I548" s="7"/>
      <c r="J548" s="7"/>
      <c r="K548" s="7"/>
      <c r="L548" s="7">
        <f t="shared" si="88"/>
        <v>0</v>
      </c>
      <c r="M548" s="7"/>
      <c r="N548" s="7">
        <f t="shared" si="79"/>
        <v>0</v>
      </c>
    </row>
    <row r="549" spans="1:15" ht="15.75" hidden="1" x14ac:dyDescent="0.25">
      <c r="A549" s="2">
        <f t="shared" si="87"/>
        <v>0</v>
      </c>
      <c r="B549" s="5" t="s">
        <v>36</v>
      </c>
      <c r="C549" s="7"/>
      <c r="D549" s="7"/>
      <c r="E549" s="6"/>
      <c r="F549" s="7"/>
      <c r="G549" s="7"/>
      <c r="H549" s="7"/>
      <c r="I549" s="7"/>
      <c r="J549" s="7"/>
      <c r="K549" s="7"/>
      <c r="L549" s="7">
        <f t="shared" si="88"/>
        <v>0</v>
      </c>
      <c r="M549" s="7"/>
      <c r="N549" s="7">
        <f t="shared" si="79"/>
        <v>0</v>
      </c>
    </row>
    <row r="550" spans="1:15" ht="15.75" x14ac:dyDescent="0.25">
      <c r="A550" s="2">
        <f t="shared" si="87"/>
        <v>18</v>
      </c>
      <c r="B550" s="5" t="s">
        <v>319</v>
      </c>
      <c r="C550" s="7"/>
      <c r="D550" s="7"/>
      <c r="E550" s="6"/>
      <c r="F550" s="7"/>
      <c r="G550" s="7"/>
      <c r="H550" s="7">
        <v>18</v>
      </c>
      <c r="I550" s="7"/>
      <c r="J550" s="7"/>
      <c r="K550" s="7"/>
      <c r="L550" s="7">
        <f t="shared" si="88"/>
        <v>18</v>
      </c>
      <c r="M550" s="7"/>
      <c r="N550" s="7">
        <f t="shared" si="79"/>
        <v>0</v>
      </c>
    </row>
    <row r="551" spans="1:15" ht="15.75" hidden="1" x14ac:dyDescent="0.25">
      <c r="A551" s="2">
        <f t="shared" si="87"/>
        <v>0</v>
      </c>
      <c r="B551" s="5" t="s">
        <v>111</v>
      </c>
      <c r="C551" s="6"/>
      <c r="D551" s="7"/>
      <c r="E551" s="6"/>
      <c r="F551" s="7"/>
      <c r="G551" s="7"/>
      <c r="H551" s="7"/>
      <c r="I551" s="7"/>
      <c r="J551" s="7"/>
      <c r="K551" s="7"/>
      <c r="L551" s="7">
        <f t="shared" si="88"/>
        <v>0</v>
      </c>
      <c r="M551" s="7"/>
      <c r="N551" s="7">
        <f t="shared" si="79"/>
        <v>0</v>
      </c>
    </row>
    <row r="552" spans="1:15" ht="15.75" hidden="1" x14ac:dyDescent="0.25">
      <c r="A552" s="2">
        <f t="shared" si="87"/>
        <v>0</v>
      </c>
      <c r="B552" s="5" t="s">
        <v>51</v>
      </c>
      <c r="C552" s="6"/>
      <c r="D552" s="7"/>
      <c r="E552" s="7"/>
      <c r="F552" s="7"/>
      <c r="G552" s="7"/>
      <c r="H552" s="7"/>
      <c r="I552" s="7"/>
      <c r="J552" s="7"/>
      <c r="K552" s="7"/>
      <c r="L552" s="7">
        <f t="shared" si="88"/>
        <v>0</v>
      </c>
      <c r="M552" s="7"/>
      <c r="N552" s="7">
        <f t="shared" si="79"/>
        <v>0</v>
      </c>
    </row>
    <row r="553" spans="1:15" ht="15.75" hidden="1" x14ac:dyDescent="0.25">
      <c r="A553" s="2">
        <f t="shared" si="87"/>
        <v>0</v>
      </c>
      <c r="B553" s="5" t="s">
        <v>113</v>
      </c>
      <c r="C553" s="6"/>
      <c r="D553" s="7"/>
      <c r="E553" s="7"/>
      <c r="F553" s="7"/>
      <c r="G553" s="7"/>
      <c r="H553" s="7"/>
      <c r="I553" s="7"/>
      <c r="J553" s="7"/>
      <c r="K553" s="7"/>
      <c r="L553" s="7">
        <f t="shared" si="88"/>
        <v>0</v>
      </c>
      <c r="M553" s="7"/>
      <c r="N553" s="7">
        <f t="shared" si="79"/>
        <v>0</v>
      </c>
    </row>
    <row r="554" spans="1:15" ht="15.75" hidden="1" x14ac:dyDescent="0.25">
      <c r="A554" s="2">
        <f t="shared" si="87"/>
        <v>0</v>
      </c>
      <c r="B554" s="5" t="s">
        <v>291</v>
      </c>
      <c r="C554" s="6"/>
      <c r="D554" s="7"/>
      <c r="E554" s="7"/>
      <c r="F554" s="7"/>
      <c r="G554" s="7"/>
      <c r="H554" s="7"/>
      <c r="I554" s="7"/>
      <c r="J554" s="7"/>
      <c r="K554" s="7"/>
      <c r="L554" s="7">
        <f t="shared" si="88"/>
        <v>0</v>
      </c>
      <c r="M554" s="7"/>
      <c r="N554" s="7">
        <f t="shared" si="79"/>
        <v>0</v>
      </c>
    </row>
    <row r="555" spans="1:15" ht="15.75" x14ac:dyDescent="0.25">
      <c r="A555" s="2">
        <f t="shared" si="87"/>
        <v>0</v>
      </c>
      <c r="B555" s="5" t="s">
        <v>114</v>
      </c>
      <c r="C555" s="6"/>
      <c r="D555" s="7"/>
      <c r="E555" s="7"/>
      <c r="F555" s="7"/>
      <c r="G555" s="7"/>
      <c r="H555" s="7"/>
      <c r="I555" s="7"/>
      <c r="J555" s="7">
        <v>54</v>
      </c>
      <c r="K555" s="7"/>
      <c r="L555" s="7">
        <f t="shared" si="88"/>
        <v>54</v>
      </c>
      <c r="M555" s="7">
        <v>54</v>
      </c>
      <c r="N555" s="7">
        <f t="shared" si="79"/>
        <v>0</v>
      </c>
      <c r="O555" t="s">
        <v>350</v>
      </c>
    </row>
    <row r="556" spans="1:15" ht="15.75" x14ac:dyDescent="0.25">
      <c r="A556" s="2">
        <f t="shared" si="87"/>
        <v>0</v>
      </c>
      <c r="B556" s="5" t="s">
        <v>115</v>
      </c>
      <c r="C556" s="6"/>
      <c r="D556" s="7"/>
      <c r="E556" s="7"/>
      <c r="F556" s="7"/>
      <c r="G556" s="7"/>
      <c r="H556" s="7"/>
      <c r="I556" s="7">
        <v>18</v>
      </c>
      <c r="J556" s="7"/>
      <c r="K556" s="7"/>
      <c r="L556" s="7">
        <f t="shared" si="88"/>
        <v>18</v>
      </c>
      <c r="M556" s="7"/>
      <c r="N556" s="7">
        <f t="shared" si="79"/>
        <v>-18</v>
      </c>
    </row>
    <row r="557" spans="1:15" ht="15.75" x14ac:dyDescent="0.25">
      <c r="A557" s="2">
        <f t="shared" si="87"/>
        <v>-25</v>
      </c>
      <c r="B557" s="5" t="s">
        <v>252</v>
      </c>
      <c r="C557" s="7"/>
      <c r="D557" s="7"/>
      <c r="E557" s="7"/>
      <c r="F557" s="7"/>
      <c r="G557" s="7"/>
      <c r="H557" s="7"/>
      <c r="I557" s="7"/>
      <c r="J557" s="7"/>
      <c r="K557" s="7"/>
      <c r="L557" s="7">
        <f t="shared" si="88"/>
        <v>0</v>
      </c>
      <c r="M557" s="7"/>
      <c r="N557" s="7">
        <f t="shared" si="79"/>
        <v>-25</v>
      </c>
    </row>
    <row r="558" spans="1:15" ht="15.75" x14ac:dyDescent="0.25">
      <c r="A558" s="2">
        <f t="shared" si="87"/>
        <v>0</v>
      </c>
      <c r="B558" s="5" t="s">
        <v>117</v>
      </c>
      <c r="C558" s="7"/>
      <c r="D558" s="7"/>
      <c r="E558" s="7"/>
      <c r="F558" s="7"/>
      <c r="G558" s="7"/>
      <c r="H558" s="7"/>
      <c r="I558" s="7"/>
      <c r="J558" s="7">
        <v>90</v>
      </c>
      <c r="K558" s="7"/>
      <c r="L558" s="7">
        <f>SUM(C558:K558)</f>
        <v>90</v>
      </c>
      <c r="M558" s="7">
        <v>90</v>
      </c>
      <c r="N558" s="7">
        <f t="shared" si="79"/>
        <v>0</v>
      </c>
      <c r="O558" t="s">
        <v>341</v>
      </c>
    </row>
    <row r="559" spans="1:15" ht="15.75" hidden="1" x14ac:dyDescent="0.25">
      <c r="A559" s="2">
        <f t="shared" si="87"/>
        <v>0</v>
      </c>
      <c r="B559" s="5" t="s">
        <v>118</v>
      </c>
      <c r="C559" s="7"/>
      <c r="D559" s="7"/>
      <c r="E559" s="7"/>
      <c r="F559" s="7"/>
      <c r="G559" s="7"/>
      <c r="H559" s="7"/>
      <c r="I559" s="7"/>
      <c r="J559" s="7"/>
      <c r="K559" s="7"/>
      <c r="L559" s="7">
        <f t="shared" ref="L559:L563" si="89">SUM(C559:K559)</f>
        <v>0</v>
      </c>
      <c r="M559" s="7"/>
      <c r="N559" s="7">
        <f t="shared" si="79"/>
        <v>0</v>
      </c>
    </row>
    <row r="560" spans="1:15" ht="15.75" hidden="1" x14ac:dyDescent="0.25">
      <c r="A560" s="2">
        <f t="shared" si="87"/>
        <v>0</v>
      </c>
      <c r="B560" s="5" t="s">
        <v>233</v>
      </c>
      <c r="C560" s="7"/>
      <c r="D560" s="7"/>
      <c r="E560" s="7"/>
      <c r="F560" s="7"/>
      <c r="G560" s="7"/>
      <c r="H560" s="7"/>
      <c r="I560" s="7"/>
      <c r="J560" s="7"/>
      <c r="K560" s="7"/>
      <c r="L560" s="7">
        <f t="shared" si="89"/>
        <v>0</v>
      </c>
      <c r="M560" s="7"/>
      <c r="N560" s="7">
        <f t="shared" si="79"/>
        <v>0</v>
      </c>
    </row>
    <row r="561" spans="1:15" ht="15.75" hidden="1" x14ac:dyDescent="0.25">
      <c r="A561" s="2">
        <f t="shared" si="87"/>
        <v>0</v>
      </c>
      <c r="B561" s="5" t="s">
        <v>135</v>
      </c>
      <c r="C561" s="7"/>
      <c r="D561" s="7"/>
      <c r="E561" s="7"/>
      <c r="F561" s="7"/>
      <c r="G561" s="7"/>
      <c r="H561" s="7"/>
      <c r="I561" s="7"/>
      <c r="J561" s="7"/>
      <c r="K561" s="7"/>
      <c r="L561" s="7">
        <f t="shared" si="89"/>
        <v>0</v>
      </c>
      <c r="M561" s="7"/>
      <c r="N561" s="7">
        <f t="shared" si="79"/>
        <v>0</v>
      </c>
    </row>
    <row r="562" spans="1:15" ht="15.75" x14ac:dyDescent="0.25">
      <c r="A562" s="2">
        <f t="shared" ref="A562:A563" si="90">N488</f>
        <v>-238.50000000000006</v>
      </c>
      <c r="B562" s="5" t="s">
        <v>305</v>
      </c>
      <c r="C562" s="7"/>
      <c r="D562" s="7"/>
      <c r="E562" s="7"/>
      <c r="F562" s="7"/>
      <c r="G562" s="7"/>
      <c r="H562" s="7"/>
      <c r="I562" s="7"/>
      <c r="J562" s="7"/>
      <c r="K562" s="7">
        <v>18</v>
      </c>
      <c r="L562" s="7">
        <f t="shared" si="89"/>
        <v>18</v>
      </c>
      <c r="M562" s="7">
        <v>238.5</v>
      </c>
      <c r="N562" s="7">
        <f t="shared" si="79"/>
        <v>-18.000000000000057</v>
      </c>
      <c r="O562" t="s">
        <v>330</v>
      </c>
    </row>
    <row r="563" spans="1:15" ht="15.75" hidden="1" x14ac:dyDescent="0.25">
      <c r="A563" s="2">
        <f t="shared" si="90"/>
        <v>0</v>
      </c>
      <c r="B563" s="5" t="s">
        <v>121</v>
      </c>
      <c r="C563" s="7"/>
      <c r="D563" s="7"/>
      <c r="E563" s="7"/>
      <c r="F563" s="7"/>
      <c r="G563" s="7"/>
      <c r="H563" s="7"/>
      <c r="I563" s="7"/>
      <c r="J563" s="7"/>
      <c r="K563" s="7"/>
      <c r="L563" s="7">
        <f t="shared" si="89"/>
        <v>0</v>
      </c>
      <c r="M563" s="7"/>
      <c r="N563" s="7">
        <f t="shared" si="79"/>
        <v>0</v>
      </c>
    </row>
    <row r="564" spans="1:15" ht="15.75" x14ac:dyDescent="0.25">
      <c r="A564" s="2">
        <f>SUM(A495:A563)</f>
        <v>-3053.7499999999995</v>
      </c>
      <c r="B564" s="6" t="s">
        <v>104</v>
      </c>
      <c r="C564" s="7">
        <f t="shared" ref="C564:I564" si="91">SUM(C495:C562)</f>
        <v>222.7</v>
      </c>
      <c r="D564" s="7">
        <f t="shared" si="91"/>
        <v>113.6</v>
      </c>
      <c r="E564" s="7">
        <f t="shared" si="91"/>
        <v>72</v>
      </c>
      <c r="F564" s="7">
        <f t="shared" si="91"/>
        <v>444.6</v>
      </c>
      <c r="G564" s="7">
        <f t="shared" si="91"/>
        <v>0</v>
      </c>
      <c r="H564" s="7">
        <f t="shared" si="91"/>
        <v>343.87</v>
      </c>
      <c r="I564" s="7">
        <f t="shared" si="91"/>
        <v>114.5</v>
      </c>
      <c r="J564" s="7">
        <f>SUM(J495:J562)</f>
        <v>188.1</v>
      </c>
      <c r="K564" s="7">
        <f>SUM(K495:K563)</f>
        <v>54</v>
      </c>
      <c r="L564" s="7">
        <f>SUM(L495:L563)</f>
        <v>1553.37</v>
      </c>
      <c r="M564" s="15">
        <f>SUM(M495:M563)</f>
        <v>1929</v>
      </c>
      <c r="N564" s="7">
        <f>SUM(N495:N563)</f>
        <v>-2678.12</v>
      </c>
    </row>
    <row r="567" spans="1:15" ht="15.75" x14ac:dyDescent="0.25">
      <c r="A567" s="57" t="s">
        <v>322</v>
      </c>
      <c r="B567" s="57" t="s">
        <v>75</v>
      </c>
      <c r="C567" s="27">
        <v>60</v>
      </c>
      <c r="D567" s="27">
        <v>61</v>
      </c>
      <c r="E567" s="27">
        <v>62</v>
      </c>
      <c r="F567" s="27">
        <v>63</v>
      </c>
      <c r="G567" s="27">
        <v>64</v>
      </c>
      <c r="H567" s="27">
        <v>65</v>
      </c>
      <c r="I567" s="27">
        <v>66</v>
      </c>
      <c r="J567" s="27">
        <v>67</v>
      </c>
      <c r="K567" s="27">
        <v>68</v>
      </c>
      <c r="L567" s="57" t="s">
        <v>68</v>
      </c>
      <c r="M567" s="61" t="s">
        <v>137</v>
      </c>
      <c r="N567" s="57" t="s">
        <v>351</v>
      </c>
    </row>
    <row r="568" spans="1:15" ht="15.75" x14ac:dyDescent="0.25">
      <c r="A568" s="58"/>
      <c r="B568" s="58"/>
      <c r="C568" s="26">
        <v>3</v>
      </c>
      <c r="D568" s="26">
        <v>7</v>
      </c>
      <c r="E568" s="26">
        <v>10</v>
      </c>
      <c r="F568" s="26">
        <v>14</v>
      </c>
      <c r="G568" s="26">
        <v>17</v>
      </c>
      <c r="H568" s="26">
        <v>21</v>
      </c>
      <c r="I568" s="26">
        <v>24</v>
      </c>
      <c r="J568" s="26">
        <v>28</v>
      </c>
      <c r="K568" s="6">
        <v>31</v>
      </c>
      <c r="L568" s="58"/>
      <c r="M568" s="62"/>
      <c r="N568" s="58"/>
    </row>
    <row r="569" spans="1:15" ht="15.75" x14ac:dyDescent="0.25">
      <c r="A569" s="2">
        <f>N495</f>
        <v>0</v>
      </c>
      <c r="B569" s="5" t="s">
        <v>123</v>
      </c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7">
        <f>M569+A569-L569</f>
        <v>0</v>
      </c>
    </row>
    <row r="570" spans="1:15" ht="15.75" hidden="1" x14ac:dyDescent="0.25">
      <c r="A570" s="2">
        <f t="shared" ref="A570:A633" si="92">N496</f>
        <v>0</v>
      </c>
      <c r="B570" s="5" t="s">
        <v>125</v>
      </c>
      <c r="C570" s="6"/>
      <c r="D570" s="7"/>
      <c r="E570" s="6"/>
      <c r="F570" s="7"/>
      <c r="G570" s="6"/>
      <c r="H570" s="6"/>
      <c r="I570" s="7"/>
      <c r="J570" s="6"/>
      <c r="K570" s="7"/>
      <c r="L570" s="7">
        <f>SUM(C570:K570)</f>
        <v>0</v>
      </c>
      <c r="M570" s="7"/>
      <c r="N570" s="7">
        <f t="shared" ref="N570:N637" si="93">M570+A570-L570</f>
        <v>0</v>
      </c>
    </row>
    <row r="571" spans="1:15" ht="15.75" x14ac:dyDescent="0.25">
      <c r="A571" s="2">
        <f t="shared" si="92"/>
        <v>-113</v>
      </c>
      <c r="B571" s="5" t="s">
        <v>194</v>
      </c>
      <c r="C571" s="7"/>
      <c r="D571" s="7"/>
      <c r="E571" s="7"/>
      <c r="F571" s="7"/>
      <c r="G571" s="7">
        <v>18</v>
      </c>
      <c r="H571" s="7"/>
      <c r="I571" s="7">
        <v>25</v>
      </c>
      <c r="J571" s="15"/>
      <c r="K571" s="7"/>
      <c r="L571" s="7">
        <f>SUM(C571:K571)</f>
        <v>43</v>
      </c>
      <c r="M571" s="7">
        <v>113</v>
      </c>
      <c r="N571" s="7">
        <f t="shared" si="93"/>
        <v>-43</v>
      </c>
      <c r="O571" t="s">
        <v>355</v>
      </c>
    </row>
    <row r="572" spans="1:15" ht="15.75" x14ac:dyDescent="0.25">
      <c r="A572" s="2">
        <f t="shared" si="92"/>
        <v>-32</v>
      </c>
      <c r="B572" s="5" t="s">
        <v>2</v>
      </c>
      <c r="C572" s="6"/>
      <c r="D572" s="7"/>
      <c r="E572" s="6"/>
      <c r="F572" s="7"/>
      <c r="G572" s="6"/>
      <c r="H572" s="7"/>
      <c r="I572" s="6"/>
      <c r="J572" s="6"/>
      <c r="K572" s="7"/>
      <c r="L572" s="7">
        <f>SUM(C572:K572)</f>
        <v>0</v>
      </c>
      <c r="M572" s="7"/>
      <c r="N572" s="7">
        <f t="shared" si="93"/>
        <v>-32</v>
      </c>
    </row>
    <row r="573" spans="1:15" ht="15.75" x14ac:dyDescent="0.25">
      <c r="A573" s="2">
        <f t="shared" si="92"/>
        <v>-25.8</v>
      </c>
      <c r="B573" s="5" t="s">
        <v>129</v>
      </c>
      <c r="C573" s="6"/>
      <c r="D573" s="7"/>
      <c r="E573" s="6"/>
      <c r="F573" s="6"/>
      <c r="G573" s="6"/>
      <c r="H573" s="7"/>
      <c r="I573" s="6"/>
      <c r="J573" s="6"/>
      <c r="K573" s="7"/>
      <c r="L573" s="7">
        <f t="shared" ref="L573:L593" si="94">SUM(C573:K573)</f>
        <v>0</v>
      </c>
      <c r="M573" s="7"/>
      <c r="N573" s="7">
        <f t="shared" si="93"/>
        <v>-25.8</v>
      </c>
    </row>
    <row r="574" spans="1:15" ht="15.75" hidden="1" x14ac:dyDescent="0.25">
      <c r="A574" s="2">
        <f t="shared" si="92"/>
        <v>0</v>
      </c>
      <c r="B574" s="5" t="s">
        <v>195</v>
      </c>
      <c r="C574" s="6"/>
      <c r="D574" s="7"/>
      <c r="E574" s="6"/>
      <c r="F574" s="6"/>
      <c r="G574" s="6"/>
      <c r="H574" s="7"/>
      <c r="I574" s="7"/>
      <c r="J574" s="6"/>
      <c r="K574" s="7"/>
      <c r="L574" s="7">
        <f t="shared" si="94"/>
        <v>0</v>
      </c>
      <c r="M574" s="7"/>
      <c r="N574" s="7">
        <f t="shared" si="93"/>
        <v>0</v>
      </c>
    </row>
    <row r="575" spans="1:15" ht="15.75" hidden="1" x14ac:dyDescent="0.25">
      <c r="A575" s="2">
        <f t="shared" si="92"/>
        <v>0</v>
      </c>
      <c r="B575" s="5" t="s">
        <v>128</v>
      </c>
      <c r="C575" s="7"/>
      <c r="D575" s="7"/>
      <c r="E575" s="7"/>
      <c r="F575" s="7"/>
      <c r="G575" s="7"/>
      <c r="H575" s="7"/>
      <c r="I575" s="7"/>
      <c r="J575" s="7"/>
      <c r="K575" s="7"/>
      <c r="L575" s="7">
        <f t="shared" si="94"/>
        <v>0</v>
      </c>
      <c r="M575" s="7"/>
      <c r="N575" s="7">
        <f t="shared" si="93"/>
        <v>0</v>
      </c>
    </row>
    <row r="576" spans="1:15" ht="15.75" x14ac:dyDescent="0.25">
      <c r="A576" s="2">
        <f t="shared" si="92"/>
        <v>-310.2</v>
      </c>
      <c r="B576" s="5" t="s">
        <v>127</v>
      </c>
      <c r="C576" s="6"/>
      <c r="D576" s="7"/>
      <c r="E576" s="7"/>
      <c r="F576" s="6"/>
      <c r="G576" s="6"/>
      <c r="H576" s="7"/>
      <c r="I576" s="6"/>
      <c r="J576" s="7"/>
      <c r="K576" s="7"/>
      <c r="L576" s="7">
        <f t="shared" si="94"/>
        <v>0</v>
      </c>
      <c r="M576" s="7"/>
      <c r="N576" s="7">
        <f t="shared" si="93"/>
        <v>-310.2</v>
      </c>
    </row>
    <row r="577" spans="1:18" ht="15.75" x14ac:dyDescent="0.25">
      <c r="A577" s="2">
        <f t="shared" si="92"/>
        <v>0</v>
      </c>
      <c r="B577" s="5" t="s">
        <v>126</v>
      </c>
      <c r="C577" s="6"/>
      <c r="D577" s="7"/>
      <c r="E577" s="6"/>
      <c r="F577" s="6"/>
      <c r="G577" s="6"/>
      <c r="H577" s="7"/>
      <c r="I577" s="6"/>
      <c r="J577" s="6"/>
      <c r="K577" s="7"/>
      <c r="L577" s="7">
        <f t="shared" si="94"/>
        <v>0</v>
      </c>
      <c r="M577" s="7"/>
      <c r="N577" s="7">
        <f t="shared" si="93"/>
        <v>0</v>
      </c>
    </row>
    <row r="578" spans="1:18" ht="15.75" x14ac:dyDescent="0.25">
      <c r="A578" s="2">
        <f t="shared" si="92"/>
        <v>-503.20000000000005</v>
      </c>
      <c r="B578" s="5" t="s">
        <v>130</v>
      </c>
      <c r="C578" s="7"/>
      <c r="D578" s="7"/>
      <c r="E578" s="7"/>
      <c r="F578" s="7"/>
      <c r="G578" s="7"/>
      <c r="H578" s="7"/>
      <c r="I578" s="6"/>
      <c r="J578" s="7"/>
      <c r="K578" s="7"/>
      <c r="L578" s="7">
        <f t="shared" si="94"/>
        <v>0</v>
      </c>
      <c r="M578" s="7"/>
      <c r="N578" s="7">
        <f t="shared" si="93"/>
        <v>-503.20000000000005</v>
      </c>
    </row>
    <row r="579" spans="1:18" ht="15.75" x14ac:dyDescent="0.25">
      <c r="A579" s="2">
        <f t="shared" si="92"/>
        <v>-93.63</v>
      </c>
      <c r="B579" s="5" t="s">
        <v>131</v>
      </c>
      <c r="C579" s="7"/>
      <c r="D579" s="7"/>
      <c r="E579" s="7"/>
      <c r="F579" s="7"/>
      <c r="G579" s="7">
        <v>27.5</v>
      </c>
      <c r="H579" s="7"/>
      <c r="I579" s="7"/>
      <c r="J579" s="6"/>
      <c r="K579" s="7">
        <v>18</v>
      </c>
      <c r="L579" s="7">
        <f t="shared" si="94"/>
        <v>45.5</v>
      </c>
      <c r="M579" s="7">
        <v>50</v>
      </c>
      <c r="N579" s="7">
        <f t="shared" si="93"/>
        <v>-89.13</v>
      </c>
      <c r="O579" t="s">
        <v>364</v>
      </c>
    </row>
    <row r="580" spans="1:18" ht="15.75" x14ac:dyDescent="0.25">
      <c r="A580" s="2">
        <f t="shared" si="92"/>
        <v>-25</v>
      </c>
      <c r="B580" s="5" t="s">
        <v>132</v>
      </c>
      <c r="C580" s="7"/>
      <c r="D580" s="7"/>
      <c r="E580" s="7"/>
      <c r="F580" s="7"/>
      <c r="G580" s="7"/>
      <c r="H580" s="7"/>
      <c r="I580" s="7"/>
      <c r="J580" s="7"/>
      <c r="K580" s="7"/>
      <c r="L580" s="7">
        <f t="shared" si="94"/>
        <v>0</v>
      </c>
      <c r="M580" s="7"/>
      <c r="N580" s="7">
        <f t="shared" si="93"/>
        <v>-25</v>
      </c>
    </row>
    <row r="581" spans="1:18" ht="15.75" hidden="1" x14ac:dyDescent="0.25">
      <c r="A581" s="2">
        <f t="shared" si="92"/>
        <v>0</v>
      </c>
      <c r="B581" s="5" t="s">
        <v>9</v>
      </c>
      <c r="C581" s="6"/>
      <c r="D581" s="7"/>
      <c r="E581" s="7"/>
      <c r="F581" s="7"/>
      <c r="G581" s="7"/>
      <c r="H581" s="6"/>
      <c r="I581" s="7"/>
      <c r="J581" s="6"/>
      <c r="K581" s="7"/>
      <c r="L581" s="7">
        <f t="shared" si="94"/>
        <v>0</v>
      </c>
      <c r="M581" s="7"/>
      <c r="N581" s="7">
        <f t="shared" si="93"/>
        <v>0</v>
      </c>
    </row>
    <row r="582" spans="1:18" ht="15.75" x14ac:dyDescent="0.25">
      <c r="A582" s="2">
        <f t="shared" si="92"/>
        <v>-50</v>
      </c>
      <c r="B582" s="5" t="s">
        <v>133</v>
      </c>
      <c r="C582" s="7"/>
      <c r="D582" s="7"/>
      <c r="E582" s="7"/>
      <c r="F582" s="7"/>
      <c r="G582" s="7"/>
      <c r="H582" s="7"/>
      <c r="I582" s="7"/>
      <c r="J582" s="7"/>
      <c r="K582" s="7"/>
      <c r="L582" s="7">
        <f t="shared" si="94"/>
        <v>0</v>
      </c>
      <c r="M582" s="8"/>
      <c r="N582" s="7">
        <f t="shared" si="93"/>
        <v>-50</v>
      </c>
    </row>
    <row r="583" spans="1:18" ht="15.75" x14ac:dyDescent="0.25">
      <c r="A583" s="2">
        <f t="shared" si="92"/>
        <v>0</v>
      </c>
      <c r="B583" s="5" t="s">
        <v>96</v>
      </c>
      <c r="C583" s="7"/>
      <c r="D583" s="7"/>
      <c r="E583" s="7">
        <v>20</v>
      </c>
      <c r="F583" s="7"/>
      <c r="G583" s="7"/>
      <c r="H583" s="7"/>
      <c r="I583" s="7"/>
      <c r="J583" s="7"/>
      <c r="K583" s="7"/>
      <c r="L583" s="7">
        <f t="shared" si="94"/>
        <v>20</v>
      </c>
      <c r="M583" s="7"/>
      <c r="N583" s="7">
        <f t="shared" si="93"/>
        <v>-20</v>
      </c>
    </row>
    <row r="584" spans="1:18" ht="15.75" hidden="1" x14ac:dyDescent="0.25">
      <c r="A584" s="2">
        <f t="shared" si="92"/>
        <v>0</v>
      </c>
      <c r="B584" s="5" t="s">
        <v>134</v>
      </c>
      <c r="C584" s="7"/>
      <c r="D584" s="7"/>
      <c r="E584" s="6"/>
      <c r="F584" s="6"/>
      <c r="G584" s="6"/>
      <c r="H584" s="7"/>
      <c r="I584" s="7"/>
      <c r="J584" s="7"/>
      <c r="K584" s="7"/>
      <c r="L584" s="7">
        <f t="shared" si="94"/>
        <v>0</v>
      </c>
      <c r="M584" s="7"/>
      <c r="N584" s="7">
        <f t="shared" si="93"/>
        <v>0</v>
      </c>
    </row>
    <row r="585" spans="1:18" ht="15.75" x14ac:dyDescent="0.25">
      <c r="A585" s="2">
        <f t="shared" si="92"/>
        <v>26.100000000000009</v>
      </c>
      <c r="B585" s="5" t="s">
        <v>99</v>
      </c>
      <c r="C585" s="7"/>
      <c r="D585" s="7"/>
      <c r="E585" s="6"/>
      <c r="F585" s="7"/>
      <c r="G585" s="6"/>
      <c r="H585" s="7">
        <v>18.899999999999999</v>
      </c>
      <c r="I585" s="6"/>
      <c r="J585" s="6"/>
      <c r="K585" s="7"/>
      <c r="L585" s="7">
        <f t="shared" si="94"/>
        <v>18.899999999999999</v>
      </c>
      <c r="M585" s="7">
        <v>18.899999999999999</v>
      </c>
      <c r="N585" s="7">
        <f t="shared" si="93"/>
        <v>26.100000000000009</v>
      </c>
      <c r="O585" t="s">
        <v>354</v>
      </c>
    </row>
    <row r="586" spans="1:18" ht="15.75" hidden="1" x14ac:dyDescent="0.25">
      <c r="A586" s="2">
        <f t="shared" si="92"/>
        <v>0</v>
      </c>
      <c r="B586" s="5" t="s">
        <v>323</v>
      </c>
      <c r="C586" s="7"/>
      <c r="D586" s="7"/>
      <c r="E586" s="6"/>
      <c r="F586" s="6"/>
      <c r="G586" s="6"/>
      <c r="H586" s="6"/>
      <c r="I586" s="6"/>
      <c r="J586" s="6"/>
      <c r="K586" s="7"/>
      <c r="L586" s="7">
        <f t="shared" si="94"/>
        <v>0</v>
      </c>
      <c r="M586" s="7"/>
      <c r="N586" s="7">
        <f t="shared" si="93"/>
        <v>0</v>
      </c>
    </row>
    <row r="587" spans="1:18" ht="15.75" hidden="1" x14ac:dyDescent="0.25">
      <c r="A587" s="2">
        <f t="shared" si="92"/>
        <v>0</v>
      </c>
      <c r="B587" s="5" t="s">
        <v>21</v>
      </c>
      <c r="C587" s="7"/>
      <c r="D587" s="7"/>
      <c r="E587" s="7"/>
      <c r="F587" s="7"/>
      <c r="G587" s="7"/>
      <c r="H587" s="7"/>
      <c r="I587" s="7"/>
      <c r="J587" s="7"/>
      <c r="K587" s="7"/>
      <c r="L587" s="7">
        <f t="shared" si="94"/>
        <v>0</v>
      </c>
      <c r="M587" s="7"/>
      <c r="N587" s="7">
        <f t="shared" si="93"/>
        <v>0</v>
      </c>
    </row>
    <row r="588" spans="1:18" ht="15.75" hidden="1" x14ac:dyDescent="0.25">
      <c r="A588" s="2">
        <f t="shared" si="92"/>
        <v>0</v>
      </c>
      <c r="B588" s="5" t="s">
        <v>47</v>
      </c>
      <c r="C588" s="7"/>
      <c r="D588" s="7"/>
      <c r="E588" s="7"/>
      <c r="F588" s="7"/>
      <c r="G588" s="7"/>
      <c r="H588" s="7"/>
      <c r="I588" s="7"/>
      <c r="J588" s="7"/>
      <c r="K588" s="7"/>
      <c r="L588" s="7">
        <f t="shared" si="94"/>
        <v>0</v>
      </c>
      <c r="M588" s="7"/>
      <c r="N588" s="7">
        <f t="shared" si="93"/>
        <v>0</v>
      </c>
    </row>
    <row r="589" spans="1:18" ht="15.75" x14ac:dyDescent="0.25">
      <c r="A589" s="2">
        <f t="shared" si="92"/>
        <v>-525.99</v>
      </c>
      <c r="B589" s="5" t="s">
        <v>53</v>
      </c>
      <c r="C589" s="7"/>
      <c r="D589" s="7"/>
      <c r="E589" s="7"/>
      <c r="F589" s="7"/>
      <c r="G589" s="7"/>
      <c r="H589" s="7"/>
      <c r="I589" s="7"/>
      <c r="J589" s="7">
        <v>25</v>
      </c>
      <c r="K589" s="7"/>
      <c r="L589" s="7">
        <f t="shared" si="94"/>
        <v>25</v>
      </c>
      <c r="M589" s="7"/>
      <c r="N589" s="7">
        <f t="shared" si="93"/>
        <v>-550.99</v>
      </c>
    </row>
    <row r="590" spans="1:18" ht="15.75" x14ac:dyDescent="0.25">
      <c r="A590" s="2">
        <f t="shared" si="92"/>
        <v>0</v>
      </c>
      <c r="B590" s="5" t="s">
        <v>33</v>
      </c>
      <c r="C590" s="7">
        <v>108</v>
      </c>
      <c r="D590" s="7"/>
      <c r="E590" s="7">
        <v>13.5</v>
      </c>
      <c r="F590" s="7">
        <v>27</v>
      </c>
      <c r="G590" s="7"/>
      <c r="H590" s="7">
        <v>25</v>
      </c>
      <c r="I590" s="7"/>
      <c r="J590" s="7"/>
      <c r="K590" s="7"/>
      <c r="L590" s="7">
        <f t="shared" si="94"/>
        <v>173.5</v>
      </c>
      <c r="M590" s="7">
        <f>108+13.5+27+25</f>
        <v>173.5</v>
      </c>
      <c r="N590" s="7">
        <f t="shared" si="93"/>
        <v>0</v>
      </c>
      <c r="O590" s="29">
        <v>43684</v>
      </c>
      <c r="P590" t="s">
        <v>363</v>
      </c>
      <c r="Q590" t="s">
        <v>367</v>
      </c>
      <c r="R590" t="s">
        <v>374</v>
      </c>
    </row>
    <row r="591" spans="1:18" ht="15.75" x14ac:dyDescent="0.25">
      <c r="A591" s="2">
        <f t="shared" si="92"/>
        <v>0</v>
      </c>
      <c r="B591" s="5" t="s">
        <v>87</v>
      </c>
      <c r="C591" s="7">
        <v>25</v>
      </c>
      <c r="D591" s="7"/>
      <c r="E591" s="7"/>
      <c r="F591" s="7"/>
      <c r="G591" s="7"/>
      <c r="H591" s="7"/>
      <c r="I591" s="7"/>
      <c r="J591" s="7"/>
      <c r="K591" s="7"/>
      <c r="L591" s="7">
        <f t="shared" si="94"/>
        <v>25</v>
      </c>
      <c r="M591" s="7"/>
      <c r="N591" s="7">
        <f t="shared" si="93"/>
        <v>-25</v>
      </c>
    </row>
    <row r="592" spans="1:18" ht="15.75" x14ac:dyDescent="0.25">
      <c r="A592" s="2">
        <f t="shared" si="92"/>
        <v>-36</v>
      </c>
      <c r="B592" s="5" t="s">
        <v>23</v>
      </c>
      <c r="C592" s="7"/>
      <c r="D592" s="7"/>
      <c r="E592" s="7"/>
      <c r="F592" s="7">
        <v>27</v>
      </c>
      <c r="G592" s="7">
        <v>22.5</v>
      </c>
      <c r="H592" s="7"/>
      <c r="I592" s="7"/>
      <c r="J592" s="7"/>
      <c r="K592" s="7"/>
      <c r="L592" s="7">
        <f t="shared" si="94"/>
        <v>49.5</v>
      </c>
      <c r="M592" s="7">
        <f>36+49.5</f>
        <v>85.5</v>
      </c>
      <c r="N592" s="7">
        <f t="shared" si="93"/>
        <v>0</v>
      </c>
      <c r="O592" t="s">
        <v>359</v>
      </c>
      <c r="P592" t="s">
        <v>371</v>
      </c>
    </row>
    <row r="593" spans="1:15" ht="15.75" x14ac:dyDescent="0.25">
      <c r="A593" s="2">
        <f t="shared" si="92"/>
        <v>-25</v>
      </c>
      <c r="B593" s="5" t="s">
        <v>24</v>
      </c>
      <c r="C593" s="7"/>
      <c r="D593" s="7">
        <v>25</v>
      </c>
      <c r="E593" s="7"/>
      <c r="F593" s="7"/>
      <c r="G593" s="7"/>
      <c r="H593" s="7"/>
      <c r="I593" s="7"/>
      <c r="J593" s="7"/>
      <c r="K593" s="7"/>
      <c r="L593" s="7">
        <f t="shared" si="94"/>
        <v>25</v>
      </c>
      <c r="M593" s="7"/>
      <c r="N593" s="7">
        <f t="shared" si="93"/>
        <v>-50</v>
      </c>
    </row>
    <row r="594" spans="1:15" ht="15.75" hidden="1" x14ac:dyDescent="0.25">
      <c r="A594" s="2">
        <f t="shared" si="92"/>
        <v>0</v>
      </c>
      <c r="B594" s="5" t="s">
        <v>51</v>
      </c>
      <c r="C594" s="7"/>
      <c r="D594" s="7"/>
      <c r="E594" s="7"/>
      <c r="F594" s="7"/>
      <c r="G594" s="7"/>
      <c r="H594" s="7"/>
      <c r="I594" s="7"/>
      <c r="J594" s="7"/>
      <c r="K594" s="7"/>
      <c r="L594" s="7">
        <f>SUM(C594:K594)</f>
        <v>0</v>
      </c>
      <c r="M594" s="7"/>
      <c r="N594" s="7">
        <f t="shared" si="93"/>
        <v>0</v>
      </c>
    </row>
    <row r="595" spans="1:15" ht="15.75" hidden="1" x14ac:dyDescent="0.25">
      <c r="A595" s="2">
        <f t="shared" si="92"/>
        <v>0</v>
      </c>
      <c r="B595" s="5" t="s">
        <v>25</v>
      </c>
      <c r="C595" s="7"/>
      <c r="D595" s="7"/>
      <c r="E595" s="7"/>
      <c r="F595" s="7"/>
      <c r="G595" s="7"/>
      <c r="H595" s="7"/>
      <c r="I595" s="7"/>
      <c r="J595" s="7"/>
      <c r="K595" s="7"/>
      <c r="L595" s="7">
        <f>SUM(C595:K595)</f>
        <v>0</v>
      </c>
      <c r="M595" s="7"/>
      <c r="N595" s="7">
        <f t="shared" si="93"/>
        <v>0</v>
      </c>
    </row>
    <row r="596" spans="1:15" ht="15.75" x14ac:dyDescent="0.25">
      <c r="A596" s="2">
        <f t="shared" si="92"/>
        <v>-48.500000000000007</v>
      </c>
      <c r="B596" s="5" t="s">
        <v>27</v>
      </c>
      <c r="C596" s="7"/>
      <c r="D596" s="7"/>
      <c r="E596" s="7"/>
      <c r="F596" s="7"/>
      <c r="G596" s="7">
        <v>18</v>
      </c>
      <c r="H596" s="7"/>
      <c r="I596" s="7"/>
      <c r="J596" s="7"/>
      <c r="K596" s="7">
        <v>54</v>
      </c>
      <c r="L596" s="7">
        <f>SUM(C596:K596)</f>
        <v>72</v>
      </c>
      <c r="M596" s="7">
        <v>21.6</v>
      </c>
      <c r="N596" s="7">
        <f t="shared" si="93"/>
        <v>-98.9</v>
      </c>
      <c r="O596" t="s">
        <v>358</v>
      </c>
    </row>
    <row r="597" spans="1:15" ht="15.75" x14ac:dyDescent="0.25">
      <c r="A597" s="2">
        <f t="shared" si="92"/>
        <v>-57</v>
      </c>
      <c r="B597" s="5" t="s">
        <v>29</v>
      </c>
      <c r="C597" s="7">
        <v>22.5</v>
      </c>
      <c r="D597" s="7"/>
      <c r="E597" s="7"/>
      <c r="F597" s="7"/>
      <c r="G597" s="7"/>
      <c r="H597" s="7"/>
      <c r="I597" s="7"/>
      <c r="J597" s="7"/>
      <c r="K597" s="7"/>
      <c r="L597" s="7">
        <f t="shared" ref="L597:L598" si="95">SUM(C597:K597)</f>
        <v>22.5</v>
      </c>
      <c r="M597" s="7"/>
      <c r="N597" s="7">
        <f t="shared" si="93"/>
        <v>-79.5</v>
      </c>
    </row>
    <row r="598" spans="1:15" ht="15.75" x14ac:dyDescent="0.25">
      <c r="A598" s="2">
        <f t="shared" si="92"/>
        <v>-64.200000000000045</v>
      </c>
      <c r="B598" s="5" t="s">
        <v>30</v>
      </c>
      <c r="C598" s="7"/>
      <c r="D598" s="7"/>
      <c r="E598" s="7"/>
      <c r="F598" s="7"/>
      <c r="G598" s="7"/>
      <c r="H598" s="7"/>
      <c r="I598" s="7"/>
      <c r="J598" s="7"/>
      <c r="K598" s="7"/>
      <c r="L598" s="7">
        <f t="shared" si="95"/>
        <v>0</v>
      </c>
      <c r="M598" s="7"/>
      <c r="N598" s="7">
        <f t="shared" si="93"/>
        <v>-64.200000000000045</v>
      </c>
    </row>
    <row r="599" spans="1:15" ht="15.75" hidden="1" x14ac:dyDescent="0.25">
      <c r="A599" s="2">
        <f t="shared" si="92"/>
        <v>0</v>
      </c>
      <c r="B599" s="5" t="s">
        <v>56</v>
      </c>
      <c r="C599" s="7"/>
      <c r="D599" s="7"/>
      <c r="E599" s="7"/>
      <c r="F599" s="7"/>
      <c r="G599" s="7"/>
      <c r="H599" s="7"/>
      <c r="I599" s="7"/>
      <c r="J599" s="7"/>
      <c r="K599" s="7"/>
      <c r="L599" s="7">
        <f>SUM(C599:K599)</f>
        <v>0</v>
      </c>
      <c r="M599" s="7"/>
      <c r="N599" s="7">
        <f t="shared" si="93"/>
        <v>0</v>
      </c>
    </row>
    <row r="600" spans="1:15" ht="15.75" x14ac:dyDescent="0.25">
      <c r="A600" s="2">
        <f t="shared" si="92"/>
        <v>0</v>
      </c>
      <c r="B600" s="5" t="s">
        <v>356</v>
      </c>
      <c r="C600" s="7"/>
      <c r="D600" s="7"/>
      <c r="E600" s="7"/>
      <c r="F600" s="7"/>
      <c r="G600" s="7"/>
      <c r="H600" s="7"/>
      <c r="I600" s="7">
        <v>33.659999999999997</v>
      </c>
      <c r="J600" s="7"/>
      <c r="K600" s="7"/>
      <c r="L600" s="7">
        <f>SUM(C600:K600)</f>
        <v>33.659999999999997</v>
      </c>
      <c r="M600" s="7">
        <v>33.659999999999997</v>
      </c>
      <c r="N600" s="7">
        <f t="shared" si="93"/>
        <v>0</v>
      </c>
      <c r="O600" t="s">
        <v>373</v>
      </c>
    </row>
    <row r="601" spans="1:15" ht="15.75" hidden="1" x14ac:dyDescent="0.25">
      <c r="A601" s="2">
        <f t="shared" si="92"/>
        <v>0</v>
      </c>
      <c r="B601" s="5" t="s">
        <v>101</v>
      </c>
      <c r="C601" s="7"/>
      <c r="D601" s="7"/>
      <c r="E601" s="7"/>
      <c r="F601" s="7"/>
      <c r="G601" s="7"/>
      <c r="H601" s="7"/>
      <c r="I601" s="7"/>
      <c r="J601" s="7"/>
      <c r="K601" s="7"/>
      <c r="L601" s="7">
        <f t="shared" ref="L601:L619" si="96">SUM(C601:K601)</f>
        <v>0</v>
      </c>
      <c r="M601" s="7"/>
      <c r="N601" s="7">
        <f t="shared" si="93"/>
        <v>0</v>
      </c>
    </row>
    <row r="602" spans="1:15" ht="15.75" x14ac:dyDescent="0.25">
      <c r="A602" s="2">
        <f t="shared" si="92"/>
        <v>-9.8000000000000007</v>
      </c>
      <c r="B602" s="5" t="s">
        <v>41</v>
      </c>
      <c r="C602" s="6"/>
      <c r="D602" s="6"/>
      <c r="E602" s="7"/>
      <c r="F602" s="7"/>
      <c r="G602" s="7"/>
      <c r="H602" s="7"/>
      <c r="I602" s="7"/>
      <c r="J602" s="7"/>
      <c r="K602" s="7"/>
      <c r="L602" s="7">
        <f t="shared" si="96"/>
        <v>0</v>
      </c>
      <c r="M602" s="7"/>
      <c r="N602" s="7">
        <f t="shared" si="93"/>
        <v>-9.8000000000000007</v>
      </c>
    </row>
    <row r="603" spans="1:15" ht="15.75" hidden="1" x14ac:dyDescent="0.25">
      <c r="A603" s="2">
        <f t="shared" si="92"/>
        <v>0</v>
      </c>
      <c r="B603" s="5" t="s">
        <v>102</v>
      </c>
      <c r="C603" s="6"/>
      <c r="D603" s="7"/>
      <c r="E603" s="7"/>
      <c r="F603" s="7"/>
      <c r="G603" s="7"/>
      <c r="H603" s="7"/>
      <c r="I603" s="7"/>
      <c r="J603" s="7"/>
      <c r="K603" s="7"/>
      <c r="L603" s="7">
        <f t="shared" si="96"/>
        <v>0</v>
      </c>
      <c r="M603" s="7"/>
      <c r="N603" s="7">
        <f t="shared" si="93"/>
        <v>0</v>
      </c>
    </row>
    <row r="604" spans="1:15" ht="15.75" x14ac:dyDescent="0.25">
      <c r="A604" s="2">
        <f t="shared" si="92"/>
        <v>-67.5</v>
      </c>
      <c r="B604" s="5" t="s">
        <v>45</v>
      </c>
      <c r="C604" s="7"/>
      <c r="D604" s="7">
        <v>25</v>
      </c>
      <c r="E604" s="7">
        <v>20</v>
      </c>
      <c r="F604" s="7"/>
      <c r="G604" s="7"/>
      <c r="H604" s="7"/>
      <c r="I604" s="7"/>
      <c r="J604" s="7"/>
      <c r="K604" s="7"/>
      <c r="L604" s="7">
        <f t="shared" si="96"/>
        <v>45</v>
      </c>
      <c r="M604" s="7"/>
      <c r="N604" s="7">
        <f t="shared" si="93"/>
        <v>-112.5</v>
      </c>
    </row>
    <row r="605" spans="1:15" ht="15.75" x14ac:dyDescent="0.25">
      <c r="A605" s="2">
        <f t="shared" si="92"/>
        <v>24.299999999999997</v>
      </c>
      <c r="B605" s="5" t="s">
        <v>46</v>
      </c>
      <c r="C605" s="7"/>
      <c r="D605" s="7"/>
      <c r="E605" s="10"/>
      <c r="F605" s="7"/>
      <c r="G605" s="7"/>
      <c r="H605" s="7"/>
      <c r="I605" s="7"/>
      <c r="J605" s="7">
        <v>25</v>
      </c>
      <c r="K605" s="7"/>
      <c r="L605" s="7">
        <f t="shared" si="96"/>
        <v>25</v>
      </c>
      <c r="M605" s="7"/>
      <c r="N605" s="7">
        <f t="shared" si="93"/>
        <v>-0.70000000000000284</v>
      </c>
    </row>
    <row r="606" spans="1:15" ht="15.75" x14ac:dyDescent="0.25">
      <c r="A606" s="2">
        <f t="shared" si="92"/>
        <v>-59</v>
      </c>
      <c r="B606" s="5" t="s">
        <v>79</v>
      </c>
      <c r="C606" s="7"/>
      <c r="D606" s="6"/>
      <c r="E606" s="10"/>
      <c r="F606" s="7"/>
      <c r="G606" s="7"/>
      <c r="H606" s="7"/>
      <c r="I606" s="7"/>
      <c r="J606" s="7"/>
      <c r="K606" s="7"/>
      <c r="L606" s="7">
        <f t="shared" si="96"/>
        <v>0</v>
      </c>
      <c r="M606" s="7">
        <v>59</v>
      </c>
      <c r="N606" s="7">
        <f t="shared" si="93"/>
        <v>0</v>
      </c>
      <c r="O606" t="s">
        <v>362</v>
      </c>
    </row>
    <row r="607" spans="1:15" ht="15.75" hidden="1" x14ac:dyDescent="0.25">
      <c r="A607" s="2">
        <f t="shared" si="92"/>
        <v>0</v>
      </c>
      <c r="B607" s="5" t="s">
        <v>261</v>
      </c>
      <c r="C607" s="7"/>
      <c r="D607" s="6"/>
      <c r="E607" s="10"/>
      <c r="F607" s="7"/>
      <c r="G607" s="7"/>
      <c r="H607" s="7"/>
      <c r="I607" s="7"/>
      <c r="J607" s="7"/>
      <c r="K607" s="7"/>
      <c r="L607" s="7">
        <f t="shared" si="96"/>
        <v>0</v>
      </c>
      <c r="M607" s="7"/>
      <c r="N607" s="7">
        <f t="shared" si="93"/>
        <v>0</v>
      </c>
    </row>
    <row r="608" spans="1:15" ht="15.75" x14ac:dyDescent="0.25">
      <c r="A608" s="2">
        <f t="shared" si="92"/>
        <v>-628.69999999999982</v>
      </c>
      <c r="B608" s="5" t="s">
        <v>103</v>
      </c>
      <c r="C608" s="6"/>
      <c r="D608" s="6"/>
      <c r="E608" s="7">
        <v>124.2</v>
      </c>
      <c r="F608" s="7"/>
      <c r="G608" s="7"/>
      <c r="H608" s="7"/>
      <c r="I608" s="7">
        <v>315.89999999999998</v>
      </c>
      <c r="J608" s="7"/>
      <c r="K608" s="7"/>
      <c r="L608" s="7">
        <f t="shared" si="96"/>
        <v>440.09999999999997</v>
      </c>
      <c r="M608" s="7"/>
      <c r="N608" s="7">
        <f t="shared" si="93"/>
        <v>-1068.7999999999997</v>
      </c>
    </row>
    <row r="609" spans="1:16" ht="15.75" hidden="1" x14ac:dyDescent="0.25">
      <c r="A609" s="2">
        <f t="shared" si="92"/>
        <v>0</v>
      </c>
      <c r="B609" s="5" t="s">
        <v>211</v>
      </c>
      <c r="C609" s="6"/>
      <c r="D609" s="7"/>
      <c r="E609" s="6"/>
      <c r="F609" s="7"/>
      <c r="G609" s="7"/>
      <c r="H609" s="7"/>
      <c r="I609" s="7"/>
      <c r="J609" s="7"/>
      <c r="K609" s="7"/>
      <c r="L609" s="7">
        <f t="shared" si="96"/>
        <v>0</v>
      </c>
      <c r="M609" s="7"/>
      <c r="N609" s="7">
        <f t="shared" si="93"/>
        <v>0</v>
      </c>
    </row>
    <row r="610" spans="1:16" ht="15.75" hidden="1" x14ac:dyDescent="0.25">
      <c r="A610" s="2">
        <f t="shared" si="92"/>
        <v>0</v>
      </c>
      <c r="B610" s="5" t="s">
        <v>139</v>
      </c>
      <c r="C610" s="7"/>
      <c r="D610" s="7"/>
      <c r="E610" s="6"/>
      <c r="F610" s="7"/>
      <c r="G610" s="7"/>
      <c r="H610" s="7"/>
      <c r="I610" s="7"/>
      <c r="J610" s="7"/>
      <c r="K610" s="7"/>
      <c r="L610" s="7">
        <f t="shared" si="96"/>
        <v>0</v>
      </c>
      <c r="M610" s="7"/>
      <c r="N610" s="7">
        <f t="shared" si="93"/>
        <v>0</v>
      </c>
    </row>
    <row r="611" spans="1:16" ht="15.75" hidden="1" x14ac:dyDescent="0.25">
      <c r="A611" s="2">
        <f t="shared" si="92"/>
        <v>0</v>
      </c>
      <c r="B611" s="5" t="s">
        <v>191</v>
      </c>
      <c r="C611" s="7"/>
      <c r="D611" s="6"/>
      <c r="E611" s="7"/>
      <c r="F611" s="7"/>
      <c r="G611" s="7"/>
      <c r="H611" s="7"/>
      <c r="I611" s="7"/>
      <c r="J611" s="7"/>
      <c r="K611" s="7"/>
      <c r="L611" s="7">
        <f t="shared" si="96"/>
        <v>0</v>
      </c>
      <c r="M611" s="7"/>
      <c r="N611" s="7">
        <f t="shared" si="93"/>
        <v>0</v>
      </c>
    </row>
    <row r="612" spans="1:16" ht="15.75" hidden="1" x14ac:dyDescent="0.25">
      <c r="A612" s="2">
        <f t="shared" si="92"/>
        <v>0</v>
      </c>
      <c r="B612" s="5" t="s">
        <v>91</v>
      </c>
      <c r="C612" s="7"/>
      <c r="D612" s="7"/>
      <c r="E612" s="7"/>
      <c r="F612" s="7"/>
      <c r="G612" s="7"/>
      <c r="H612" s="7"/>
      <c r="I612" s="7"/>
      <c r="J612" s="7"/>
      <c r="K612" s="7"/>
      <c r="L612" s="7">
        <f t="shared" si="96"/>
        <v>0</v>
      </c>
      <c r="M612" s="7"/>
      <c r="N612" s="7">
        <f t="shared" si="93"/>
        <v>0</v>
      </c>
    </row>
    <row r="613" spans="1:16" ht="15.75" x14ac:dyDescent="0.25">
      <c r="A613" s="2">
        <f t="shared" si="92"/>
        <v>0</v>
      </c>
      <c r="B613" s="5" t="s">
        <v>31</v>
      </c>
      <c r="C613" s="7">
        <v>18</v>
      </c>
      <c r="D613" s="7"/>
      <c r="E613" s="7">
        <v>43</v>
      </c>
      <c r="F613" s="7">
        <v>20</v>
      </c>
      <c r="G613" s="7">
        <v>38</v>
      </c>
      <c r="H613" s="7"/>
      <c r="I613" s="7">
        <v>22.5</v>
      </c>
      <c r="J613" s="7">
        <v>27.5</v>
      </c>
      <c r="K613" s="7">
        <v>27.5</v>
      </c>
      <c r="L613" s="7">
        <f t="shared" si="96"/>
        <v>196.5</v>
      </c>
      <c r="M613" s="7">
        <f>61+20</f>
        <v>81</v>
      </c>
      <c r="N613" s="7">
        <f t="shared" si="93"/>
        <v>-115.5</v>
      </c>
      <c r="O613" t="s">
        <v>365</v>
      </c>
      <c r="P613" t="s">
        <v>369</v>
      </c>
    </row>
    <row r="614" spans="1:16" ht="15.75" hidden="1" x14ac:dyDescent="0.25">
      <c r="A614" s="2">
        <f t="shared" si="92"/>
        <v>0</v>
      </c>
      <c r="B614" s="5" t="s">
        <v>37</v>
      </c>
      <c r="C614" s="7"/>
      <c r="D614" s="7"/>
      <c r="E614" s="7"/>
      <c r="F614" s="7"/>
      <c r="G614" s="7"/>
      <c r="H614" s="7"/>
      <c r="I614" s="7"/>
      <c r="J614" s="7"/>
      <c r="K614" s="7"/>
      <c r="L614" s="7">
        <f t="shared" si="96"/>
        <v>0</v>
      </c>
      <c r="M614" s="7"/>
      <c r="N614" s="7">
        <f t="shared" si="93"/>
        <v>0</v>
      </c>
    </row>
    <row r="615" spans="1:16" ht="15.75" x14ac:dyDescent="0.25">
      <c r="A615" s="2">
        <f t="shared" si="92"/>
        <v>0</v>
      </c>
      <c r="B615" s="5" t="s">
        <v>105</v>
      </c>
      <c r="C615" s="7"/>
      <c r="D615" s="7"/>
      <c r="E615" s="7"/>
      <c r="F615" s="7"/>
      <c r="G615" s="7"/>
      <c r="H615" s="7"/>
      <c r="I615" s="7"/>
      <c r="J615" s="7"/>
      <c r="K615" s="7">
        <v>20</v>
      </c>
      <c r="L615" s="7">
        <f t="shared" si="96"/>
        <v>20</v>
      </c>
      <c r="M615" s="7"/>
      <c r="N615" s="7">
        <f t="shared" si="93"/>
        <v>-20</v>
      </c>
    </row>
    <row r="616" spans="1:16" ht="15.75" hidden="1" x14ac:dyDescent="0.25">
      <c r="A616" s="2">
        <f t="shared" si="92"/>
        <v>0</v>
      </c>
      <c r="B616" s="5" t="s">
        <v>54</v>
      </c>
      <c r="C616" s="7"/>
      <c r="D616" s="7"/>
      <c r="E616" s="7"/>
      <c r="F616" s="7"/>
      <c r="G616" s="7"/>
      <c r="H616" s="7"/>
      <c r="I616" s="7"/>
      <c r="J616" s="7"/>
      <c r="K616" s="7"/>
      <c r="L616" s="7">
        <f t="shared" si="96"/>
        <v>0</v>
      </c>
      <c r="M616" s="7"/>
      <c r="N616" s="7">
        <f t="shared" si="93"/>
        <v>0</v>
      </c>
    </row>
    <row r="617" spans="1:16" ht="15.75" hidden="1" x14ac:dyDescent="0.25">
      <c r="A617" s="2">
        <f t="shared" si="92"/>
        <v>0</v>
      </c>
      <c r="B617" s="5" t="s">
        <v>269</v>
      </c>
      <c r="C617" s="7"/>
      <c r="D617" s="7"/>
      <c r="E617" s="7"/>
      <c r="F617" s="7"/>
      <c r="G617" s="7"/>
      <c r="H617" s="7"/>
      <c r="I617" s="7"/>
      <c r="J617" s="7"/>
      <c r="K617" s="7"/>
      <c r="L617" s="7">
        <f t="shared" si="96"/>
        <v>0</v>
      </c>
      <c r="M617" s="7"/>
      <c r="N617" s="7">
        <f t="shared" si="93"/>
        <v>0</v>
      </c>
    </row>
    <row r="618" spans="1:16" ht="15.75" x14ac:dyDescent="0.25">
      <c r="A618" s="2">
        <f t="shared" si="92"/>
        <v>0</v>
      </c>
      <c r="B618" s="5" t="s">
        <v>19</v>
      </c>
      <c r="C618" s="7"/>
      <c r="D618" s="7"/>
      <c r="E618" s="7"/>
      <c r="F618" s="7"/>
      <c r="G618" s="7">
        <v>15.3</v>
      </c>
      <c r="H618" s="7"/>
      <c r="I618" s="7"/>
      <c r="J618" s="7"/>
      <c r="K618" s="7"/>
      <c r="L618" s="7">
        <f t="shared" si="96"/>
        <v>15.3</v>
      </c>
      <c r="M618" s="7">
        <v>15.3</v>
      </c>
      <c r="N618" s="7">
        <f t="shared" si="93"/>
        <v>0</v>
      </c>
      <c r="O618" t="s">
        <v>366</v>
      </c>
    </row>
    <row r="619" spans="1:16" ht="15.75" hidden="1" x14ac:dyDescent="0.25">
      <c r="A619" s="2">
        <f t="shared" si="92"/>
        <v>0</v>
      </c>
      <c r="B619" s="5" t="s">
        <v>138</v>
      </c>
      <c r="C619" s="7"/>
      <c r="D619" s="7"/>
      <c r="E619" s="7"/>
      <c r="F619" s="7"/>
      <c r="G619" s="7"/>
      <c r="H619" s="7"/>
      <c r="I619" s="7"/>
      <c r="J619" s="7"/>
      <c r="K619" s="7"/>
      <c r="L619" s="7">
        <f t="shared" si="96"/>
        <v>0</v>
      </c>
      <c r="M619" s="7"/>
      <c r="N619" s="7">
        <f t="shared" si="93"/>
        <v>0</v>
      </c>
    </row>
    <row r="620" spans="1:16" ht="15.75" x14ac:dyDescent="0.25">
      <c r="A620" s="2">
        <f t="shared" si="92"/>
        <v>7</v>
      </c>
      <c r="B620" s="5" t="s">
        <v>136</v>
      </c>
      <c r="C620" s="7"/>
      <c r="D620" s="7"/>
      <c r="E620" s="7"/>
      <c r="F620" s="7"/>
      <c r="G620" s="7"/>
      <c r="H620" s="7"/>
      <c r="I620" s="7"/>
      <c r="J620" s="7"/>
      <c r="K620" s="7"/>
      <c r="L620" s="7">
        <f>SUM(C620:K620)</f>
        <v>0</v>
      </c>
      <c r="M620" s="7"/>
      <c r="N620" s="8">
        <f t="shared" si="93"/>
        <v>7</v>
      </c>
    </row>
    <row r="621" spans="1:16" ht="15.75" hidden="1" x14ac:dyDescent="0.25">
      <c r="A621" s="2">
        <f t="shared" si="92"/>
        <v>0</v>
      </c>
      <c r="B621" s="5" t="s">
        <v>44</v>
      </c>
      <c r="C621" s="7"/>
      <c r="D621" s="7"/>
      <c r="E621" s="7"/>
      <c r="F621" s="7"/>
      <c r="G621" s="7"/>
      <c r="H621" s="7"/>
      <c r="I621" s="7"/>
      <c r="J621" s="7"/>
      <c r="K621" s="7"/>
      <c r="L621" s="7">
        <f t="shared" ref="L621:L631" si="97">SUM(C621:K621)</f>
        <v>0</v>
      </c>
      <c r="M621" s="7"/>
      <c r="N621" s="7">
        <f t="shared" si="93"/>
        <v>0</v>
      </c>
    </row>
    <row r="622" spans="1:16" ht="15.75" hidden="1" x14ac:dyDescent="0.25">
      <c r="A622" s="2">
        <f t="shared" si="92"/>
        <v>0</v>
      </c>
      <c r="B622" s="5" t="s">
        <v>95</v>
      </c>
      <c r="C622" s="6"/>
      <c r="D622" s="7"/>
      <c r="E622" s="6"/>
      <c r="F622" s="7"/>
      <c r="G622" s="7"/>
      <c r="H622" s="7"/>
      <c r="I622" s="7"/>
      <c r="J622" s="7"/>
      <c r="K622" s="7"/>
      <c r="L622" s="7">
        <f t="shared" si="97"/>
        <v>0</v>
      </c>
      <c r="M622" s="7"/>
      <c r="N622" s="7">
        <f t="shared" si="93"/>
        <v>0</v>
      </c>
    </row>
    <row r="623" spans="1:16" ht="15.75" x14ac:dyDescent="0.25">
      <c r="A623" s="2">
        <f t="shared" si="92"/>
        <v>0</v>
      </c>
      <c r="B623" s="5" t="s">
        <v>36</v>
      </c>
      <c r="C623" s="7"/>
      <c r="D623" s="7"/>
      <c r="E623" s="7">
        <v>18</v>
      </c>
      <c r="F623" s="7"/>
      <c r="G623" s="7"/>
      <c r="H623" s="7"/>
      <c r="I623" s="7"/>
      <c r="J623" s="7"/>
      <c r="K623" s="7"/>
      <c r="L623" s="7">
        <f t="shared" si="97"/>
        <v>18</v>
      </c>
      <c r="M623" s="7">
        <v>18</v>
      </c>
      <c r="N623" s="7">
        <f t="shared" si="93"/>
        <v>0</v>
      </c>
      <c r="O623" s="29">
        <v>43696</v>
      </c>
    </row>
    <row r="624" spans="1:16" ht="15.75" x14ac:dyDescent="0.25">
      <c r="A624" s="2">
        <f t="shared" si="92"/>
        <v>0</v>
      </c>
      <c r="B624" s="5" t="s">
        <v>319</v>
      </c>
      <c r="C624" s="7"/>
      <c r="D624" s="7"/>
      <c r="E624" s="6"/>
      <c r="F624" s="7"/>
      <c r="G624" s="7"/>
      <c r="H624" s="7"/>
      <c r="I624" s="7"/>
      <c r="J624" s="7"/>
      <c r="K624" s="7">
        <v>18</v>
      </c>
      <c r="L624" s="7">
        <f t="shared" si="97"/>
        <v>18</v>
      </c>
      <c r="M624" s="7">
        <v>72</v>
      </c>
      <c r="N624" s="7">
        <f t="shared" si="93"/>
        <v>54</v>
      </c>
      <c r="O624" s="29">
        <v>43703</v>
      </c>
    </row>
    <row r="625" spans="1:16" ht="15.75" hidden="1" x14ac:dyDescent="0.25">
      <c r="A625" s="2">
        <f t="shared" si="92"/>
        <v>0</v>
      </c>
      <c r="B625" s="5" t="s">
        <v>111</v>
      </c>
      <c r="C625" s="6"/>
      <c r="D625" s="7"/>
      <c r="E625" s="6"/>
      <c r="F625" s="7"/>
      <c r="G625" s="7"/>
      <c r="H625" s="7"/>
      <c r="I625" s="7"/>
      <c r="J625" s="7"/>
      <c r="K625" s="7"/>
      <c r="L625" s="7">
        <f t="shared" si="97"/>
        <v>0</v>
      </c>
      <c r="M625" s="7"/>
      <c r="N625" s="7">
        <f t="shared" si="93"/>
        <v>0</v>
      </c>
    </row>
    <row r="626" spans="1:16" ht="15.75" x14ac:dyDescent="0.25">
      <c r="A626" s="2">
        <f t="shared" si="92"/>
        <v>0</v>
      </c>
      <c r="B626" s="5" t="s">
        <v>361</v>
      </c>
      <c r="C626" s="6"/>
      <c r="D626" s="7">
        <v>25</v>
      </c>
      <c r="E626" s="7"/>
      <c r="F626" s="7"/>
      <c r="G626" s="7"/>
      <c r="H626" s="7"/>
      <c r="I626" s="7"/>
      <c r="J626" s="7"/>
      <c r="K626" s="7"/>
      <c r="L626" s="7">
        <f t="shared" si="97"/>
        <v>25</v>
      </c>
      <c r="M626" s="7">
        <v>25</v>
      </c>
      <c r="N626" s="7">
        <f t="shared" si="93"/>
        <v>0</v>
      </c>
      <c r="O626" t="s">
        <v>360</v>
      </c>
    </row>
    <row r="627" spans="1:16" ht="15.75" hidden="1" x14ac:dyDescent="0.25">
      <c r="A627" s="2">
        <f t="shared" si="92"/>
        <v>0</v>
      </c>
      <c r="B627" s="5" t="s">
        <v>113</v>
      </c>
      <c r="C627" s="6"/>
      <c r="D627" s="7"/>
      <c r="E627" s="7"/>
      <c r="F627" s="7"/>
      <c r="G627" s="7"/>
      <c r="H627" s="7"/>
      <c r="I627" s="7"/>
      <c r="J627" s="7"/>
      <c r="K627" s="7"/>
      <c r="L627" s="7">
        <f t="shared" si="97"/>
        <v>0</v>
      </c>
      <c r="M627" s="7"/>
      <c r="N627" s="7">
        <f t="shared" si="93"/>
        <v>0</v>
      </c>
    </row>
    <row r="628" spans="1:16" ht="15.75" hidden="1" x14ac:dyDescent="0.25">
      <c r="A628" s="2">
        <f t="shared" si="92"/>
        <v>0</v>
      </c>
      <c r="B628" s="5" t="s">
        <v>291</v>
      </c>
      <c r="C628" s="6"/>
      <c r="D628" s="7"/>
      <c r="E628" s="7"/>
      <c r="F628" s="7"/>
      <c r="G628" s="7"/>
      <c r="H628" s="7"/>
      <c r="I628" s="7"/>
      <c r="J628" s="7"/>
      <c r="K628" s="7"/>
      <c r="L628" s="7">
        <f t="shared" si="97"/>
        <v>0</v>
      </c>
      <c r="M628" s="7"/>
      <c r="N628" s="7">
        <f t="shared" si="93"/>
        <v>0</v>
      </c>
    </row>
    <row r="629" spans="1:16" ht="15.75" x14ac:dyDescent="0.25">
      <c r="A629" s="2">
        <f t="shared" si="92"/>
        <v>0</v>
      </c>
      <c r="B629" s="5" t="s">
        <v>114</v>
      </c>
      <c r="C629" s="6"/>
      <c r="D629" s="7"/>
      <c r="E629" s="7"/>
      <c r="F629" s="7"/>
      <c r="G629" s="7"/>
      <c r="H629" s="7"/>
      <c r="I629" s="7"/>
      <c r="J629" s="7"/>
      <c r="K629" s="7">
        <v>54</v>
      </c>
      <c r="L629" s="7">
        <f t="shared" si="97"/>
        <v>54</v>
      </c>
      <c r="M629" s="7"/>
      <c r="N629" s="7">
        <f t="shared" si="93"/>
        <v>-54</v>
      </c>
    </row>
    <row r="630" spans="1:16" ht="15.75" x14ac:dyDescent="0.25">
      <c r="A630" s="2">
        <f t="shared" si="92"/>
        <v>-18</v>
      </c>
      <c r="B630" s="5" t="s">
        <v>115</v>
      </c>
      <c r="C630" s="6"/>
      <c r="D630" s="7"/>
      <c r="E630" s="7"/>
      <c r="F630" s="7"/>
      <c r="G630" s="7"/>
      <c r="H630" s="7"/>
      <c r="I630" s="7"/>
      <c r="J630" s="7"/>
      <c r="K630" s="7"/>
      <c r="L630" s="7">
        <f t="shared" si="97"/>
        <v>0</v>
      </c>
      <c r="M630" s="7"/>
      <c r="N630" s="7">
        <f t="shared" si="93"/>
        <v>-18</v>
      </c>
    </row>
    <row r="631" spans="1:16" ht="15.75" x14ac:dyDescent="0.25">
      <c r="A631" s="2">
        <f t="shared" si="92"/>
        <v>-25</v>
      </c>
      <c r="B631" s="5" t="s">
        <v>252</v>
      </c>
      <c r="C631" s="7"/>
      <c r="D631" s="7">
        <v>10.8</v>
      </c>
      <c r="E631" s="7"/>
      <c r="F631" s="7"/>
      <c r="G631" s="7"/>
      <c r="H631" s="7"/>
      <c r="I631" s="7"/>
      <c r="J631" s="7"/>
      <c r="K631" s="7"/>
      <c r="L631" s="7">
        <f t="shared" si="97"/>
        <v>10.8</v>
      </c>
      <c r="M631" s="7">
        <f>25+10.8</f>
        <v>35.799999999999997</v>
      </c>
      <c r="N631" s="7">
        <f t="shared" si="93"/>
        <v>0</v>
      </c>
      <c r="O631" t="s">
        <v>352</v>
      </c>
      <c r="P631" t="s">
        <v>370</v>
      </c>
    </row>
    <row r="632" spans="1:16" ht="15.75" x14ac:dyDescent="0.25">
      <c r="A632" s="2">
        <f t="shared" si="92"/>
        <v>0</v>
      </c>
      <c r="B632" s="5" t="s">
        <v>117</v>
      </c>
      <c r="C632" s="7"/>
      <c r="D632" s="7"/>
      <c r="E632" s="7"/>
      <c r="F632" s="7"/>
      <c r="G632" s="7">
        <v>40.5</v>
      </c>
      <c r="H632" s="7"/>
      <c r="I632" s="7"/>
      <c r="J632" s="7"/>
      <c r="K632" s="7">
        <v>40.5</v>
      </c>
      <c r="L632" s="7">
        <f>SUM(C632:K632)</f>
        <v>81</v>
      </c>
      <c r="M632" s="7">
        <f>40.5+40.5</f>
        <v>81</v>
      </c>
      <c r="N632" s="7">
        <f t="shared" si="93"/>
        <v>0</v>
      </c>
      <c r="O632" t="s">
        <v>357</v>
      </c>
      <c r="P632" t="s">
        <v>368</v>
      </c>
    </row>
    <row r="633" spans="1:16" ht="15.75" hidden="1" x14ac:dyDescent="0.25">
      <c r="A633" s="2">
        <f t="shared" si="92"/>
        <v>0</v>
      </c>
      <c r="B633" s="5" t="s">
        <v>118</v>
      </c>
      <c r="C633" s="7"/>
      <c r="D633" s="7"/>
      <c r="E633" s="7"/>
      <c r="F633" s="7"/>
      <c r="G633" s="7"/>
      <c r="H633" s="7"/>
      <c r="I633" s="7"/>
      <c r="J633" s="7"/>
      <c r="K633" s="7"/>
      <c r="L633" s="7">
        <f t="shared" ref="L633:L637" si="98">SUM(C633:K633)</f>
        <v>0</v>
      </c>
      <c r="M633" s="7"/>
      <c r="N633" s="7">
        <f t="shared" si="93"/>
        <v>0</v>
      </c>
    </row>
    <row r="634" spans="1:16" ht="15.75" hidden="1" x14ac:dyDescent="0.25">
      <c r="A634" s="2">
        <f t="shared" ref="A634:A637" si="99">N560</f>
        <v>0</v>
      </c>
      <c r="B634" s="5" t="s">
        <v>233</v>
      </c>
      <c r="C634" s="7"/>
      <c r="D634" s="7"/>
      <c r="E634" s="7"/>
      <c r="F634" s="7"/>
      <c r="G634" s="7"/>
      <c r="H634" s="7"/>
      <c r="I634" s="7"/>
      <c r="J634" s="7"/>
      <c r="K634" s="7"/>
      <c r="L634" s="7">
        <f t="shared" si="98"/>
        <v>0</v>
      </c>
      <c r="M634" s="7"/>
      <c r="N634" s="7">
        <f t="shared" si="93"/>
        <v>0</v>
      </c>
    </row>
    <row r="635" spans="1:16" ht="15.75" hidden="1" x14ac:dyDescent="0.25">
      <c r="A635" s="2">
        <f t="shared" si="99"/>
        <v>0</v>
      </c>
      <c r="B635" s="5" t="s">
        <v>135</v>
      </c>
      <c r="C635" s="7"/>
      <c r="D635" s="7"/>
      <c r="E635" s="7"/>
      <c r="F635" s="7"/>
      <c r="G635" s="7"/>
      <c r="H635" s="7"/>
      <c r="I635" s="7"/>
      <c r="J635" s="7"/>
      <c r="K635" s="7"/>
      <c r="L635" s="7">
        <f t="shared" si="98"/>
        <v>0</v>
      </c>
      <c r="M635" s="7"/>
      <c r="N635" s="7">
        <f t="shared" si="93"/>
        <v>0</v>
      </c>
    </row>
    <row r="636" spans="1:16" ht="15.75" x14ac:dyDescent="0.25">
      <c r="A636" s="2">
        <f t="shared" si="99"/>
        <v>-18.000000000000057</v>
      </c>
      <c r="B636" s="5" t="s">
        <v>305</v>
      </c>
      <c r="C636" s="7"/>
      <c r="D636" s="7"/>
      <c r="E636" s="7"/>
      <c r="F636" s="7"/>
      <c r="G636" s="7"/>
      <c r="H636" s="7"/>
      <c r="I636" s="7"/>
      <c r="J636" s="7"/>
      <c r="K636" s="7"/>
      <c r="L636" s="7">
        <f t="shared" si="98"/>
        <v>0</v>
      </c>
      <c r="M636" s="7">
        <v>18</v>
      </c>
      <c r="N636" s="7">
        <f t="shared" si="93"/>
        <v>-5.6843418860808015E-14</v>
      </c>
      <c r="O636" t="s">
        <v>372</v>
      </c>
    </row>
    <row r="637" spans="1:16" ht="15.75" x14ac:dyDescent="0.25">
      <c r="A637" s="2">
        <f t="shared" si="99"/>
        <v>0</v>
      </c>
      <c r="B637" s="5" t="s">
        <v>353</v>
      </c>
      <c r="C637" s="7"/>
      <c r="D637" s="7">
        <v>14.4</v>
      </c>
      <c r="E637" s="7"/>
      <c r="F637" s="7"/>
      <c r="G637" s="7"/>
      <c r="H637" s="7"/>
      <c r="I637" s="7"/>
      <c r="J637" s="7"/>
      <c r="K637" s="7"/>
      <c r="L637" s="7">
        <f t="shared" si="98"/>
        <v>14.4</v>
      </c>
      <c r="M637" s="7">
        <v>14.4</v>
      </c>
      <c r="N637" s="7">
        <f t="shared" si="93"/>
        <v>0</v>
      </c>
      <c r="O637" s="29">
        <v>43684</v>
      </c>
    </row>
    <row r="638" spans="1:16" ht="15.75" x14ac:dyDescent="0.25">
      <c r="A638" s="2">
        <f>SUM(A569:A637)</f>
        <v>-2678.12</v>
      </c>
      <c r="B638" s="6" t="s">
        <v>104</v>
      </c>
      <c r="C638" s="7">
        <f t="shared" ref="C638:I638" si="100">SUM(C569:C636)</f>
        <v>173.5</v>
      </c>
      <c r="D638" s="7">
        <f t="shared" si="100"/>
        <v>85.8</v>
      </c>
      <c r="E638" s="7">
        <f t="shared" si="100"/>
        <v>238.7</v>
      </c>
      <c r="F638" s="7">
        <f t="shared" si="100"/>
        <v>74</v>
      </c>
      <c r="G638" s="7">
        <f t="shared" si="100"/>
        <v>179.8</v>
      </c>
      <c r="H638" s="7">
        <f t="shared" si="100"/>
        <v>43.9</v>
      </c>
      <c r="I638" s="7">
        <f t="shared" si="100"/>
        <v>397.05999999999995</v>
      </c>
      <c r="J638" s="7">
        <f>SUM(J569:J636)</f>
        <v>77.5</v>
      </c>
      <c r="K638" s="7">
        <f>SUM(K569:K637)</f>
        <v>232</v>
      </c>
      <c r="L638" s="7">
        <f>SUM(L569:L637)</f>
        <v>1516.6599999999999</v>
      </c>
      <c r="M638" s="15">
        <f>SUM(M569:M637)</f>
        <v>915.65999999999985</v>
      </c>
      <c r="N638" s="7">
        <f>SUM(N569:N637)</f>
        <v>-3279.1199999999994</v>
      </c>
    </row>
    <row r="641" spans="1:15" ht="15.75" x14ac:dyDescent="0.25">
      <c r="A641" s="57" t="s">
        <v>351</v>
      </c>
      <c r="B641" s="57" t="s">
        <v>75</v>
      </c>
      <c r="C641" s="27">
        <v>69</v>
      </c>
      <c r="D641" s="27">
        <v>70</v>
      </c>
      <c r="E641" s="27">
        <v>71</v>
      </c>
      <c r="F641" s="27">
        <v>72</v>
      </c>
      <c r="G641" s="27">
        <v>73</v>
      </c>
      <c r="H641" s="27">
        <v>74</v>
      </c>
      <c r="I641" s="27">
        <v>75</v>
      </c>
      <c r="J641" s="27">
        <v>76</v>
      </c>
      <c r="K641" s="27"/>
      <c r="L641" s="57" t="s">
        <v>68</v>
      </c>
      <c r="M641" s="61" t="s">
        <v>137</v>
      </c>
      <c r="N641" s="57" t="s">
        <v>375</v>
      </c>
    </row>
    <row r="642" spans="1:15" ht="15.75" x14ac:dyDescent="0.25">
      <c r="A642" s="58"/>
      <c r="B642" s="58"/>
      <c r="C642" s="26">
        <v>4</v>
      </c>
      <c r="D642" s="26">
        <v>7</v>
      </c>
      <c r="E642" s="26">
        <v>11</v>
      </c>
      <c r="F642" s="26">
        <v>14</v>
      </c>
      <c r="G642" s="26">
        <v>18</v>
      </c>
      <c r="H642" s="26">
        <v>21</v>
      </c>
      <c r="I642" s="26">
        <v>25</v>
      </c>
      <c r="J642" s="26">
        <v>28</v>
      </c>
      <c r="K642" s="6"/>
      <c r="L642" s="58"/>
      <c r="M642" s="62"/>
      <c r="N642" s="58"/>
    </row>
    <row r="643" spans="1:15" ht="15.75" x14ac:dyDescent="0.25">
      <c r="A643" s="2">
        <f>N569</f>
        <v>0</v>
      </c>
      <c r="B643" s="5" t="s">
        <v>123</v>
      </c>
      <c r="C643" s="6"/>
      <c r="D643" s="6"/>
      <c r="E643" s="6"/>
      <c r="F643" s="6"/>
      <c r="G643" s="6">
        <v>18</v>
      </c>
      <c r="H643" s="6"/>
      <c r="I643" s="6"/>
      <c r="J643" s="6"/>
      <c r="K643" s="6"/>
      <c r="L643" s="7">
        <f>SUM(C643:K643)</f>
        <v>18</v>
      </c>
      <c r="M643" s="7">
        <v>18</v>
      </c>
      <c r="N643" s="7">
        <f>M643+A643-L643</f>
        <v>0</v>
      </c>
      <c r="O643" t="s">
        <v>379</v>
      </c>
    </row>
    <row r="644" spans="1:15" ht="15.75" hidden="1" x14ac:dyDescent="0.25">
      <c r="A644" s="2">
        <f t="shared" ref="A644:A707" si="101">N570</f>
        <v>0</v>
      </c>
      <c r="B644" s="5" t="s">
        <v>125</v>
      </c>
      <c r="C644" s="6"/>
      <c r="D644" s="7"/>
      <c r="E644" s="6"/>
      <c r="F644" s="7"/>
      <c r="G644" s="6"/>
      <c r="H644" s="6"/>
      <c r="I644" s="7"/>
      <c r="J644" s="6"/>
      <c r="K644" s="7"/>
      <c r="L644" s="7">
        <f>SUM(C644:K644)</f>
        <v>0</v>
      </c>
      <c r="M644" s="7"/>
      <c r="N644" s="7">
        <f t="shared" ref="N644:N711" si="102">M644+A644-L644</f>
        <v>0</v>
      </c>
    </row>
    <row r="645" spans="1:15" ht="15.75" x14ac:dyDescent="0.25">
      <c r="A645" s="2">
        <f t="shared" si="101"/>
        <v>-43</v>
      </c>
      <c r="B645" s="5" t="s">
        <v>194</v>
      </c>
      <c r="C645" s="7"/>
      <c r="D645" s="7"/>
      <c r="E645" s="7"/>
      <c r="F645" s="7"/>
      <c r="G645" s="7"/>
      <c r="H645" s="7"/>
      <c r="I645" s="7"/>
      <c r="J645" s="15"/>
      <c r="K645" s="7"/>
      <c r="L645" s="7">
        <f>SUM(C645:K645)</f>
        <v>0</v>
      </c>
      <c r="M645" s="7">
        <v>43</v>
      </c>
      <c r="N645" s="7">
        <f t="shared" si="102"/>
        <v>0</v>
      </c>
      <c r="O645" t="s">
        <v>404</v>
      </c>
    </row>
    <row r="646" spans="1:15" ht="15.75" x14ac:dyDescent="0.25">
      <c r="A646" s="2">
        <f t="shared" si="101"/>
        <v>-32</v>
      </c>
      <c r="B646" s="5" t="s">
        <v>2</v>
      </c>
      <c r="C646" s="6"/>
      <c r="D646" s="7"/>
      <c r="E646" s="6"/>
      <c r="F646" s="7"/>
      <c r="G646" s="6"/>
      <c r="H646" s="7"/>
      <c r="I646" s="6"/>
      <c r="J646" s="6"/>
      <c r="K646" s="7"/>
      <c r="L646" s="7">
        <f>SUM(C646:K646)</f>
        <v>0</v>
      </c>
      <c r="M646" s="7"/>
      <c r="N646" s="7">
        <f t="shared" si="102"/>
        <v>-32</v>
      </c>
    </row>
    <row r="647" spans="1:15" ht="15.75" x14ac:dyDescent="0.25">
      <c r="A647" s="2">
        <f t="shared" si="101"/>
        <v>-25.8</v>
      </c>
      <c r="B647" s="5" t="s">
        <v>129</v>
      </c>
      <c r="C647" s="6"/>
      <c r="D647" s="7"/>
      <c r="E647" s="6"/>
      <c r="F647" s="6"/>
      <c r="G647" s="6"/>
      <c r="H647" s="7"/>
      <c r="I647" s="6"/>
      <c r="J647" s="6"/>
      <c r="K647" s="7"/>
      <c r="L647" s="7">
        <f t="shared" ref="L647:L667" si="103">SUM(C647:K647)</f>
        <v>0</v>
      </c>
      <c r="M647" s="7"/>
      <c r="N647" s="7">
        <f t="shared" si="102"/>
        <v>-25.8</v>
      </c>
    </row>
    <row r="648" spans="1:15" ht="15.75" hidden="1" x14ac:dyDescent="0.25">
      <c r="A648" s="2">
        <f t="shared" si="101"/>
        <v>0</v>
      </c>
      <c r="B648" s="5" t="s">
        <v>195</v>
      </c>
      <c r="C648" s="6"/>
      <c r="D648" s="7"/>
      <c r="E648" s="6"/>
      <c r="F648" s="6"/>
      <c r="G648" s="6"/>
      <c r="H648" s="7"/>
      <c r="I648" s="7"/>
      <c r="J648" s="6"/>
      <c r="K648" s="7"/>
      <c r="L648" s="7">
        <f t="shared" si="103"/>
        <v>0</v>
      </c>
      <c r="M648" s="7"/>
      <c r="N648" s="7">
        <f t="shared" si="102"/>
        <v>0</v>
      </c>
    </row>
    <row r="649" spans="1:15" ht="15.75" hidden="1" x14ac:dyDescent="0.25">
      <c r="A649" s="2">
        <f t="shared" si="101"/>
        <v>0</v>
      </c>
      <c r="B649" s="5" t="s">
        <v>128</v>
      </c>
      <c r="C649" s="7"/>
      <c r="D649" s="7"/>
      <c r="E649" s="7"/>
      <c r="F649" s="7"/>
      <c r="G649" s="7"/>
      <c r="H649" s="7"/>
      <c r="I649" s="7"/>
      <c r="J649" s="7"/>
      <c r="K649" s="7"/>
      <c r="L649" s="7">
        <f t="shared" si="103"/>
        <v>0</v>
      </c>
      <c r="M649" s="7"/>
      <c r="N649" s="7">
        <f t="shared" si="102"/>
        <v>0</v>
      </c>
    </row>
    <row r="650" spans="1:15" ht="15.75" x14ac:dyDescent="0.25">
      <c r="A650" s="2">
        <f t="shared" si="101"/>
        <v>-310.2</v>
      </c>
      <c r="B650" s="5" t="s">
        <v>127</v>
      </c>
      <c r="C650" s="6"/>
      <c r="D650" s="7"/>
      <c r="E650" s="7"/>
      <c r="F650" s="6"/>
      <c r="G650" s="6"/>
      <c r="H650" s="7"/>
      <c r="I650" s="6"/>
      <c r="J650" s="7"/>
      <c r="K650" s="7"/>
      <c r="L650" s="7">
        <f t="shared" si="103"/>
        <v>0</v>
      </c>
      <c r="M650" s="7"/>
      <c r="N650" s="7">
        <f t="shared" si="102"/>
        <v>-310.2</v>
      </c>
    </row>
    <row r="651" spans="1:15" ht="15.75" hidden="1" x14ac:dyDescent="0.25">
      <c r="A651" s="2">
        <f t="shared" si="101"/>
        <v>0</v>
      </c>
      <c r="B651" s="5" t="s">
        <v>126</v>
      </c>
      <c r="C651" s="6"/>
      <c r="D651" s="7"/>
      <c r="E651" s="6"/>
      <c r="F651" s="6"/>
      <c r="G651" s="6"/>
      <c r="H651" s="7"/>
      <c r="I651" s="6"/>
      <c r="J651" s="6"/>
      <c r="K651" s="7"/>
      <c r="L651" s="7">
        <f t="shared" si="103"/>
        <v>0</v>
      </c>
      <c r="M651" s="7"/>
      <c r="N651" s="7">
        <f t="shared" si="102"/>
        <v>0</v>
      </c>
    </row>
    <row r="652" spans="1:15" ht="15.75" x14ac:dyDescent="0.25">
      <c r="A652" s="2">
        <f t="shared" si="101"/>
        <v>-503.20000000000005</v>
      </c>
      <c r="B652" s="5" t="s">
        <v>130</v>
      </c>
      <c r="C652" s="7"/>
      <c r="D652" s="7"/>
      <c r="E652" s="7"/>
      <c r="F652" s="7"/>
      <c r="G652" s="7">
        <v>25</v>
      </c>
      <c r="H652" s="7"/>
      <c r="I652" s="6"/>
      <c r="J652" s="7"/>
      <c r="K652" s="7"/>
      <c r="L652" s="7">
        <f t="shared" si="103"/>
        <v>25</v>
      </c>
      <c r="M652" s="7">
        <v>25</v>
      </c>
      <c r="N652" s="7">
        <f t="shared" si="102"/>
        <v>-503.20000000000005</v>
      </c>
      <c r="O652" t="s">
        <v>391</v>
      </c>
    </row>
    <row r="653" spans="1:15" ht="15.75" x14ac:dyDescent="0.25">
      <c r="A653" s="2">
        <f t="shared" si="101"/>
        <v>-89.13</v>
      </c>
      <c r="B653" s="5" t="s">
        <v>131</v>
      </c>
      <c r="C653" s="7"/>
      <c r="D653" s="7"/>
      <c r="E653" s="7"/>
      <c r="F653" s="7"/>
      <c r="G653" s="7"/>
      <c r="H653" s="7"/>
      <c r="I653" s="7"/>
      <c r="J653" s="6"/>
      <c r="K653" s="7"/>
      <c r="L653" s="7">
        <f t="shared" si="103"/>
        <v>0</v>
      </c>
      <c r="M653" s="7"/>
      <c r="N653" s="7">
        <f t="shared" si="102"/>
        <v>-89.13</v>
      </c>
    </row>
    <row r="654" spans="1:15" ht="15.75" x14ac:dyDescent="0.25">
      <c r="A654" s="2">
        <f t="shared" si="101"/>
        <v>-25</v>
      </c>
      <c r="B654" s="5" t="s">
        <v>132</v>
      </c>
      <c r="C654" s="7"/>
      <c r="D654" s="7"/>
      <c r="E654" s="7"/>
      <c r="F654" s="7">
        <v>25</v>
      </c>
      <c r="G654" s="7"/>
      <c r="H654" s="7"/>
      <c r="I654" s="7"/>
      <c r="J654" s="7"/>
      <c r="K654" s="7"/>
      <c r="L654" s="7">
        <f t="shared" si="103"/>
        <v>25</v>
      </c>
      <c r="M654" s="7">
        <v>75</v>
      </c>
      <c r="N654" s="7">
        <f t="shared" si="102"/>
        <v>25</v>
      </c>
      <c r="O654" t="s">
        <v>406</v>
      </c>
    </row>
    <row r="655" spans="1:15" ht="15.75" hidden="1" x14ac:dyDescent="0.25">
      <c r="A655" s="2">
        <f t="shared" si="101"/>
        <v>0</v>
      </c>
      <c r="B655" s="5" t="s">
        <v>9</v>
      </c>
      <c r="C655" s="6"/>
      <c r="D655" s="7"/>
      <c r="E655" s="7"/>
      <c r="F655" s="7"/>
      <c r="G655" s="7"/>
      <c r="H655" s="6"/>
      <c r="I655" s="7"/>
      <c r="J655" s="6"/>
      <c r="K655" s="7"/>
      <c r="L655" s="7">
        <f t="shared" si="103"/>
        <v>0</v>
      </c>
      <c r="M655" s="7"/>
      <c r="N655" s="7">
        <f t="shared" si="102"/>
        <v>0</v>
      </c>
    </row>
    <row r="656" spans="1:15" ht="15.75" x14ac:dyDescent="0.25">
      <c r="A656" s="2">
        <f t="shared" si="101"/>
        <v>-50</v>
      </c>
      <c r="B656" s="5" t="s">
        <v>133</v>
      </c>
      <c r="C656" s="7"/>
      <c r="D656" s="7"/>
      <c r="E656" s="7"/>
      <c r="F656" s="7"/>
      <c r="G656" s="7"/>
      <c r="H656" s="7"/>
      <c r="I656" s="7"/>
      <c r="J656" s="7"/>
      <c r="K656" s="7"/>
      <c r="L656" s="7">
        <f t="shared" si="103"/>
        <v>0</v>
      </c>
      <c r="M656" s="8"/>
      <c r="N656" s="7">
        <f t="shared" si="102"/>
        <v>-50</v>
      </c>
    </row>
    <row r="657" spans="1:18" ht="15.75" x14ac:dyDescent="0.25">
      <c r="A657" s="2">
        <f t="shared" si="101"/>
        <v>-20</v>
      </c>
      <c r="B657" s="5" t="s">
        <v>96</v>
      </c>
      <c r="C657" s="7"/>
      <c r="D657" s="7">
        <v>20</v>
      </c>
      <c r="E657" s="7"/>
      <c r="F657" s="7"/>
      <c r="G657" s="7"/>
      <c r="H657" s="7">
        <v>25</v>
      </c>
      <c r="I657" s="7"/>
      <c r="J657" s="7"/>
      <c r="K657" s="7"/>
      <c r="L657" s="7">
        <f t="shared" si="103"/>
        <v>45</v>
      </c>
      <c r="M657" s="7"/>
      <c r="N657" s="7">
        <f t="shared" si="102"/>
        <v>-65</v>
      </c>
    </row>
    <row r="658" spans="1:18" ht="15.75" hidden="1" x14ac:dyDescent="0.25">
      <c r="A658" s="2">
        <f t="shared" si="101"/>
        <v>0</v>
      </c>
      <c r="B658" s="5" t="s">
        <v>134</v>
      </c>
      <c r="C658" s="7"/>
      <c r="D658" s="7"/>
      <c r="E658" s="6"/>
      <c r="F658" s="6"/>
      <c r="G658" s="6"/>
      <c r="H658" s="7"/>
      <c r="I658" s="7"/>
      <c r="J658" s="7"/>
      <c r="K658" s="7"/>
      <c r="L658" s="7">
        <f t="shared" si="103"/>
        <v>0</v>
      </c>
      <c r="M658" s="7"/>
      <c r="N658" s="7">
        <f t="shared" si="102"/>
        <v>0</v>
      </c>
    </row>
    <row r="659" spans="1:18" ht="15.75" x14ac:dyDescent="0.25">
      <c r="A659" s="2">
        <f t="shared" si="101"/>
        <v>26.100000000000009</v>
      </c>
      <c r="B659" s="5" t="s">
        <v>99</v>
      </c>
      <c r="C659" s="7"/>
      <c r="D659" s="7"/>
      <c r="E659" s="6"/>
      <c r="F659" s="7"/>
      <c r="G659" s="6"/>
      <c r="H659" s="7"/>
      <c r="I659" s="6"/>
      <c r="J659" s="6"/>
      <c r="K659" s="7"/>
      <c r="L659" s="7">
        <f t="shared" si="103"/>
        <v>0</v>
      </c>
      <c r="M659" s="7"/>
      <c r="N659" s="7">
        <f t="shared" si="102"/>
        <v>26.100000000000009</v>
      </c>
    </row>
    <row r="660" spans="1:18" ht="15.75" hidden="1" x14ac:dyDescent="0.25">
      <c r="A660" s="2">
        <f t="shared" si="101"/>
        <v>0</v>
      </c>
      <c r="B660" s="5" t="s">
        <v>323</v>
      </c>
      <c r="C660" s="7"/>
      <c r="D660" s="7"/>
      <c r="E660" s="6"/>
      <c r="F660" s="6"/>
      <c r="G660" s="6"/>
      <c r="H660" s="6"/>
      <c r="I660" s="6"/>
      <c r="J660" s="6"/>
      <c r="K660" s="7"/>
      <c r="L660" s="7">
        <f t="shared" si="103"/>
        <v>0</v>
      </c>
      <c r="M660" s="7"/>
      <c r="N660" s="7">
        <f t="shared" si="102"/>
        <v>0</v>
      </c>
    </row>
    <row r="661" spans="1:18" ht="15.75" x14ac:dyDescent="0.25">
      <c r="A661" s="2">
        <f t="shared" si="101"/>
        <v>0</v>
      </c>
      <c r="B661" s="5" t="s">
        <v>21</v>
      </c>
      <c r="C661" s="7"/>
      <c r="D661" s="7"/>
      <c r="E661" s="7"/>
      <c r="F661" s="7"/>
      <c r="G661" s="7"/>
      <c r="H661" s="7"/>
      <c r="I661" s="7"/>
      <c r="J661" s="7">
        <v>20</v>
      </c>
      <c r="K661" s="7"/>
      <c r="L661" s="7">
        <f t="shared" si="103"/>
        <v>20</v>
      </c>
      <c r="M661" s="7">
        <v>20</v>
      </c>
      <c r="N661" s="7">
        <f t="shared" si="102"/>
        <v>0</v>
      </c>
      <c r="O661" s="29">
        <v>43738</v>
      </c>
    </row>
    <row r="662" spans="1:18" ht="15.75" x14ac:dyDescent="0.25">
      <c r="A662" s="2">
        <f t="shared" si="101"/>
        <v>0</v>
      </c>
      <c r="B662" s="5" t="s">
        <v>47</v>
      </c>
      <c r="C662" s="7"/>
      <c r="D662" s="7"/>
      <c r="E662" s="7"/>
      <c r="F662" s="7"/>
      <c r="G662" s="7"/>
      <c r="H662" s="7"/>
      <c r="I662" s="7">
        <v>18</v>
      </c>
      <c r="J662" s="7"/>
      <c r="K662" s="7"/>
      <c r="L662" s="7">
        <f t="shared" si="103"/>
        <v>18</v>
      </c>
      <c r="M662" s="7">
        <v>18</v>
      </c>
      <c r="N662" s="7">
        <f t="shared" si="102"/>
        <v>0</v>
      </c>
      <c r="O662" t="s">
        <v>398</v>
      </c>
    </row>
    <row r="663" spans="1:18" ht="15.75" x14ac:dyDescent="0.25">
      <c r="A663" s="2">
        <f t="shared" si="101"/>
        <v>-550.99</v>
      </c>
      <c r="B663" s="5" t="s">
        <v>53</v>
      </c>
      <c r="C663" s="7"/>
      <c r="D663" s="7"/>
      <c r="E663" s="7"/>
      <c r="F663" s="7"/>
      <c r="G663" s="7">
        <v>16.2</v>
      </c>
      <c r="H663" s="7">
        <v>75</v>
      </c>
      <c r="I663" s="7"/>
      <c r="J663" s="7"/>
      <c r="K663" s="7"/>
      <c r="L663" s="7">
        <f t="shared" si="103"/>
        <v>91.2</v>
      </c>
      <c r="M663" s="7">
        <f>50+50+75+65</f>
        <v>240</v>
      </c>
      <c r="N663" s="7">
        <f t="shared" si="102"/>
        <v>-402.19</v>
      </c>
      <c r="O663" t="s">
        <v>377</v>
      </c>
      <c r="P663" t="s">
        <v>390</v>
      </c>
      <c r="Q663" t="s">
        <v>393</v>
      </c>
      <c r="R663" t="s">
        <v>392</v>
      </c>
    </row>
    <row r="664" spans="1:18" ht="15.75" x14ac:dyDescent="0.25">
      <c r="A664" s="2">
        <f t="shared" si="101"/>
        <v>0</v>
      </c>
      <c r="B664" s="5" t="s">
        <v>33</v>
      </c>
      <c r="C664" s="7">
        <v>108</v>
      </c>
      <c r="D664" s="7">
        <v>50</v>
      </c>
      <c r="E664" s="7"/>
      <c r="F664" s="7">
        <v>145.80000000000001</v>
      </c>
      <c r="G664" s="7"/>
      <c r="H664" s="7">
        <v>27</v>
      </c>
      <c r="I664" s="7"/>
      <c r="J664" s="7"/>
      <c r="K664" s="7"/>
      <c r="L664" s="7">
        <f t="shared" si="103"/>
        <v>330.8</v>
      </c>
      <c r="M664" s="7">
        <f>108+50+145.8+27</f>
        <v>330.8</v>
      </c>
      <c r="N664" s="7">
        <f t="shared" si="102"/>
        <v>0</v>
      </c>
      <c r="O664" t="s">
        <v>380</v>
      </c>
      <c r="P664" t="s">
        <v>389</v>
      </c>
      <c r="Q664" t="s">
        <v>394</v>
      </c>
      <c r="R664" t="s">
        <v>408</v>
      </c>
    </row>
    <row r="665" spans="1:18" ht="15.75" x14ac:dyDescent="0.25">
      <c r="A665" s="2">
        <f t="shared" si="101"/>
        <v>-25</v>
      </c>
      <c r="B665" s="5" t="s">
        <v>87</v>
      </c>
      <c r="C665" s="7"/>
      <c r="D665" s="7"/>
      <c r="E665" s="7"/>
      <c r="F665" s="7">
        <v>28.8</v>
      </c>
      <c r="G665" s="7"/>
      <c r="H665" s="7"/>
      <c r="I665" s="7"/>
      <c r="J665" s="7"/>
      <c r="K665" s="7"/>
      <c r="L665" s="7">
        <f t="shared" si="103"/>
        <v>28.8</v>
      </c>
      <c r="M665" s="7"/>
      <c r="N665" s="7">
        <f t="shared" si="102"/>
        <v>-53.8</v>
      </c>
    </row>
    <row r="666" spans="1:18" ht="15.75" x14ac:dyDescent="0.25">
      <c r="A666" s="2">
        <f t="shared" si="101"/>
        <v>0</v>
      </c>
      <c r="B666" s="5" t="s">
        <v>23</v>
      </c>
      <c r="C666" s="7">
        <v>27</v>
      </c>
      <c r="D666" s="7"/>
      <c r="E666" s="7"/>
      <c r="F666" s="7"/>
      <c r="G666" s="7"/>
      <c r="H666" s="7">
        <v>45</v>
      </c>
      <c r="I666" s="7"/>
      <c r="J666" s="7"/>
      <c r="K666" s="7"/>
      <c r="L666" s="7">
        <f t="shared" si="103"/>
        <v>72</v>
      </c>
      <c r="M666" s="7">
        <f>27+45</f>
        <v>72</v>
      </c>
      <c r="N666" s="7">
        <f t="shared" si="102"/>
        <v>0</v>
      </c>
      <c r="O666" t="s">
        <v>385</v>
      </c>
      <c r="P666" t="s">
        <v>405</v>
      </c>
    </row>
    <row r="667" spans="1:18" ht="15.75" x14ac:dyDescent="0.25">
      <c r="A667" s="2">
        <f t="shared" si="101"/>
        <v>-50</v>
      </c>
      <c r="B667" s="5" t="s">
        <v>24</v>
      </c>
      <c r="C667" s="7"/>
      <c r="D667" s="7"/>
      <c r="E667" s="7"/>
      <c r="F667" s="7"/>
      <c r="G667" s="7"/>
      <c r="H667" s="7"/>
      <c r="I667" s="7"/>
      <c r="J667" s="7"/>
      <c r="K667" s="7"/>
      <c r="L667" s="7">
        <f t="shared" si="103"/>
        <v>0</v>
      </c>
      <c r="M667" s="7">
        <v>25</v>
      </c>
      <c r="N667" s="7">
        <f t="shared" si="102"/>
        <v>-25</v>
      </c>
      <c r="O667" t="s">
        <v>376</v>
      </c>
    </row>
    <row r="668" spans="1:18" ht="15.75" x14ac:dyDescent="0.25">
      <c r="A668" s="2">
        <f t="shared" si="101"/>
        <v>0</v>
      </c>
      <c r="B668" s="5" t="s">
        <v>51</v>
      </c>
      <c r="C668" s="7"/>
      <c r="D668" s="7"/>
      <c r="E668" s="7">
        <v>25</v>
      </c>
      <c r="F668" s="7"/>
      <c r="G668" s="7"/>
      <c r="H668" s="7"/>
      <c r="I668" s="7"/>
      <c r="J668" s="7"/>
      <c r="K668" s="7"/>
      <c r="L668" s="7">
        <f>SUM(C668:K668)</f>
        <v>25</v>
      </c>
      <c r="M668" s="7">
        <v>25</v>
      </c>
      <c r="N668" s="7">
        <f t="shared" si="102"/>
        <v>0</v>
      </c>
      <c r="O668" t="s">
        <v>397</v>
      </c>
    </row>
    <row r="669" spans="1:18" ht="15.75" x14ac:dyDescent="0.25">
      <c r="A669" s="2">
        <f t="shared" si="101"/>
        <v>0</v>
      </c>
      <c r="B669" s="5" t="s">
        <v>25</v>
      </c>
      <c r="C669" s="7"/>
      <c r="D669" s="7"/>
      <c r="E669" s="7"/>
      <c r="F669" s="7"/>
      <c r="G669" s="7"/>
      <c r="H669" s="7"/>
      <c r="I669" s="7"/>
      <c r="J669" s="7"/>
      <c r="K669" s="7"/>
      <c r="L669" s="7">
        <f>SUM(C669:K669)</f>
        <v>0</v>
      </c>
      <c r="M669" s="7"/>
      <c r="N669" s="7">
        <f t="shared" si="102"/>
        <v>0</v>
      </c>
    </row>
    <row r="670" spans="1:18" ht="15.75" x14ac:dyDescent="0.25">
      <c r="A670" s="2">
        <f t="shared" si="101"/>
        <v>-98.9</v>
      </c>
      <c r="B670" s="5" t="s">
        <v>27</v>
      </c>
      <c r="C670" s="7"/>
      <c r="D670" s="7"/>
      <c r="E670" s="7"/>
      <c r="F670" s="7"/>
      <c r="G670" s="7"/>
      <c r="H670" s="7"/>
      <c r="I670" s="7"/>
      <c r="J670" s="7">
        <v>28.8</v>
      </c>
      <c r="K670" s="7"/>
      <c r="L670" s="7">
        <f>SUM(C670:K670)</f>
        <v>28.8</v>
      </c>
      <c r="M670" s="7">
        <v>90</v>
      </c>
      <c r="N670" s="7">
        <f t="shared" si="102"/>
        <v>-37.700000000000003</v>
      </c>
      <c r="O670" t="s">
        <v>403</v>
      </c>
    </row>
    <row r="671" spans="1:18" ht="15.75" x14ac:dyDescent="0.25">
      <c r="A671" s="2">
        <f t="shared" si="101"/>
        <v>-79.5</v>
      </c>
      <c r="B671" s="5" t="s">
        <v>29</v>
      </c>
      <c r="C671" s="7"/>
      <c r="D671" s="7"/>
      <c r="E671" s="7"/>
      <c r="F671" s="7"/>
      <c r="G671" s="7"/>
      <c r="H671" s="7">
        <v>45</v>
      </c>
      <c r="I671" s="7"/>
      <c r="J671" s="7"/>
      <c r="K671" s="7"/>
      <c r="L671" s="7">
        <f t="shared" ref="L671:L672" si="104">SUM(C671:K671)</f>
        <v>45</v>
      </c>
      <c r="M671" s="7"/>
      <c r="N671" s="7">
        <f t="shared" si="102"/>
        <v>-124.5</v>
      </c>
    </row>
    <row r="672" spans="1:18" ht="15.75" x14ac:dyDescent="0.25">
      <c r="A672" s="2">
        <f t="shared" si="101"/>
        <v>-64.200000000000045</v>
      </c>
      <c r="B672" s="5" t="s">
        <v>30</v>
      </c>
      <c r="C672" s="7"/>
      <c r="D672" s="7"/>
      <c r="E672" s="7"/>
      <c r="F672" s="7"/>
      <c r="G672" s="7"/>
      <c r="H672" s="7"/>
      <c r="I672" s="7"/>
      <c r="J672" s="7">
        <v>43.25</v>
      </c>
      <c r="K672" s="7"/>
      <c r="L672" s="7">
        <f t="shared" si="104"/>
        <v>43.25</v>
      </c>
      <c r="M672" s="7">
        <v>234.5</v>
      </c>
      <c r="N672" s="7">
        <f t="shared" si="102"/>
        <v>127.04999999999995</v>
      </c>
      <c r="O672" t="s">
        <v>401</v>
      </c>
    </row>
    <row r="673" spans="1:17" ht="15.75" x14ac:dyDescent="0.25">
      <c r="A673" s="2">
        <f t="shared" si="101"/>
        <v>0</v>
      </c>
      <c r="B673" s="5" t="s">
        <v>56</v>
      </c>
      <c r="C673" s="7"/>
      <c r="D673" s="7"/>
      <c r="E673" s="7"/>
      <c r="F673" s="7"/>
      <c r="G673" s="7"/>
      <c r="H673" s="7"/>
      <c r="I673" s="7"/>
      <c r="J673" s="7"/>
      <c r="K673" s="7"/>
      <c r="L673" s="7">
        <f>SUM(C673:K673)</f>
        <v>0</v>
      </c>
      <c r="M673" s="7"/>
      <c r="N673" s="7">
        <f t="shared" si="102"/>
        <v>0</v>
      </c>
    </row>
    <row r="674" spans="1:17" ht="15.75" x14ac:dyDescent="0.25">
      <c r="A674" s="2">
        <f t="shared" si="101"/>
        <v>0</v>
      </c>
      <c r="B674" s="5" t="s">
        <v>356</v>
      </c>
      <c r="C674" s="7"/>
      <c r="D674" s="7">
        <v>33.659999999999997</v>
      </c>
      <c r="E674" s="7"/>
      <c r="F674" s="7"/>
      <c r="G674" s="7"/>
      <c r="H674" s="7"/>
      <c r="I674" s="7"/>
      <c r="J674" s="7">
        <v>48</v>
      </c>
      <c r="K674" s="7"/>
      <c r="L674" s="7">
        <f>SUM(C674:K674)</f>
        <v>81.66</v>
      </c>
      <c r="M674" s="7">
        <v>33.659999999999997</v>
      </c>
      <c r="N674" s="7">
        <f t="shared" si="102"/>
        <v>-48</v>
      </c>
      <c r="O674" t="s">
        <v>387</v>
      </c>
    </row>
    <row r="675" spans="1:17" ht="15.75" x14ac:dyDescent="0.25">
      <c r="A675" s="2">
        <f t="shared" si="101"/>
        <v>0</v>
      </c>
      <c r="B675" s="5" t="s">
        <v>101</v>
      </c>
      <c r="C675" s="7"/>
      <c r="D675" s="7"/>
      <c r="E675" s="7"/>
      <c r="F675" s="7">
        <v>20</v>
      </c>
      <c r="G675" s="7"/>
      <c r="H675" s="7"/>
      <c r="I675" s="7"/>
      <c r="J675" s="7"/>
      <c r="K675" s="7"/>
      <c r="L675" s="7">
        <f t="shared" ref="L675:L693" si="105">SUM(C675:K675)</f>
        <v>20</v>
      </c>
      <c r="M675" s="7"/>
      <c r="N675" s="7">
        <f t="shared" si="102"/>
        <v>-20</v>
      </c>
    </row>
    <row r="676" spans="1:17" ht="15.75" x14ac:dyDescent="0.25">
      <c r="A676" s="2">
        <f t="shared" si="101"/>
        <v>-9.8000000000000007</v>
      </c>
      <c r="B676" s="5" t="s">
        <v>41</v>
      </c>
      <c r="C676" s="6"/>
      <c r="D676" s="7">
        <v>27</v>
      </c>
      <c r="E676" s="7"/>
      <c r="F676" s="7">
        <v>27</v>
      </c>
      <c r="G676" s="7"/>
      <c r="H676" s="7">
        <v>27</v>
      </c>
      <c r="I676" s="7"/>
      <c r="J676" s="7"/>
      <c r="K676" s="7"/>
      <c r="L676" s="7">
        <f t="shared" si="105"/>
        <v>81</v>
      </c>
      <c r="M676" s="7">
        <f>27+27+27</f>
        <v>81</v>
      </c>
      <c r="N676" s="7">
        <f t="shared" si="102"/>
        <v>-9.7999999999999972</v>
      </c>
      <c r="O676" t="s">
        <v>400</v>
      </c>
      <c r="Q676" t="s">
        <v>407</v>
      </c>
    </row>
    <row r="677" spans="1:17" ht="15.75" hidden="1" x14ac:dyDescent="0.25">
      <c r="A677" s="2">
        <f t="shared" si="101"/>
        <v>0</v>
      </c>
      <c r="B677" s="5" t="s">
        <v>102</v>
      </c>
      <c r="C677" s="6"/>
      <c r="D677" s="7"/>
      <c r="E677" s="7"/>
      <c r="F677" s="7"/>
      <c r="G677" s="7"/>
      <c r="H677" s="7"/>
      <c r="I677" s="7"/>
      <c r="J677" s="7"/>
      <c r="K677" s="7"/>
      <c r="L677" s="7">
        <f t="shared" si="105"/>
        <v>0</v>
      </c>
      <c r="M677" s="7"/>
      <c r="N677" s="7">
        <f t="shared" si="102"/>
        <v>0</v>
      </c>
    </row>
    <row r="678" spans="1:17" ht="15.75" x14ac:dyDescent="0.25">
      <c r="A678" s="2">
        <f t="shared" si="101"/>
        <v>-112.5</v>
      </c>
      <c r="B678" s="5" t="s">
        <v>45</v>
      </c>
      <c r="C678" s="7"/>
      <c r="D678" s="7"/>
      <c r="E678" s="7"/>
      <c r="F678" s="7"/>
      <c r="G678" s="7"/>
      <c r="H678" s="7"/>
      <c r="I678" s="7"/>
      <c r="J678" s="7"/>
      <c r="K678" s="7"/>
      <c r="L678" s="7">
        <f t="shared" si="105"/>
        <v>0</v>
      </c>
      <c r="M678" s="7"/>
      <c r="N678" s="7">
        <f t="shared" si="102"/>
        <v>-112.5</v>
      </c>
    </row>
    <row r="679" spans="1:17" ht="15.75" x14ac:dyDescent="0.25">
      <c r="A679" s="2">
        <f t="shared" si="101"/>
        <v>-0.70000000000000284</v>
      </c>
      <c r="B679" s="5" t="s">
        <v>46</v>
      </c>
      <c r="C679" s="7"/>
      <c r="D679" s="7"/>
      <c r="E679" s="10"/>
      <c r="F679" s="7"/>
      <c r="G679" s="7"/>
      <c r="H679" s="7"/>
      <c r="I679" s="7"/>
      <c r="J679" s="7"/>
      <c r="K679" s="7"/>
      <c r="L679" s="7">
        <f t="shared" si="105"/>
        <v>0</v>
      </c>
      <c r="M679" s="7">
        <v>25</v>
      </c>
      <c r="N679" s="7">
        <f t="shared" si="102"/>
        <v>24.299999999999997</v>
      </c>
      <c r="O679" t="s">
        <v>388</v>
      </c>
    </row>
    <row r="680" spans="1:17" ht="15.75" hidden="1" x14ac:dyDescent="0.25">
      <c r="A680" s="2">
        <f t="shared" si="101"/>
        <v>0</v>
      </c>
      <c r="B680" s="5" t="s">
        <v>79</v>
      </c>
      <c r="C680" s="7"/>
      <c r="D680" s="6"/>
      <c r="E680" s="10"/>
      <c r="F680" s="7"/>
      <c r="G680" s="7"/>
      <c r="H680" s="7"/>
      <c r="I680" s="7"/>
      <c r="J680" s="7"/>
      <c r="K680" s="7"/>
      <c r="L680" s="7">
        <f t="shared" si="105"/>
        <v>0</v>
      </c>
      <c r="M680" s="7"/>
      <c r="N680" s="7">
        <f t="shared" si="102"/>
        <v>0</v>
      </c>
    </row>
    <row r="681" spans="1:17" ht="15.75" hidden="1" x14ac:dyDescent="0.25">
      <c r="A681" s="2">
        <f t="shared" si="101"/>
        <v>0</v>
      </c>
      <c r="B681" s="5" t="s">
        <v>261</v>
      </c>
      <c r="C681" s="7"/>
      <c r="D681" s="6"/>
      <c r="E681" s="10"/>
      <c r="F681" s="7"/>
      <c r="G681" s="7"/>
      <c r="H681" s="7"/>
      <c r="I681" s="7"/>
      <c r="J681" s="7"/>
      <c r="K681" s="7"/>
      <c r="L681" s="7">
        <f t="shared" si="105"/>
        <v>0</v>
      </c>
      <c r="M681" s="7"/>
      <c r="N681" s="7">
        <f t="shared" si="102"/>
        <v>0</v>
      </c>
    </row>
    <row r="682" spans="1:17" ht="15.75" x14ac:dyDescent="0.25">
      <c r="A682" s="2">
        <f t="shared" si="101"/>
        <v>-1068.7999999999997</v>
      </c>
      <c r="B682" s="5" t="s">
        <v>103</v>
      </c>
      <c r="C682" s="6"/>
      <c r="D682" s="7">
        <v>15.3</v>
      </c>
      <c r="E682" s="7">
        <v>90</v>
      </c>
      <c r="F682" s="7"/>
      <c r="G682" s="7"/>
      <c r="H682" s="7"/>
      <c r="I682" s="7">
        <v>90</v>
      </c>
      <c r="J682" s="7">
        <v>54</v>
      </c>
      <c r="K682" s="7"/>
      <c r="L682" s="7">
        <f t="shared" si="105"/>
        <v>249.3</v>
      </c>
      <c r="M682" s="7"/>
      <c r="N682" s="7">
        <f t="shared" si="102"/>
        <v>-1318.0999999999997</v>
      </c>
    </row>
    <row r="683" spans="1:17" ht="15.75" hidden="1" x14ac:dyDescent="0.25">
      <c r="A683" s="2">
        <f t="shared" si="101"/>
        <v>0</v>
      </c>
      <c r="B683" s="5" t="s">
        <v>211</v>
      </c>
      <c r="C683" s="6"/>
      <c r="D683" s="7"/>
      <c r="E683" s="6"/>
      <c r="F683" s="7"/>
      <c r="G683" s="7"/>
      <c r="H683" s="7"/>
      <c r="I683" s="7"/>
      <c r="J683" s="7"/>
      <c r="K683" s="7"/>
      <c r="L683" s="7">
        <f t="shared" si="105"/>
        <v>0</v>
      </c>
      <c r="M683" s="7"/>
      <c r="N683" s="7">
        <f t="shared" si="102"/>
        <v>0</v>
      </c>
    </row>
    <row r="684" spans="1:17" ht="15.75" hidden="1" x14ac:dyDescent="0.25">
      <c r="A684" s="2">
        <f t="shared" si="101"/>
        <v>0</v>
      </c>
      <c r="B684" s="5" t="s">
        <v>139</v>
      </c>
      <c r="C684" s="7"/>
      <c r="D684" s="7"/>
      <c r="E684" s="6"/>
      <c r="F684" s="7"/>
      <c r="G684" s="7"/>
      <c r="H684" s="7"/>
      <c r="I684" s="7"/>
      <c r="J684" s="7"/>
      <c r="K684" s="7"/>
      <c r="L684" s="7">
        <f t="shared" si="105"/>
        <v>0</v>
      </c>
      <c r="M684" s="7"/>
      <c r="N684" s="7">
        <f t="shared" si="102"/>
        <v>0</v>
      </c>
    </row>
    <row r="685" spans="1:17" ht="15.75" hidden="1" x14ac:dyDescent="0.25">
      <c r="A685" s="2">
        <f t="shared" si="101"/>
        <v>0</v>
      </c>
      <c r="B685" s="5" t="s">
        <v>191</v>
      </c>
      <c r="C685" s="7"/>
      <c r="D685" s="6"/>
      <c r="E685" s="7"/>
      <c r="F685" s="7"/>
      <c r="G685" s="7"/>
      <c r="H685" s="7"/>
      <c r="I685" s="7"/>
      <c r="J685" s="7"/>
      <c r="K685" s="7"/>
      <c r="L685" s="7">
        <f t="shared" si="105"/>
        <v>0</v>
      </c>
      <c r="M685" s="7"/>
      <c r="N685" s="7">
        <f t="shared" si="102"/>
        <v>0</v>
      </c>
    </row>
    <row r="686" spans="1:17" ht="15.75" hidden="1" x14ac:dyDescent="0.25">
      <c r="A686" s="2">
        <f t="shared" si="101"/>
        <v>0</v>
      </c>
      <c r="B686" s="5" t="s">
        <v>91</v>
      </c>
      <c r="C686" s="7"/>
      <c r="D686" s="7"/>
      <c r="E686" s="7"/>
      <c r="F686" s="7"/>
      <c r="G686" s="7"/>
      <c r="H686" s="7"/>
      <c r="I686" s="7"/>
      <c r="J686" s="7"/>
      <c r="K686" s="7"/>
      <c r="L686" s="7">
        <f t="shared" si="105"/>
        <v>0</v>
      </c>
      <c r="M686" s="7"/>
      <c r="N686" s="7">
        <f t="shared" si="102"/>
        <v>0</v>
      </c>
    </row>
    <row r="687" spans="1:17" ht="15.75" x14ac:dyDescent="0.25">
      <c r="A687" s="2">
        <f t="shared" si="101"/>
        <v>-115.5</v>
      </c>
      <c r="B687" s="5" t="s">
        <v>31</v>
      </c>
      <c r="C687" s="7"/>
      <c r="D687" s="7"/>
      <c r="E687" s="7">
        <v>20</v>
      </c>
      <c r="F687" s="7">
        <v>90</v>
      </c>
      <c r="G687" s="7"/>
      <c r="H687" s="7"/>
      <c r="I687" s="7"/>
      <c r="J687" s="7">
        <v>18</v>
      </c>
      <c r="K687" s="7"/>
      <c r="L687" s="7">
        <f t="shared" si="105"/>
        <v>128</v>
      </c>
      <c r="M687" s="7">
        <f>50+27.5+20</f>
        <v>97.5</v>
      </c>
      <c r="N687" s="7">
        <f t="shared" si="102"/>
        <v>-146</v>
      </c>
      <c r="O687" t="s">
        <v>378</v>
      </c>
      <c r="P687" t="s">
        <v>381</v>
      </c>
      <c r="Q687" t="s">
        <v>395</v>
      </c>
    </row>
    <row r="688" spans="1:17" ht="15.75" hidden="1" x14ac:dyDescent="0.25">
      <c r="A688" s="2">
        <f t="shared" si="101"/>
        <v>0</v>
      </c>
      <c r="B688" s="5" t="s">
        <v>37</v>
      </c>
      <c r="C688" s="7"/>
      <c r="D688" s="7"/>
      <c r="E688" s="7"/>
      <c r="F688" s="7"/>
      <c r="G688" s="7"/>
      <c r="H688" s="7"/>
      <c r="I688" s="7"/>
      <c r="J688" s="7"/>
      <c r="K688" s="7"/>
      <c r="L688" s="7">
        <f t="shared" si="105"/>
        <v>0</v>
      </c>
      <c r="M688" s="7"/>
      <c r="N688" s="7">
        <f t="shared" si="102"/>
        <v>0</v>
      </c>
    </row>
    <row r="689" spans="1:16" ht="15.75" x14ac:dyDescent="0.25">
      <c r="A689" s="2">
        <f t="shared" si="101"/>
        <v>-20</v>
      </c>
      <c r="B689" s="5" t="s">
        <v>105</v>
      </c>
      <c r="C689" s="7"/>
      <c r="D689" s="7"/>
      <c r="E689" s="7"/>
      <c r="F689" s="7"/>
      <c r="G689" s="7"/>
      <c r="H689" s="7"/>
      <c r="I689" s="7"/>
      <c r="J689" s="7"/>
      <c r="K689" s="7"/>
      <c r="L689" s="7">
        <f t="shared" si="105"/>
        <v>0</v>
      </c>
      <c r="M689" s="7">
        <v>20</v>
      </c>
      <c r="N689" s="7">
        <f t="shared" si="102"/>
        <v>0</v>
      </c>
      <c r="O689" t="s">
        <v>396</v>
      </c>
    </row>
    <row r="690" spans="1:16" ht="15.75" hidden="1" x14ac:dyDescent="0.25">
      <c r="A690" s="2">
        <f t="shared" si="101"/>
        <v>0</v>
      </c>
      <c r="B690" s="5" t="s">
        <v>54</v>
      </c>
      <c r="C690" s="7"/>
      <c r="D690" s="7"/>
      <c r="E690" s="7"/>
      <c r="F690" s="7"/>
      <c r="G690" s="7"/>
      <c r="H690" s="7"/>
      <c r="I690" s="7"/>
      <c r="J690" s="7"/>
      <c r="K690" s="7"/>
      <c r="L690" s="7">
        <f t="shared" si="105"/>
        <v>0</v>
      </c>
      <c r="M690" s="7"/>
      <c r="N690" s="7">
        <f t="shared" si="102"/>
        <v>0</v>
      </c>
    </row>
    <row r="691" spans="1:16" ht="15.75" hidden="1" x14ac:dyDescent="0.25">
      <c r="A691" s="2">
        <f t="shared" si="101"/>
        <v>0</v>
      </c>
      <c r="B691" s="5" t="s">
        <v>269</v>
      </c>
      <c r="C691" s="7"/>
      <c r="D691" s="7"/>
      <c r="E691" s="7"/>
      <c r="F691" s="7"/>
      <c r="G691" s="7"/>
      <c r="H691" s="7"/>
      <c r="I691" s="7"/>
      <c r="J691" s="7"/>
      <c r="K691" s="7"/>
      <c r="L691" s="7">
        <f t="shared" si="105"/>
        <v>0</v>
      </c>
      <c r="M691" s="7"/>
      <c r="N691" s="7">
        <f t="shared" si="102"/>
        <v>0</v>
      </c>
    </row>
    <row r="692" spans="1:16" ht="15.75" x14ac:dyDescent="0.25">
      <c r="A692" s="2">
        <f t="shared" si="101"/>
        <v>0</v>
      </c>
      <c r="B692" s="5" t="s">
        <v>19</v>
      </c>
      <c r="C692" s="7"/>
      <c r="D692" s="7">
        <v>15.3</v>
      </c>
      <c r="E692" s="7"/>
      <c r="F692" s="7"/>
      <c r="G692" s="7"/>
      <c r="H692" s="7"/>
      <c r="I692" s="7"/>
      <c r="J692" s="7">
        <v>10.8</v>
      </c>
      <c r="K692" s="7"/>
      <c r="L692" s="7">
        <f t="shared" si="105"/>
        <v>26.1</v>
      </c>
      <c r="M692" s="7">
        <v>15.3</v>
      </c>
      <c r="N692" s="7">
        <f t="shared" si="102"/>
        <v>-10.8</v>
      </c>
      <c r="O692" t="s">
        <v>382</v>
      </c>
    </row>
    <row r="693" spans="1:16" ht="15.75" hidden="1" x14ac:dyDescent="0.25">
      <c r="A693" s="2">
        <f t="shared" si="101"/>
        <v>0</v>
      </c>
      <c r="B693" s="5" t="s">
        <v>138</v>
      </c>
      <c r="C693" s="7"/>
      <c r="D693" s="7"/>
      <c r="E693" s="7"/>
      <c r="F693" s="7"/>
      <c r="G693" s="7"/>
      <c r="H693" s="7"/>
      <c r="I693" s="7"/>
      <c r="J693" s="7"/>
      <c r="K693" s="7"/>
      <c r="L693" s="7">
        <f t="shared" si="105"/>
        <v>0</v>
      </c>
      <c r="M693" s="7"/>
      <c r="N693" s="7">
        <f t="shared" si="102"/>
        <v>0</v>
      </c>
    </row>
    <row r="694" spans="1:16" ht="15.75" x14ac:dyDescent="0.25">
      <c r="A694" s="2">
        <f t="shared" si="101"/>
        <v>7</v>
      </c>
      <c r="B694" s="5" t="s">
        <v>136</v>
      </c>
      <c r="C694" s="7"/>
      <c r="D694" s="7"/>
      <c r="E694" s="7"/>
      <c r="F694" s="7"/>
      <c r="G694" s="7"/>
      <c r="H694" s="7"/>
      <c r="I694" s="7"/>
      <c r="J694" s="7"/>
      <c r="K694" s="7"/>
      <c r="L694" s="7">
        <f>SUM(C694:K694)</f>
        <v>0</v>
      </c>
      <c r="M694" s="7"/>
      <c r="N694" s="8">
        <f t="shared" si="102"/>
        <v>7</v>
      </c>
    </row>
    <row r="695" spans="1:16" ht="15.75" hidden="1" x14ac:dyDescent="0.25">
      <c r="A695" s="2">
        <f t="shared" si="101"/>
        <v>0</v>
      </c>
      <c r="B695" s="5" t="s">
        <v>44</v>
      </c>
      <c r="C695" s="7"/>
      <c r="D695" s="7"/>
      <c r="E695" s="7"/>
      <c r="F695" s="7"/>
      <c r="G695" s="7"/>
      <c r="H695" s="7"/>
      <c r="I695" s="7"/>
      <c r="J695" s="7"/>
      <c r="K695" s="7"/>
      <c r="L695" s="7">
        <f t="shared" ref="L695:L705" si="106">SUM(C695:K695)</f>
        <v>0</v>
      </c>
      <c r="M695" s="7"/>
      <c r="N695" s="7">
        <f t="shared" si="102"/>
        <v>0</v>
      </c>
    </row>
    <row r="696" spans="1:16" ht="15.75" x14ac:dyDescent="0.25">
      <c r="A696" s="2">
        <f t="shared" si="101"/>
        <v>0</v>
      </c>
      <c r="B696" s="5" t="s">
        <v>95</v>
      </c>
      <c r="C696" s="6"/>
      <c r="D696" s="7"/>
      <c r="E696" s="6"/>
      <c r="F696" s="7"/>
      <c r="G696" s="7"/>
      <c r="H696" s="7"/>
      <c r="I696" s="7"/>
      <c r="J696" s="7">
        <v>135</v>
      </c>
      <c r="K696" s="7"/>
      <c r="L696" s="7">
        <f t="shared" si="106"/>
        <v>135</v>
      </c>
      <c r="M696" s="7">
        <v>135</v>
      </c>
      <c r="N696" s="7">
        <f t="shared" si="102"/>
        <v>0</v>
      </c>
      <c r="O696" t="s">
        <v>409</v>
      </c>
    </row>
    <row r="697" spans="1:16" ht="15.75" hidden="1" x14ac:dyDescent="0.25">
      <c r="A697" s="2">
        <f t="shared" si="101"/>
        <v>0</v>
      </c>
      <c r="B697" s="5" t="s">
        <v>36</v>
      </c>
      <c r="C697" s="7"/>
      <c r="D697" s="7"/>
      <c r="E697" s="7"/>
      <c r="F697" s="7"/>
      <c r="G697" s="7"/>
      <c r="H697" s="7"/>
      <c r="I697" s="7"/>
      <c r="J697" s="7"/>
      <c r="K697" s="7"/>
      <c r="L697" s="7">
        <f t="shared" si="106"/>
        <v>0</v>
      </c>
      <c r="M697" s="7"/>
      <c r="N697" s="7">
        <f t="shared" si="102"/>
        <v>0</v>
      </c>
    </row>
    <row r="698" spans="1:16" ht="15.75" x14ac:dyDescent="0.25">
      <c r="A698" s="2">
        <f t="shared" si="101"/>
        <v>54</v>
      </c>
      <c r="B698" s="5" t="s">
        <v>319</v>
      </c>
      <c r="C698" s="7"/>
      <c r="D698" s="7"/>
      <c r="E698" s="6"/>
      <c r="F698" s="7"/>
      <c r="G698" s="7"/>
      <c r="H698" s="7"/>
      <c r="I698" s="7"/>
      <c r="J698" s="7">
        <v>36</v>
      </c>
      <c r="K698" s="7"/>
      <c r="L698" s="7">
        <f t="shared" si="106"/>
        <v>36</v>
      </c>
      <c r="M698" s="7"/>
      <c r="N698" s="7">
        <f t="shared" si="102"/>
        <v>18</v>
      </c>
    </row>
    <row r="699" spans="1:16" ht="15.75" hidden="1" x14ac:dyDescent="0.25">
      <c r="A699" s="2">
        <f t="shared" si="101"/>
        <v>0</v>
      </c>
      <c r="B699" s="5" t="s">
        <v>111</v>
      </c>
      <c r="C699" s="6"/>
      <c r="D699" s="7"/>
      <c r="E699" s="6"/>
      <c r="F699" s="7"/>
      <c r="G699" s="7"/>
      <c r="H699" s="7"/>
      <c r="I699" s="7"/>
      <c r="J699" s="7"/>
      <c r="K699" s="7"/>
      <c r="L699" s="7">
        <f t="shared" si="106"/>
        <v>0</v>
      </c>
      <c r="M699" s="7"/>
      <c r="N699" s="7">
        <f t="shared" si="102"/>
        <v>0</v>
      </c>
    </row>
    <row r="700" spans="1:16" ht="15.75" hidden="1" x14ac:dyDescent="0.25">
      <c r="A700" s="2">
        <f t="shared" si="101"/>
        <v>0</v>
      </c>
      <c r="B700" s="5" t="s">
        <v>361</v>
      </c>
      <c r="C700" s="6"/>
      <c r="D700" s="7"/>
      <c r="E700" s="7"/>
      <c r="F700" s="7"/>
      <c r="G700" s="7"/>
      <c r="H700" s="7"/>
      <c r="I700" s="7"/>
      <c r="J700" s="7"/>
      <c r="K700" s="7"/>
      <c r="L700" s="7">
        <f t="shared" si="106"/>
        <v>0</v>
      </c>
      <c r="M700" s="7"/>
      <c r="N700" s="7">
        <f t="shared" si="102"/>
        <v>0</v>
      </c>
    </row>
    <row r="701" spans="1:16" ht="15.75" hidden="1" x14ac:dyDescent="0.25">
      <c r="A701" s="2">
        <f t="shared" si="101"/>
        <v>0</v>
      </c>
      <c r="B701" s="5" t="s">
        <v>113</v>
      </c>
      <c r="C701" s="6"/>
      <c r="D701" s="7"/>
      <c r="E701" s="7"/>
      <c r="F701" s="7"/>
      <c r="G701" s="7"/>
      <c r="H701" s="7"/>
      <c r="I701" s="7"/>
      <c r="J701" s="7"/>
      <c r="K701" s="7"/>
      <c r="L701" s="7">
        <f t="shared" si="106"/>
        <v>0</v>
      </c>
      <c r="M701" s="7"/>
      <c r="N701" s="7">
        <f t="shared" si="102"/>
        <v>0</v>
      </c>
    </row>
    <row r="702" spans="1:16" ht="15.75" hidden="1" x14ac:dyDescent="0.25">
      <c r="A702" s="2">
        <f t="shared" si="101"/>
        <v>0</v>
      </c>
      <c r="B702" s="5" t="s">
        <v>291</v>
      </c>
      <c r="C702" s="6"/>
      <c r="D702" s="7"/>
      <c r="E702" s="7"/>
      <c r="F702" s="7"/>
      <c r="G702" s="7"/>
      <c r="H702" s="7"/>
      <c r="I702" s="7"/>
      <c r="J702" s="7"/>
      <c r="K702" s="7"/>
      <c r="L702" s="7">
        <f t="shared" si="106"/>
        <v>0</v>
      </c>
      <c r="M702" s="7"/>
      <c r="N702" s="7">
        <f t="shared" si="102"/>
        <v>0</v>
      </c>
    </row>
    <row r="703" spans="1:16" ht="15.75" x14ac:dyDescent="0.25">
      <c r="A703" s="2">
        <f t="shared" si="101"/>
        <v>-54</v>
      </c>
      <c r="B703" s="5" t="s">
        <v>114</v>
      </c>
      <c r="C703" s="6"/>
      <c r="D703" s="7"/>
      <c r="E703" s="7"/>
      <c r="F703" s="7"/>
      <c r="G703" s="7"/>
      <c r="H703" s="7"/>
      <c r="I703" s="7"/>
      <c r="J703" s="7">
        <v>43.2</v>
      </c>
      <c r="K703" s="7"/>
      <c r="L703" s="7">
        <f t="shared" si="106"/>
        <v>43.2</v>
      </c>
      <c r="M703" s="7">
        <v>54</v>
      </c>
      <c r="N703" s="7">
        <f t="shared" si="102"/>
        <v>-43.2</v>
      </c>
      <c r="O703" t="s">
        <v>386</v>
      </c>
    </row>
    <row r="704" spans="1:16" ht="15.75" x14ac:dyDescent="0.25">
      <c r="A704" s="2">
        <f t="shared" si="101"/>
        <v>-18</v>
      </c>
      <c r="B704" s="5" t="s">
        <v>115</v>
      </c>
      <c r="C704" s="6"/>
      <c r="D704" s="7">
        <v>18</v>
      </c>
      <c r="E704" s="7"/>
      <c r="F704" s="7"/>
      <c r="G704" s="7"/>
      <c r="H704" s="7"/>
      <c r="I704" s="7"/>
      <c r="J704" s="7"/>
      <c r="K704" s="7"/>
      <c r="L704" s="7">
        <f t="shared" si="106"/>
        <v>18</v>
      </c>
      <c r="M704" s="7">
        <f>18+18</f>
        <v>36</v>
      </c>
      <c r="N704" s="7">
        <f t="shared" si="102"/>
        <v>0</v>
      </c>
      <c r="O704" t="s">
        <v>383</v>
      </c>
      <c r="P704" t="s">
        <v>384</v>
      </c>
    </row>
    <row r="705" spans="1:15" ht="15.75" x14ac:dyDescent="0.25">
      <c r="A705" s="2">
        <f t="shared" si="101"/>
        <v>0</v>
      </c>
      <c r="B705" s="5" t="s">
        <v>252</v>
      </c>
      <c r="C705" s="7"/>
      <c r="D705" s="7"/>
      <c r="E705" s="7"/>
      <c r="F705" s="7"/>
      <c r="G705" s="7"/>
      <c r="H705" s="7">
        <v>25</v>
      </c>
      <c r="I705" s="7"/>
      <c r="J705" s="7"/>
      <c r="K705" s="7"/>
      <c r="L705" s="7">
        <f t="shared" si="106"/>
        <v>25</v>
      </c>
      <c r="M705" s="7"/>
      <c r="N705" s="7">
        <f t="shared" si="102"/>
        <v>-25</v>
      </c>
    </row>
    <row r="706" spans="1:15" ht="15.75" x14ac:dyDescent="0.25">
      <c r="A706" s="2">
        <f t="shared" si="101"/>
        <v>0</v>
      </c>
      <c r="B706" s="5" t="s">
        <v>117</v>
      </c>
      <c r="C706" s="7"/>
      <c r="D706" s="7"/>
      <c r="E706" s="7"/>
      <c r="F706" s="7"/>
      <c r="G706" s="7"/>
      <c r="H706" s="7">
        <v>150</v>
      </c>
      <c r="I706" s="7"/>
      <c r="J706" s="7"/>
      <c r="K706" s="7"/>
      <c r="L706" s="7">
        <f>SUM(C706:K706)</f>
        <v>150</v>
      </c>
      <c r="M706" s="7">
        <v>300</v>
      </c>
      <c r="N706" s="7">
        <f t="shared" si="102"/>
        <v>150</v>
      </c>
      <c r="O706" t="s">
        <v>402</v>
      </c>
    </row>
    <row r="707" spans="1:15" ht="15.75" x14ac:dyDescent="0.25">
      <c r="A707" s="2">
        <f t="shared" si="101"/>
        <v>0</v>
      </c>
      <c r="B707" s="5" t="s">
        <v>118</v>
      </c>
      <c r="C707" s="7"/>
      <c r="D707" s="7"/>
      <c r="E707" s="7"/>
      <c r="F707" s="7"/>
      <c r="G707" s="7"/>
      <c r="H707" s="7"/>
      <c r="I707" s="7"/>
      <c r="J707" s="7">
        <v>82.62</v>
      </c>
      <c r="K707" s="7"/>
      <c r="L707" s="7">
        <f t="shared" ref="L707:L711" si="107">SUM(C707:K707)</f>
        <v>82.62</v>
      </c>
      <c r="M707" s="7">
        <v>220.32</v>
      </c>
      <c r="N707" s="7">
        <f t="shared" si="102"/>
        <v>137.69999999999999</v>
      </c>
      <c r="O707" t="s">
        <v>399</v>
      </c>
    </row>
    <row r="708" spans="1:15" ht="15.75" hidden="1" x14ac:dyDescent="0.25">
      <c r="A708" s="2">
        <f t="shared" ref="A708:A711" si="108">N634</f>
        <v>0</v>
      </c>
      <c r="B708" s="5" t="s">
        <v>233</v>
      </c>
      <c r="C708" s="7"/>
      <c r="D708" s="7"/>
      <c r="E708" s="7"/>
      <c r="F708" s="7"/>
      <c r="G708" s="7"/>
      <c r="H708" s="7"/>
      <c r="I708" s="7"/>
      <c r="J708" s="7"/>
      <c r="K708" s="7"/>
      <c r="L708" s="7">
        <f t="shared" si="107"/>
        <v>0</v>
      </c>
      <c r="M708" s="7"/>
      <c r="N708" s="7">
        <f t="shared" si="102"/>
        <v>0</v>
      </c>
    </row>
    <row r="709" spans="1:15" ht="15.75" x14ac:dyDescent="0.25">
      <c r="A709" s="2">
        <f t="shared" si="108"/>
        <v>0</v>
      </c>
      <c r="B709" s="5" t="s">
        <v>135</v>
      </c>
      <c r="C709" s="7"/>
      <c r="D709" s="7"/>
      <c r="E709" s="7"/>
      <c r="F709" s="7"/>
      <c r="G709" s="7"/>
      <c r="H709" s="7">
        <v>25</v>
      </c>
      <c r="I709" s="7"/>
      <c r="J709" s="7"/>
      <c r="K709" s="7"/>
      <c r="L709" s="7">
        <f t="shared" si="107"/>
        <v>25</v>
      </c>
      <c r="M709" s="7"/>
      <c r="N709" s="7">
        <f t="shared" si="102"/>
        <v>-25</v>
      </c>
    </row>
    <row r="710" spans="1:15" ht="15.75" hidden="1" x14ac:dyDescent="0.25">
      <c r="A710" s="2">
        <f t="shared" si="108"/>
        <v>-5.6843418860808015E-14</v>
      </c>
      <c r="B710" s="5" t="s">
        <v>305</v>
      </c>
      <c r="C710" s="7"/>
      <c r="D710" s="7"/>
      <c r="E710" s="7"/>
      <c r="F710" s="7"/>
      <c r="G710" s="7"/>
      <c r="H710" s="7"/>
      <c r="I710" s="7"/>
      <c r="J710" s="7"/>
      <c r="K710" s="7"/>
      <c r="L710" s="7">
        <f t="shared" si="107"/>
        <v>0</v>
      </c>
      <c r="M710" s="7"/>
      <c r="N710" s="7">
        <f t="shared" si="102"/>
        <v>-5.6843418860808015E-14</v>
      </c>
    </row>
    <row r="711" spans="1:15" ht="15.75" hidden="1" x14ac:dyDescent="0.25">
      <c r="A711" s="2">
        <f t="shared" si="108"/>
        <v>0</v>
      </c>
      <c r="B711" s="5" t="s">
        <v>353</v>
      </c>
      <c r="C711" s="7"/>
      <c r="D711" s="7"/>
      <c r="E711" s="7"/>
      <c r="F711" s="7"/>
      <c r="G711" s="7"/>
      <c r="H711" s="7"/>
      <c r="I711" s="7"/>
      <c r="J711" s="7"/>
      <c r="K711" s="7"/>
      <c r="L711" s="7">
        <f t="shared" si="107"/>
        <v>0</v>
      </c>
      <c r="M711" s="7"/>
      <c r="N711" s="7">
        <f t="shared" si="102"/>
        <v>0</v>
      </c>
    </row>
    <row r="712" spans="1:15" ht="15.75" x14ac:dyDescent="0.25">
      <c r="A712" s="2">
        <f>SUM(A643:A711)</f>
        <v>-3279.1199999999994</v>
      </c>
      <c r="B712" s="6" t="s">
        <v>104</v>
      </c>
      <c r="C712" s="7">
        <f t="shared" ref="C712:I712" si="109">SUM(C643:C710)</f>
        <v>135</v>
      </c>
      <c r="D712" s="7">
        <f t="shared" si="109"/>
        <v>179.26000000000002</v>
      </c>
      <c r="E712" s="7">
        <f t="shared" si="109"/>
        <v>135</v>
      </c>
      <c r="F712" s="7">
        <f t="shared" si="109"/>
        <v>336.6</v>
      </c>
      <c r="G712" s="7">
        <f t="shared" si="109"/>
        <v>59.2</v>
      </c>
      <c r="H712" s="7">
        <f t="shared" si="109"/>
        <v>444</v>
      </c>
      <c r="I712" s="7">
        <f t="shared" si="109"/>
        <v>108</v>
      </c>
      <c r="J712" s="7">
        <f>SUM(J643:J710)</f>
        <v>519.67000000000007</v>
      </c>
      <c r="K712" s="7">
        <f>SUM(K643:K711)</f>
        <v>0</v>
      </c>
      <c r="L712" s="7">
        <f>SUM(L643:L711)</f>
        <v>1916.73</v>
      </c>
      <c r="M712" s="15">
        <f>SUM(M643:M711)</f>
        <v>2234.08</v>
      </c>
      <c r="N712" s="7">
        <f>SUM(N643:N711)</f>
        <v>-2961.77</v>
      </c>
    </row>
    <row r="715" spans="1:15" ht="15.75" x14ac:dyDescent="0.25">
      <c r="A715" s="57" t="s">
        <v>375</v>
      </c>
      <c r="B715" s="57" t="s">
        <v>75</v>
      </c>
      <c r="C715" s="27">
        <v>77</v>
      </c>
      <c r="D715" s="27">
        <v>78</v>
      </c>
      <c r="E715" s="27">
        <v>79</v>
      </c>
      <c r="F715" s="27">
        <v>80</v>
      </c>
      <c r="G715" s="27">
        <v>81</v>
      </c>
      <c r="H715" s="27">
        <v>82</v>
      </c>
      <c r="I715" s="27">
        <v>83</v>
      </c>
      <c r="J715" s="27">
        <v>84</v>
      </c>
      <c r="K715" s="27">
        <v>85</v>
      </c>
      <c r="L715" s="57" t="s">
        <v>68</v>
      </c>
      <c r="M715" s="61" t="s">
        <v>137</v>
      </c>
      <c r="N715" s="57" t="s">
        <v>410</v>
      </c>
    </row>
    <row r="716" spans="1:15" ht="15.75" x14ac:dyDescent="0.25">
      <c r="A716" s="58"/>
      <c r="B716" s="58"/>
      <c r="C716" s="26">
        <v>2</v>
      </c>
      <c r="D716" s="26">
        <v>5</v>
      </c>
      <c r="E716" s="26">
        <v>9</v>
      </c>
      <c r="F716" s="26">
        <v>12</v>
      </c>
      <c r="G716" s="26">
        <v>16</v>
      </c>
      <c r="H716" s="26">
        <v>19</v>
      </c>
      <c r="I716" s="26">
        <v>23</v>
      </c>
      <c r="J716" s="26">
        <v>26</v>
      </c>
      <c r="K716" s="6">
        <v>30</v>
      </c>
      <c r="L716" s="58"/>
      <c r="M716" s="62"/>
      <c r="N716" s="58"/>
    </row>
    <row r="717" spans="1:15" ht="15.75" x14ac:dyDescent="0.25">
      <c r="A717" s="2">
        <f>N643</f>
        <v>0</v>
      </c>
      <c r="B717" s="5" t="s">
        <v>123</v>
      </c>
      <c r="C717" s="6"/>
      <c r="D717" s="6"/>
      <c r="E717" s="6"/>
      <c r="F717" s="6"/>
      <c r="G717" s="6"/>
      <c r="H717" s="6"/>
      <c r="I717" s="6"/>
      <c r="J717" s="6"/>
      <c r="K717" s="6"/>
      <c r="L717" s="7">
        <f>SUM(C717:K717)</f>
        <v>0</v>
      </c>
      <c r="M717" s="7"/>
      <c r="N717" s="7">
        <f>M717+A717-L717</f>
        <v>0</v>
      </c>
    </row>
    <row r="718" spans="1:15" ht="15.75" hidden="1" x14ac:dyDescent="0.25">
      <c r="A718" s="2">
        <f t="shared" ref="A718:A781" si="110">N644</f>
        <v>0</v>
      </c>
      <c r="B718" s="5" t="s">
        <v>125</v>
      </c>
      <c r="C718" s="6"/>
      <c r="D718" s="7"/>
      <c r="E718" s="6"/>
      <c r="F718" s="7"/>
      <c r="G718" s="6"/>
      <c r="H718" s="6"/>
      <c r="I718" s="7"/>
      <c r="J718" s="6"/>
      <c r="K718" s="7"/>
      <c r="L718" s="7">
        <f>SUM(C718:K718)</f>
        <v>0</v>
      </c>
      <c r="M718" s="7"/>
      <c r="N718" s="7">
        <f t="shared" ref="N718:N785" si="111">M718+A718-L718</f>
        <v>0</v>
      </c>
    </row>
    <row r="719" spans="1:15" ht="15.75" x14ac:dyDescent="0.25">
      <c r="A719" s="2">
        <f t="shared" si="110"/>
        <v>0</v>
      </c>
      <c r="B719" s="5" t="s">
        <v>194</v>
      </c>
      <c r="C719" s="7"/>
      <c r="D719" s="7"/>
      <c r="E719" s="7"/>
      <c r="F719" s="7"/>
      <c r="G719" s="7"/>
      <c r="H719" s="7">
        <v>25</v>
      </c>
      <c r="I719" s="7"/>
      <c r="J719" s="15"/>
      <c r="K719" s="7"/>
      <c r="L719" s="7">
        <f>SUM(C719:K719)</f>
        <v>25</v>
      </c>
      <c r="M719" s="7"/>
      <c r="N719" s="7">
        <f t="shared" si="111"/>
        <v>-25</v>
      </c>
    </row>
    <row r="720" spans="1:15" ht="15.75" x14ac:dyDescent="0.25">
      <c r="A720" s="2">
        <f t="shared" si="110"/>
        <v>-32</v>
      </c>
      <c r="B720" s="5" t="s">
        <v>2</v>
      </c>
      <c r="C720" s="6"/>
      <c r="D720" s="7"/>
      <c r="E720" s="6"/>
      <c r="F720" s="7"/>
      <c r="G720" s="6"/>
      <c r="H720" s="7"/>
      <c r="I720" s="6"/>
      <c r="J720" s="6"/>
      <c r="K720" s="7"/>
      <c r="L720" s="7">
        <f>SUM(C720:K720)</f>
        <v>0</v>
      </c>
      <c r="M720" s="7"/>
      <c r="N720" s="7">
        <f t="shared" si="111"/>
        <v>-32</v>
      </c>
    </row>
    <row r="721" spans="1:15" ht="15.75" x14ac:dyDescent="0.25">
      <c r="A721" s="2">
        <f t="shared" si="110"/>
        <v>-25.8</v>
      </c>
      <c r="B721" s="5" t="s">
        <v>129</v>
      </c>
      <c r="C721" s="6"/>
      <c r="D721" s="7"/>
      <c r="E721" s="6"/>
      <c r="F721" s="6"/>
      <c r="G721" s="6"/>
      <c r="H721" s="7"/>
      <c r="I721" s="6"/>
      <c r="J721" s="6"/>
      <c r="K721" s="7"/>
      <c r="L721" s="7">
        <f t="shared" ref="L721:L741" si="112">SUM(C721:K721)</f>
        <v>0</v>
      </c>
      <c r="M721" s="7"/>
      <c r="N721" s="7">
        <f t="shared" si="111"/>
        <v>-25.8</v>
      </c>
    </row>
    <row r="722" spans="1:15" ht="15.75" hidden="1" x14ac:dyDescent="0.25">
      <c r="A722" s="2">
        <f t="shared" si="110"/>
        <v>0</v>
      </c>
      <c r="B722" s="5" t="s">
        <v>195</v>
      </c>
      <c r="C722" s="6"/>
      <c r="D722" s="7"/>
      <c r="E722" s="6"/>
      <c r="F722" s="6"/>
      <c r="G722" s="6"/>
      <c r="H722" s="7"/>
      <c r="I722" s="7"/>
      <c r="J722" s="6"/>
      <c r="K722" s="7"/>
      <c r="L722" s="7">
        <f t="shared" si="112"/>
        <v>0</v>
      </c>
      <c r="M722" s="7"/>
      <c r="N722" s="7">
        <f t="shared" si="111"/>
        <v>0</v>
      </c>
    </row>
    <row r="723" spans="1:15" ht="15.75" hidden="1" x14ac:dyDescent="0.25">
      <c r="A723" s="2">
        <f t="shared" si="110"/>
        <v>0</v>
      </c>
      <c r="B723" s="5" t="s">
        <v>128</v>
      </c>
      <c r="C723" s="7"/>
      <c r="D723" s="7"/>
      <c r="E723" s="7"/>
      <c r="F723" s="7"/>
      <c r="G723" s="7"/>
      <c r="H723" s="7"/>
      <c r="I723" s="7"/>
      <c r="J723" s="7"/>
      <c r="K723" s="7"/>
      <c r="L723" s="7">
        <f t="shared" si="112"/>
        <v>0</v>
      </c>
      <c r="M723" s="7"/>
      <c r="N723" s="7">
        <f t="shared" si="111"/>
        <v>0</v>
      </c>
    </row>
    <row r="724" spans="1:15" ht="15.75" x14ac:dyDescent="0.25">
      <c r="A724" s="2">
        <f t="shared" si="110"/>
        <v>-310.2</v>
      </c>
      <c r="B724" s="5" t="s">
        <v>127</v>
      </c>
      <c r="C724" s="6"/>
      <c r="D724" s="7"/>
      <c r="E724" s="7"/>
      <c r="F724" s="7">
        <v>25</v>
      </c>
      <c r="G724" s="6"/>
      <c r="H724" s="7"/>
      <c r="I724" s="6"/>
      <c r="J724" s="7"/>
      <c r="K724" s="7"/>
      <c r="L724" s="7">
        <f t="shared" si="112"/>
        <v>25</v>
      </c>
      <c r="M724" s="7">
        <v>50</v>
      </c>
      <c r="N724" s="7">
        <f t="shared" si="111"/>
        <v>-285.2</v>
      </c>
      <c r="O724" t="s">
        <v>418</v>
      </c>
    </row>
    <row r="725" spans="1:15" ht="15.75" hidden="1" x14ac:dyDescent="0.25">
      <c r="A725" s="2">
        <f t="shared" si="110"/>
        <v>0</v>
      </c>
      <c r="B725" s="5" t="s">
        <v>126</v>
      </c>
      <c r="C725" s="6"/>
      <c r="D725" s="7"/>
      <c r="E725" s="6"/>
      <c r="F725" s="6"/>
      <c r="G725" s="6"/>
      <c r="H725" s="7"/>
      <c r="I725" s="6"/>
      <c r="J725" s="6"/>
      <c r="K725" s="7"/>
      <c r="L725" s="7">
        <f t="shared" si="112"/>
        <v>0</v>
      </c>
      <c r="M725" s="7"/>
      <c r="N725" s="7">
        <f t="shared" si="111"/>
        <v>0</v>
      </c>
    </row>
    <row r="726" spans="1:15" ht="15.75" x14ac:dyDescent="0.25">
      <c r="A726" s="2">
        <f t="shared" si="110"/>
        <v>-503.20000000000005</v>
      </c>
      <c r="B726" s="5" t="s">
        <v>130</v>
      </c>
      <c r="C726" s="7">
        <v>25</v>
      </c>
      <c r="D726" s="7"/>
      <c r="E726" s="7"/>
      <c r="F726" s="7"/>
      <c r="G726" s="7"/>
      <c r="H726" s="7"/>
      <c r="I726" s="6"/>
      <c r="J726" s="7"/>
      <c r="K726" s="7"/>
      <c r="L726" s="7">
        <f t="shared" si="112"/>
        <v>25</v>
      </c>
      <c r="M726" s="7"/>
      <c r="N726" s="7">
        <f t="shared" si="111"/>
        <v>-528.20000000000005</v>
      </c>
    </row>
    <row r="727" spans="1:15" ht="15.75" x14ac:dyDescent="0.25">
      <c r="A727" s="2">
        <f t="shared" si="110"/>
        <v>-89.13</v>
      </c>
      <c r="B727" s="5" t="s">
        <v>131</v>
      </c>
      <c r="C727" s="7"/>
      <c r="D727" s="7"/>
      <c r="E727" s="7"/>
      <c r="F727" s="7"/>
      <c r="G727" s="7"/>
      <c r="H727" s="7"/>
      <c r="I727" s="7"/>
      <c r="J727" s="6"/>
      <c r="K727" s="7"/>
      <c r="L727" s="7">
        <f t="shared" si="112"/>
        <v>0</v>
      </c>
      <c r="M727" s="7"/>
      <c r="N727" s="7">
        <f t="shared" si="111"/>
        <v>-89.13</v>
      </c>
    </row>
    <row r="728" spans="1:15" ht="15.75" x14ac:dyDescent="0.25">
      <c r="A728" s="2">
        <f t="shared" si="110"/>
        <v>25</v>
      </c>
      <c r="B728" s="5" t="s">
        <v>132</v>
      </c>
      <c r="C728" s="7">
        <v>25</v>
      </c>
      <c r="D728" s="7"/>
      <c r="E728" s="7"/>
      <c r="F728" s="7"/>
      <c r="G728" s="7">
        <v>25</v>
      </c>
      <c r="H728" s="7"/>
      <c r="I728" s="7"/>
      <c r="J728" s="7"/>
      <c r="K728" s="7"/>
      <c r="L728" s="7">
        <f t="shared" si="112"/>
        <v>50</v>
      </c>
      <c r="M728" s="7"/>
      <c r="N728" s="7">
        <f t="shared" si="111"/>
        <v>-25</v>
      </c>
    </row>
    <row r="729" spans="1:15" ht="15.75" hidden="1" x14ac:dyDescent="0.25">
      <c r="A729" s="2">
        <f t="shared" si="110"/>
        <v>0</v>
      </c>
      <c r="B729" s="5" t="s">
        <v>9</v>
      </c>
      <c r="C729" s="6"/>
      <c r="D729" s="7"/>
      <c r="E729" s="7"/>
      <c r="F729" s="7"/>
      <c r="G729" s="7"/>
      <c r="H729" s="6"/>
      <c r="I729" s="7"/>
      <c r="J729" s="6"/>
      <c r="K729" s="7"/>
      <c r="L729" s="7">
        <f t="shared" si="112"/>
        <v>0</v>
      </c>
      <c r="M729" s="7"/>
      <c r="N729" s="7">
        <f t="shared" si="111"/>
        <v>0</v>
      </c>
    </row>
    <row r="730" spans="1:15" ht="15.75" x14ac:dyDescent="0.25">
      <c r="A730" s="2">
        <f t="shared" si="110"/>
        <v>-50</v>
      </c>
      <c r="B730" s="5" t="s">
        <v>133</v>
      </c>
      <c r="C730" s="7"/>
      <c r="D730" s="7"/>
      <c r="E730" s="7"/>
      <c r="F730" s="7"/>
      <c r="G730" s="7"/>
      <c r="H730" s="7"/>
      <c r="I730" s="7"/>
      <c r="J730" s="7"/>
      <c r="K730" s="7"/>
      <c r="L730" s="7">
        <f t="shared" si="112"/>
        <v>0</v>
      </c>
      <c r="M730" s="8"/>
      <c r="N730" s="7">
        <f t="shared" si="111"/>
        <v>-50</v>
      </c>
    </row>
    <row r="731" spans="1:15" ht="15.75" x14ac:dyDescent="0.25">
      <c r="A731" s="2">
        <f t="shared" si="110"/>
        <v>-65</v>
      </c>
      <c r="B731" s="5" t="s">
        <v>96</v>
      </c>
      <c r="C731" s="7"/>
      <c r="D731" s="7">
        <v>20</v>
      </c>
      <c r="E731" s="7"/>
      <c r="F731" s="7"/>
      <c r="G731" s="7"/>
      <c r="H731" s="7"/>
      <c r="I731" s="7"/>
      <c r="J731" s="7">
        <v>42.5</v>
      </c>
      <c r="K731" s="7">
        <v>18</v>
      </c>
      <c r="L731" s="7">
        <f t="shared" si="112"/>
        <v>80.5</v>
      </c>
      <c r="M731" s="7">
        <v>65</v>
      </c>
      <c r="N731" s="7">
        <f t="shared" si="111"/>
        <v>-80.5</v>
      </c>
      <c r="O731" t="s">
        <v>417</v>
      </c>
    </row>
    <row r="732" spans="1:15" ht="15.75" x14ac:dyDescent="0.25">
      <c r="A732" s="2">
        <f t="shared" si="110"/>
        <v>0</v>
      </c>
      <c r="B732" s="5" t="s">
        <v>134</v>
      </c>
      <c r="C732" s="7"/>
      <c r="D732" s="7"/>
      <c r="E732" s="6"/>
      <c r="F732" s="6"/>
      <c r="G732" s="6"/>
      <c r="H732" s="7"/>
      <c r="I732" s="7"/>
      <c r="J732" s="7"/>
      <c r="K732" s="7">
        <v>25</v>
      </c>
      <c r="L732" s="7">
        <f t="shared" si="112"/>
        <v>25</v>
      </c>
      <c r="M732" s="7"/>
      <c r="N732" s="7">
        <f t="shared" si="111"/>
        <v>-25</v>
      </c>
    </row>
    <row r="733" spans="1:15" ht="15.75" x14ac:dyDescent="0.25">
      <c r="A733" s="2">
        <f t="shared" si="110"/>
        <v>26.100000000000009</v>
      </c>
      <c r="B733" s="5" t="s">
        <v>99</v>
      </c>
      <c r="C733" s="7"/>
      <c r="D733" s="7"/>
      <c r="E733" s="6"/>
      <c r="F733" s="7"/>
      <c r="G733" s="6"/>
      <c r="H733" s="7"/>
      <c r="I733" s="6"/>
      <c r="J733" s="6"/>
      <c r="K733" s="7"/>
      <c r="L733" s="7">
        <f t="shared" si="112"/>
        <v>0</v>
      </c>
      <c r="M733" s="7"/>
      <c r="N733" s="7">
        <f t="shared" si="111"/>
        <v>26.100000000000009</v>
      </c>
    </row>
    <row r="734" spans="1:15" ht="15.75" hidden="1" x14ac:dyDescent="0.25">
      <c r="A734" s="2">
        <f t="shared" si="110"/>
        <v>0</v>
      </c>
      <c r="B734" s="5" t="s">
        <v>323</v>
      </c>
      <c r="C734" s="7"/>
      <c r="D734" s="7"/>
      <c r="E734" s="6"/>
      <c r="F734" s="6"/>
      <c r="G734" s="6"/>
      <c r="H734" s="6"/>
      <c r="I734" s="6"/>
      <c r="J734" s="6"/>
      <c r="K734" s="7"/>
      <c r="L734" s="7">
        <f t="shared" si="112"/>
        <v>0</v>
      </c>
      <c r="M734" s="7"/>
      <c r="N734" s="7">
        <f t="shared" si="111"/>
        <v>0</v>
      </c>
    </row>
    <row r="735" spans="1:15" ht="15.75" hidden="1" x14ac:dyDescent="0.25">
      <c r="A735" s="2">
        <f t="shared" si="110"/>
        <v>0</v>
      </c>
      <c r="B735" s="5" t="s">
        <v>21</v>
      </c>
      <c r="C735" s="7"/>
      <c r="D735" s="7"/>
      <c r="E735" s="7"/>
      <c r="F735" s="7"/>
      <c r="G735" s="7"/>
      <c r="H735" s="7"/>
      <c r="I735" s="7"/>
      <c r="J735" s="7"/>
      <c r="K735" s="7"/>
      <c r="L735" s="7">
        <f t="shared" si="112"/>
        <v>0</v>
      </c>
      <c r="M735" s="7"/>
      <c r="N735" s="7">
        <f t="shared" si="111"/>
        <v>0</v>
      </c>
    </row>
    <row r="736" spans="1:15" ht="15.75" hidden="1" x14ac:dyDescent="0.25">
      <c r="A736" s="2">
        <f t="shared" si="110"/>
        <v>0</v>
      </c>
      <c r="B736" s="5" t="s">
        <v>47</v>
      </c>
      <c r="C736" s="7"/>
      <c r="D736" s="7"/>
      <c r="E736" s="7"/>
      <c r="F736" s="7"/>
      <c r="G736" s="7"/>
      <c r="H736" s="7"/>
      <c r="I736" s="7"/>
      <c r="J736" s="7"/>
      <c r="K736" s="7"/>
      <c r="L736" s="7">
        <f t="shared" si="112"/>
        <v>0</v>
      </c>
      <c r="M736" s="7"/>
      <c r="N736" s="7">
        <f t="shared" si="111"/>
        <v>0</v>
      </c>
    </row>
    <row r="737" spans="1:17" ht="15.75" x14ac:dyDescent="0.25">
      <c r="A737" s="2">
        <f t="shared" si="110"/>
        <v>-402.19</v>
      </c>
      <c r="B737" s="5" t="s">
        <v>53</v>
      </c>
      <c r="C737" s="7"/>
      <c r="D737" s="7"/>
      <c r="E737" s="7"/>
      <c r="F737" s="7">
        <v>16.2</v>
      </c>
      <c r="G737" s="7"/>
      <c r="H737" s="7"/>
      <c r="I737" s="7"/>
      <c r="J737" s="7"/>
      <c r="K737" s="7"/>
      <c r="L737" s="7">
        <f t="shared" si="112"/>
        <v>16.2</v>
      </c>
      <c r="M737" s="7">
        <v>50</v>
      </c>
      <c r="N737" s="7">
        <f t="shared" si="111"/>
        <v>-368.39</v>
      </c>
      <c r="O737" t="s">
        <v>412</v>
      </c>
    </row>
    <row r="738" spans="1:17" ht="15.75" x14ac:dyDescent="0.25">
      <c r="A738" s="2">
        <f t="shared" si="110"/>
        <v>0</v>
      </c>
      <c r="B738" s="5" t="s">
        <v>33</v>
      </c>
      <c r="C738" s="7">
        <v>108</v>
      </c>
      <c r="D738" s="7">
        <v>13.5</v>
      </c>
      <c r="E738" s="7">
        <v>25</v>
      </c>
      <c r="F738" s="7"/>
      <c r="G738" s="7"/>
      <c r="H738" s="7"/>
      <c r="I738" s="7"/>
      <c r="J738" s="7"/>
      <c r="K738" s="7">
        <v>25</v>
      </c>
      <c r="L738" s="7">
        <f t="shared" si="112"/>
        <v>171.5</v>
      </c>
      <c r="M738" s="7">
        <f>108+13.5+25</f>
        <v>146.5</v>
      </c>
      <c r="N738" s="7">
        <f t="shared" si="111"/>
        <v>-25</v>
      </c>
      <c r="O738" t="s">
        <v>416</v>
      </c>
      <c r="P738" t="s">
        <v>421</v>
      </c>
      <c r="Q738" t="s">
        <v>423</v>
      </c>
    </row>
    <row r="739" spans="1:17" ht="15.75" x14ac:dyDescent="0.25">
      <c r="A739" s="2">
        <f t="shared" si="110"/>
        <v>-53.8</v>
      </c>
      <c r="B739" s="5" t="s">
        <v>87</v>
      </c>
      <c r="C739" s="7">
        <v>28.8</v>
      </c>
      <c r="D739" s="7"/>
      <c r="E739" s="7"/>
      <c r="F739" s="7"/>
      <c r="G739" s="7"/>
      <c r="H739" s="7"/>
      <c r="I739" s="7"/>
      <c r="J739" s="7"/>
      <c r="K739" s="7"/>
      <c r="L739" s="7">
        <f t="shared" si="112"/>
        <v>28.8</v>
      </c>
      <c r="M739" s="7">
        <v>82.6</v>
      </c>
      <c r="N739" s="7">
        <f t="shared" si="111"/>
        <v>0</v>
      </c>
      <c r="O739" t="s">
        <v>415</v>
      </c>
    </row>
    <row r="740" spans="1:17" ht="15.75" x14ac:dyDescent="0.25">
      <c r="A740" s="2">
        <f t="shared" si="110"/>
        <v>0</v>
      </c>
      <c r="B740" s="5" t="s">
        <v>23</v>
      </c>
      <c r="C740" s="7"/>
      <c r="D740" s="7"/>
      <c r="E740" s="7"/>
      <c r="F740" s="7"/>
      <c r="G740" s="7"/>
      <c r="H740" s="7"/>
      <c r="I740" s="7"/>
      <c r="J740" s="7">
        <v>22.5</v>
      </c>
      <c r="K740" s="7"/>
      <c r="L740" s="7">
        <f t="shared" si="112"/>
        <v>22.5</v>
      </c>
      <c r="M740" s="7"/>
      <c r="N740" s="7">
        <f t="shared" si="111"/>
        <v>-22.5</v>
      </c>
    </row>
    <row r="741" spans="1:17" ht="15.75" x14ac:dyDescent="0.25">
      <c r="A741" s="2">
        <f t="shared" si="110"/>
        <v>-25</v>
      </c>
      <c r="B741" s="5" t="s">
        <v>24</v>
      </c>
      <c r="C741" s="7"/>
      <c r="D741" s="7"/>
      <c r="E741" s="7"/>
      <c r="F741" s="7"/>
      <c r="G741" s="7"/>
      <c r="H741" s="7"/>
      <c r="I741" s="7"/>
      <c r="J741" s="7"/>
      <c r="K741" s="7"/>
      <c r="L741" s="7">
        <f t="shared" si="112"/>
        <v>0</v>
      </c>
      <c r="M741" s="7"/>
      <c r="N741" s="7">
        <f t="shared" si="111"/>
        <v>-25</v>
      </c>
    </row>
    <row r="742" spans="1:17" ht="15.75" hidden="1" x14ac:dyDescent="0.25">
      <c r="A742" s="2">
        <f t="shared" si="110"/>
        <v>0</v>
      </c>
      <c r="B742" s="5" t="s">
        <v>51</v>
      </c>
      <c r="C742" s="7"/>
      <c r="D742" s="7"/>
      <c r="E742" s="7"/>
      <c r="F742" s="7"/>
      <c r="G742" s="7"/>
      <c r="H742" s="7"/>
      <c r="I742" s="7"/>
      <c r="J742" s="7"/>
      <c r="K742" s="7"/>
      <c r="L742" s="7">
        <f>SUM(C742:K742)</f>
        <v>0</v>
      </c>
      <c r="M742" s="7"/>
      <c r="N742" s="7">
        <f t="shared" si="111"/>
        <v>0</v>
      </c>
    </row>
    <row r="743" spans="1:17" ht="15.75" hidden="1" x14ac:dyDescent="0.25">
      <c r="A743" s="2">
        <f t="shared" si="110"/>
        <v>0</v>
      </c>
      <c r="B743" s="5" t="s">
        <v>25</v>
      </c>
      <c r="C743" s="7"/>
      <c r="D743" s="7"/>
      <c r="E743" s="7"/>
      <c r="F743" s="7"/>
      <c r="G743" s="7"/>
      <c r="H743" s="7"/>
      <c r="I743" s="7"/>
      <c r="J743" s="7"/>
      <c r="K743" s="7"/>
      <c r="L743" s="7">
        <f>SUM(C743:K743)</f>
        <v>0</v>
      </c>
      <c r="M743" s="7"/>
      <c r="N743" s="7">
        <f t="shared" si="111"/>
        <v>0</v>
      </c>
    </row>
    <row r="744" spans="1:17" ht="15.75" x14ac:dyDescent="0.25">
      <c r="A744" s="2">
        <f t="shared" si="110"/>
        <v>-37.700000000000003</v>
      </c>
      <c r="B744" s="5" t="s">
        <v>27</v>
      </c>
      <c r="C744" s="7"/>
      <c r="D744" s="7"/>
      <c r="E744" s="7"/>
      <c r="F744" s="7">
        <v>32.4</v>
      </c>
      <c r="G744" s="7"/>
      <c r="H744" s="7"/>
      <c r="I744" s="7"/>
      <c r="J744" s="7">
        <v>46.8</v>
      </c>
      <c r="K744" s="7"/>
      <c r="L744" s="7">
        <f>SUM(C744:K744)</f>
        <v>79.199999999999989</v>
      </c>
      <c r="M744" s="7"/>
      <c r="N744" s="7">
        <f t="shared" si="111"/>
        <v>-116.89999999999999</v>
      </c>
    </row>
    <row r="745" spans="1:17" ht="15.75" x14ac:dyDescent="0.25">
      <c r="A745" s="2">
        <f t="shared" si="110"/>
        <v>-124.5</v>
      </c>
      <c r="B745" s="5" t="s">
        <v>29</v>
      </c>
      <c r="C745" s="7"/>
      <c r="D745" s="7"/>
      <c r="E745" s="7"/>
      <c r="F745" s="7"/>
      <c r="G745" s="7"/>
      <c r="H745" s="7"/>
      <c r="I745" s="7"/>
      <c r="J745" s="7"/>
      <c r="K745" s="7"/>
      <c r="L745" s="7">
        <f t="shared" ref="L745:L746" si="113">SUM(C745:K745)</f>
        <v>0</v>
      </c>
      <c r="M745" s="7"/>
      <c r="N745" s="7">
        <f t="shared" si="111"/>
        <v>-124.5</v>
      </c>
    </row>
    <row r="746" spans="1:17" ht="15.75" x14ac:dyDescent="0.25">
      <c r="A746" s="2">
        <f t="shared" si="110"/>
        <v>127.04999999999995</v>
      </c>
      <c r="B746" s="5" t="s">
        <v>30</v>
      </c>
      <c r="C746" s="7"/>
      <c r="D746" s="7"/>
      <c r="E746" s="7"/>
      <c r="F746" s="7"/>
      <c r="G746" s="7"/>
      <c r="H746" s="7"/>
      <c r="I746" s="7"/>
      <c r="J746" s="7">
        <v>76.5</v>
      </c>
      <c r="K746" s="7"/>
      <c r="L746" s="7">
        <f t="shared" si="113"/>
        <v>76.5</v>
      </c>
      <c r="M746" s="7"/>
      <c r="N746" s="7">
        <f t="shared" si="111"/>
        <v>50.549999999999955</v>
      </c>
    </row>
    <row r="747" spans="1:17" ht="15.75" hidden="1" x14ac:dyDescent="0.25">
      <c r="A747" s="2">
        <f t="shared" si="110"/>
        <v>0</v>
      </c>
      <c r="B747" s="5" t="s">
        <v>56</v>
      </c>
      <c r="C747" s="7"/>
      <c r="D747" s="7"/>
      <c r="E747" s="7"/>
      <c r="F747" s="7"/>
      <c r="G747" s="7"/>
      <c r="H747" s="7"/>
      <c r="I747" s="7"/>
      <c r="J747" s="7"/>
      <c r="K747" s="7"/>
      <c r="L747" s="7">
        <f>SUM(C747:K747)</f>
        <v>0</v>
      </c>
      <c r="M747" s="7"/>
      <c r="N747" s="7">
        <f t="shared" si="111"/>
        <v>0</v>
      </c>
    </row>
    <row r="748" spans="1:17" ht="15.75" x14ac:dyDescent="0.25">
      <c r="A748" s="2">
        <f t="shared" si="110"/>
        <v>-48</v>
      </c>
      <c r="B748" s="5" t="s">
        <v>356</v>
      </c>
      <c r="C748" s="7"/>
      <c r="D748" s="7"/>
      <c r="E748" s="7"/>
      <c r="F748" s="7">
        <v>45</v>
      </c>
      <c r="G748" s="7"/>
      <c r="H748" s="7">
        <v>30.6</v>
      </c>
      <c r="I748" s="7"/>
      <c r="J748" s="7"/>
      <c r="K748" s="7"/>
      <c r="L748" s="7">
        <f>SUM(C748:K748)</f>
        <v>75.599999999999994</v>
      </c>
      <c r="M748" s="7">
        <f>48+45+30.6</f>
        <v>123.6</v>
      </c>
      <c r="N748" s="7">
        <f t="shared" si="111"/>
        <v>0</v>
      </c>
      <c r="O748" t="s">
        <v>411</v>
      </c>
      <c r="P748" t="s">
        <v>424</v>
      </c>
      <c r="Q748" t="s">
        <v>429</v>
      </c>
    </row>
    <row r="749" spans="1:17" ht="15.75" x14ac:dyDescent="0.25">
      <c r="A749" s="2">
        <f t="shared" si="110"/>
        <v>-20</v>
      </c>
      <c r="B749" s="5" t="s">
        <v>101</v>
      </c>
      <c r="C749" s="7">
        <v>25</v>
      </c>
      <c r="D749" s="7"/>
      <c r="E749" s="7">
        <v>57.2</v>
      </c>
      <c r="F749" s="7"/>
      <c r="G749" s="7"/>
      <c r="H749" s="7">
        <v>201.6</v>
      </c>
      <c r="I749" s="7"/>
      <c r="J749" s="7"/>
      <c r="K749" s="7"/>
      <c r="L749" s="7">
        <f t="shared" ref="L749:L767" si="114">SUM(C749:K749)</f>
        <v>283.8</v>
      </c>
      <c r="M749" s="7">
        <f>20+25</f>
        <v>45</v>
      </c>
      <c r="N749" s="7">
        <f t="shared" si="111"/>
        <v>-258.8</v>
      </c>
      <c r="O749" t="s">
        <v>422</v>
      </c>
      <c r="P749" t="s">
        <v>427</v>
      </c>
    </row>
    <row r="750" spans="1:17" ht="15.75" x14ac:dyDescent="0.25">
      <c r="A750" s="2">
        <f t="shared" si="110"/>
        <v>-9.7999999999999972</v>
      </c>
      <c r="B750" s="5" t="s">
        <v>41</v>
      </c>
      <c r="C750" s="6"/>
      <c r="D750" s="7"/>
      <c r="E750" s="7"/>
      <c r="F750" s="7"/>
      <c r="G750" s="7"/>
      <c r="H750" s="7"/>
      <c r="I750" s="7"/>
      <c r="J750" s="7"/>
      <c r="K750" s="7"/>
      <c r="L750" s="7">
        <f t="shared" si="114"/>
        <v>0</v>
      </c>
      <c r="M750" s="7"/>
      <c r="N750" s="7">
        <f t="shared" si="111"/>
        <v>-9.7999999999999972</v>
      </c>
    </row>
    <row r="751" spans="1:17" ht="15.75" x14ac:dyDescent="0.25">
      <c r="A751" s="2">
        <f t="shared" si="110"/>
        <v>0</v>
      </c>
      <c r="B751" s="5" t="s">
        <v>102</v>
      </c>
      <c r="C751" s="7">
        <v>25</v>
      </c>
      <c r="D751" s="7">
        <f>20+20</f>
        <v>40</v>
      </c>
      <c r="E751" s="7"/>
      <c r="F751" s="7">
        <v>20</v>
      </c>
      <c r="G751" s="7"/>
      <c r="H751" s="7"/>
      <c r="I751" s="7"/>
      <c r="J751" s="7"/>
      <c r="K751" s="7"/>
      <c r="L751" s="7">
        <f t="shared" si="114"/>
        <v>85</v>
      </c>
      <c r="M751" s="7">
        <f>20</f>
        <v>20</v>
      </c>
      <c r="N751" s="7">
        <f t="shared" si="111"/>
        <v>-65</v>
      </c>
      <c r="O751" t="s">
        <v>425</v>
      </c>
    </row>
    <row r="752" spans="1:17" ht="15.75" x14ac:dyDescent="0.25">
      <c r="A752" s="2">
        <f t="shared" si="110"/>
        <v>-112.5</v>
      </c>
      <c r="B752" s="5" t="s">
        <v>45</v>
      </c>
      <c r="C752" s="7">
        <v>15</v>
      </c>
      <c r="D752" s="7"/>
      <c r="E752" s="7"/>
      <c r="F752" s="7"/>
      <c r="G752" s="7"/>
      <c r="H752" s="7"/>
      <c r="I752" s="7">
        <v>62.1</v>
      </c>
      <c r="J752" s="7"/>
      <c r="K752" s="7"/>
      <c r="L752" s="7">
        <f t="shared" si="114"/>
        <v>77.099999999999994</v>
      </c>
      <c r="M752" s="7">
        <f>127.5+62.1</f>
        <v>189.6</v>
      </c>
      <c r="N752" s="7">
        <f t="shared" si="111"/>
        <v>0</v>
      </c>
      <c r="O752" s="29">
        <v>43749</v>
      </c>
      <c r="P752" t="s">
        <v>434</v>
      </c>
    </row>
    <row r="753" spans="1:17" ht="15.75" x14ac:dyDescent="0.25">
      <c r="A753" s="2">
        <f t="shared" si="110"/>
        <v>24.299999999999997</v>
      </c>
      <c r="B753" s="5" t="s">
        <v>46</v>
      </c>
      <c r="C753" s="7"/>
      <c r="D753" s="7"/>
      <c r="E753" s="10"/>
      <c r="F753" s="7">
        <v>17.100000000000001</v>
      </c>
      <c r="G753" s="7">
        <v>25</v>
      </c>
      <c r="H753" s="7">
        <v>10.8</v>
      </c>
      <c r="I753" s="7"/>
      <c r="J753" s="7"/>
      <c r="K753" s="7"/>
      <c r="L753" s="7">
        <f t="shared" si="114"/>
        <v>52.900000000000006</v>
      </c>
      <c r="M753" s="7">
        <v>10.8</v>
      </c>
      <c r="N753" s="7">
        <f t="shared" si="111"/>
        <v>-17.800000000000011</v>
      </c>
      <c r="O753" t="s">
        <v>433</v>
      </c>
    </row>
    <row r="754" spans="1:17" ht="15.75" x14ac:dyDescent="0.25">
      <c r="A754" s="2">
        <f t="shared" si="110"/>
        <v>0</v>
      </c>
      <c r="B754" s="5" t="s">
        <v>79</v>
      </c>
      <c r="C754" s="7">
        <v>15</v>
      </c>
      <c r="D754" s="7">
        <v>25</v>
      </c>
      <c r="E754" s="10"/>
      <c r="F754" s="7"/>
      <c r="G754" s="7"/>
      <c r="H754" s="7"/>
      <c r="I754" s="7"/>
      <c r="J754" s="7"/>
      <c r="K754" s="7"/>
      <c r="L754" s="7">
        <f t="shared" si="114"/>
        <v>40</v>
      </c>
      <c r="M754" s="7"/>
      <c r="N754" s="7">
        <f t="shared" si="111"/>
        <v>-40</v>
      </c>
    </row>
    <row r="755" spans="1:17" ht="15.75" hidden="1" x14ac:dyDescent="0.25">
      <c r="A755" s="2">
        <f t="shared" si="110"/>
        <v>0</v>
      </c>
      <c r="B755" s="5" t="s">
        <v>261</v>
      </c>
      <c r="C755" s="7"/>
      <c r="D755" s="6"/>
      <c r="E755" s="10"/>
      <c r="F755" s="7"/>
      <c r="G755" s="7"/>
      <c r="H755" s="7"/>
      <c r="I755" s="7"/>
      <c r="J755" s="7"/>
      <c r="K755" s="7"/>
      <c r="L755" s="7">
        <f t="shared" si="114"/>
        <v>0</v>
      </c>
      <c r="M755" s="7"/>
      <c r="N755" s="7">
        <f t="shared" si="111"/>
        <v>0</v>
      </c>
    </row>
    <row r="756" spans="1:17" ht="15.75" x14ac:dyDescent="0.25">
      <c r="A756" s="2">
        <f t="shared" si="110"/>
        <v>-1318.0999999999997</v>
      </c>
      <c r="B756" s="5" t="s">
        <v>103</v>
      </c>
      <c r="C756" s="6"/>
      <c r="D756" s="7"/>
      <c r="E756" s="7"/>
      <c r="F756" s="7"/>
      <c r="G756" s="7"/>
      <c r="H756" s="7"/>
      <c r="I756" s="7"/>
      <c r="J756" s="7">
        <v>166.5</v>
      </c>
      <c r="K756" s="7"/>
      <c r="L756" s="7">
        <f t="shared" si="114"/>
        <v>166.5</v>
      </c>
      <c r="M756" s="7">
        <v>300</v>
      </c>
      <c r="N756" s="7">
        <f t="shared" si="111"/>
        <v>-1184.5999999999997</v>
      </c>
      <c r="O756" t="s">
        <v>432</v>
      </c>
    </row>
    <row r="757" spans="1:17" ht="15.75" hidden="1" x14ac:dyDescent="0.25">
      <c r="A757" s="2">
        <f t="shared" si="110"/>
        <v>0</v>
      </c>
      <c r="B757" s="5" t="s">
        <v>211</v>
      </c>
      <c r="C757" s="6"/>
      <c r="D757" s="7"/>
      <c r="E757" s="6"/>
      <c r="F757" s="7"/>
      <c r="G757" s="7"/>
      <c r="H757" s="7"/>
      <c r="I757" s="7"/>
      <c r="J757" s="7"/>
      <c r="K757" s="7"/>
      <c r="L757" s="7">
        <f t="shared" si="114"/>
        <v>0</v>
      </c>
      <c r="M757" s="7"/>
      <c r="N757" s="7">
        <f t="shared" si="111"/>
        <v>0</v>
      </c>
    </row>
    <row r="758" spans="1:17" ht="15.75" hidden="1" x14ac:dyDescent="0.25">
      <c r="A758" s="2">
        <f t="shared" si="110"/>
        <v>0</v>
      </c>
      <c r="B758" s="5" t="s">
        <v>139</v>
      </c>
      <c r="C758" s="7"/>
      <c r="D758" s="7"/>
      <c r="E758" s="6"/>
      <c r="F758" s="7"/>
      <c r="G758" s="7"/>
      <c r="H758" s="7"/>
      <c r="I758" s="7"/>
      <c r="J758" s="7"/>
      <c r="K758" s="7"/>
      <c r="L758" s="7">
        <f t="shared" si="114"/>
        <v>0</v>
      </c>
      <c r="M758" s="7"/>
      <c r="N758" s="7">
        <f t="shared" si="111"/>
        <v>0</v>
      </c>
    </row>
    <row r="759" spans="1:17" ht="15.75" hidden="1" x14ac:dyDescent="0.25">
      <c r="A759" s="2">
        <f t="shared" si="110"/>
        <v>0</v>
      </c>
      <c r="B759" s="5" t="s">
        <v>191</v>
      </c>
      <c r="C759" s="7"/>
      <c r="D759" s="6"/>
      <c r="E759" s="7"/>
      <c r="F759" s="7"/>
      <c r="G759" s="7"/>
      <c r="H759" s="7"/>
      <c r="I759" s="7"/>
      <c r="J759" s="7"/>
      <c r="K759" s="7"/>
      <c r="L759" s="7">
        <f t="shared" si="114"/>
        <v>0</v>
      </c>
      <c r="M759" s="7"/>
      <c r="N759" s="7">
        <f t="shared" si="111"/>
        <v>0</v>
      </c>
    </row>
    <row r="760" spans="1:17" ht="15.75" hidden="1" x14ac:dyDescent="0.25">
      <c r="A760" s="2">
        <f t="shared" si="110"/>
        <v>0</v>
      </c>
      <c r="B760" s="5" t="s">
        <v>91</v>
      </c>
      <c r="C760" s="7"/>
      <c r="D760" s="7"/>
      <c r="E760" s="7"/>
      <c r="F760" s="7"/>
      <c r="G760" s="7"/>
      <c r="H760" s="7"/>
      <c r="I760" s="7"/>
      <c r="J760" s="7"/>
      <c r="K760" s="7"/>
      <c r="L760" s="7">
        <f t="shared" si="114"/>
        <v>0</v>
      </c>
      <c r="M760" s="7"/>
      <c r="N760" s="7">
        <f t="shared" si="111"/>
        <v>0</v>
      </c>
    </row>
    <row r="761" spans="1:17" ht="15.75" x14ac:dyDescent="0.25">
      <c r="A761" s="2">
        <f t="shared" si="110"/>
        <v>-146</v>
      </c>
      <c r="B761" s="5" t="s">
        <v>31</v>
      </c>
      <c r="C761" s="7"/>
      <c r="D761" s="7"/>
      <c r="E761" s="7"/>
      <c r="F761" s="7">
        <v>18</v>
      </c>
      <c r="G761" s="7">
        <v>28.8</v>
      </c>
      <c r="H761" s="7"/>
      <c r="I761" s="7"/>
      <c r="J761" s="7">
        <v>14.4</v>
      </c>
      <c r="K761" s="7"/>
      <c r="L761" s="7">
        <f t="shared" si="114"/>
        <v>61.199999999999996</v>
      </c>
      <c r="M761" s="7">
        <f>18+38</f>
        <v>56</v>
      </c>
      <c r="N761" s="7">
        <f t="shared" si="111"/>
        <v>-151.19999999999999</v>
      </c>
      <c r="O761" t="s">
        <v>413</v>
      </c>
      <c r="P761" t="s">
        <v>435</v>
      </c>
    </row>
    <row r="762" spans="1:17" ht="15.75" hidden="1" x14ac:dyDescent="0.25">
      <c r="A762" s="2">
        <f t="shared" si="110"/>
        <v>0</v>
      </c>
      <c r="B762" s="5" t="s">
        <v>37</v>
      </c>
      <c r="C762" s="7"/>
      <c r="D762" s="7"/>
      <c r="E762" s="7"/>
      <c r="F762" s="7"/>
      <c r="G762" s="7"/>
      <c r="H762" s="7"/>
      <c r="I762" s="7"/>
      <c r="J762" s="7"/>
      <c r="K762" s="7"/>
      <c r="L762" s="7">
        <f t="shared" si="114"/>
        <v>0</v>
      </c>
      <c r="M762" s="7"/>
      <c r="N762" s="7">
        <f t="shared" si="111"/>
        <v>0</v>
      </c>
    </row>
    <row r="763" spans="1:17" ht="15.75" hidden="1" x14ac:dyDescent="0.25">
      <c r="A763" s="2">
        <f t="shared" si="110"/>
        <v>0</v>
      </c>
      <c r="B763" s="5" t="s">
        <v>105</v>
      </c>
      <c r="C763" s="7"/>
      <c r="D763" s="7"/>
      <c r="E763" s="7"/>
      <c r="F763" s="7"/>
      <c r="G763" s="7"/>
      <c r="H763" s="7"/>
      <c r="I763" s="7"/>
      <c r="J763" s="7"/>
      <c r="K763" s="7"/>
      <c r="L763" s="7">
        <f t="shared" si="114"/>
        <v>0</v>
      </c>
      <c r="M763" s="7"/>
      <c r="N763" s="7">
        <f t="shared" si="111"/>
        <v>0</v>
      </c>
    </row>
    <row r="764" spans="1:17" ht="15.75" hidden="1" x14ac:dyDescent="0.25">
      <c r="A764" s="2">
        <f t="shared" si="110"/>
        <v>0</v>
      </c>
      <c r="B764" s="5" t="s">
        <v>54</v>
      </c>
      <c r="C764" s="7"/>
      <c r="D764" s="7"/>
      <c r="E764" s="7"/>
      <c r="F764" s="7"/>
      <c r="G764" s="7"/>
      <c r="H764" s="7"/>
      <c r="I764" s="7"/>
      <c r="J764" s="7"/>
      <c r="K764" s="7"/>
      <c r="L764" s="7">
        <f t="shared" si="114"/>
        <v>0</v>
      </c>
      <c r="M764" s="7"/>
      <c r="N764" s="7">
        <f t="shared" si="111"/>
        <v>0</v>
      </c>
    </row>
    <row r="765" spans="1:17" ht="15.75" hidden="1" x14ac:dyDescent="0.25">
      <c r="A765" s="2">
        <f t="shared" si="110"/>
        <v>0</v>
      </c>
      <c r="B765" s="5" t="s">
        <v>269</v>
      </c>
      <c r="C765" s="7"/>
      <c r="D765" s="7"/>
      <c r="E765" s="7"/>
      <c r="F765" s="7"/>
      <c r="G765" s="7"/>
      <c r="H765" s="7"/>
      <c r="I765" s="7"/>
      <c r="J765" s="7"/>
      <c r="K765" s="7"/>
      <c r="L765" s="7">
        <f t="shared" si="114"/>
        <v>0</v>
      </c>
      <c r="M765" s="7"/>
      <c r="N765" s="7">
        <f t="shared" si="111"/>
        <v>0</v>
      </c>
    </row>
    <row r="766" spans="1:17" ht="15.75" x14ac:dyDescent="0.25">
      <c r="A766" s="2">
        <f t="shared" si="110"/>
        <v>-10.8</v>
      </c>
      <c r="B766" s="5" t="s">
        <v>19</v>
      </c>
      <c r="C766" s="7"/>
      <c r="D766" s="7"/>
      <c r="E766" s="7"/>
      <c r="F766" s="7">
        <v>10.8</v>
      </c>
      <c r="G766" s="7"/>
      <c r="H766" s="7">
        <v>15.3</v>
      </c>
      <c r="I766" s="7"/>
      <c r="J766" s="7"/>
      <c r="K766" s="7"/>
      <c r="L766" s="7">
        <f t="shared" si="114"/>
        <v>26.1</v>
      </c>
      <c r="M766" s="7">
        <f>10.8+10.8+15.3</f>
        <v>36.900000000000006</v>
      </c>
      <c r="N766" s="7">
        <f t="shared" si="111"/>
        <v>0</v>
      </c>
      <c r="O766" t="s">
        <v>414</v>
      </c>
      <c r="P766" t="s">
        <v>426</v>
      </c>
      <c r="Q766" t="s">
        <v>430</v>
      </c>
    </row>
    <row r="767" spans="1:17" ht="15.75" hidden="1" x14ac:dyDescent="0.25">
      <c r="A767" s="2">
        <f t="shared" si="110"/>
        <v>0</v>
      </c>
      <c r="B767" s="5" t="s">
        <v>138</v>
      </c>
      <c r="C767" s="7"/>
      <c r="D767" s="7"/>
      <c r="E767" s="7"/>
      <c r="F767" s="7"/>
      <c r="G767" s="7"/>
      <c r="H767" s="7"/>
      <c r="I767" s="7"/>
      <c r="J767" s="7"/>
      <c r="K767" s="7"/>
      <c r="L767" s="7">
        <f t="shared" si="114"/>
        <v>0</v>
      </c>
      <c r="M767" s="7"/>
      <c r="N767" s="7">
        <f t="shared" si="111"/>
        <v>0</v>
      </c>
    </row>
    <row r="768" spans="1:17" ht="15.75" x14ac:dyDescent="0.25">
      <c r="A768" s="2">
        <f t="shared" si="110"/>
        <v>7</v>
      </c>
      <c r="B768" s="5" t="s">
        <v>136</v>
      </c>
      <c r="C768" s="7"/>
      <c r="D768" s="7"/>
      <c r="E768" s="7"/>
      <c r="F768" s="7"/>
      <c r="G768" s="7"/>
      <c r="H768" s="7"/>
      <c r="I768" s="7"/>
      <c r="J768" s="7"/>
      <c r="K768" s="7"/>
      <c r="L768" s="7">
        <f>SUM(C768:K768)</f>
        <v>0</v>
      </c>
      <c r="M768" s="7"/>
      <c r="N768" s="8">
        <f t="shared" si="111"/>
        <v>7</v>
      </c>
    </row>
    <row r="769" spans="1:15" ht="15.75" hidden="1" x14ac:dyDescent="0.25">
      <c r="A769" s="2">
        <f t="shared" si="110"/>
        <v>0</v>
      </c>
      <c r="B769" s="5" t="s">
        <v>44</v>
      </c>
      <c r="C769" s="7"/>
      <c r="D769" s="7"/>
      <c r="E769" s="7"/>
      <c r="F769" s="7"/>
      <c r="G769" s="7"/>
      <c r="H769" s="7"/>
      <c r="I769" s="7"/>
      <c r="J769" s="7"/>
      <c r="K769" s="7"/>
      <c r="L769" s="7">
        <f t="shared" ref="L769:L779" si="115">SUM(C769:K769)</f>
        <v>0</v>
      </c>
      <c r="M769" s="7"/>
      <c r="N769" s="7">
        <f t="shared" si="111"/>
        <v>0</v>
      </c>
    </row>
    <row r="770" spans="1:15" ht="15.75" hidden="1" x14ac:dyDescent="0.25">
      <c r="A770" s="2">
        <f t="shared" si="110"/>
        <v>0</v>
      </c>
      <c r="B770" s="5" t="s">
        <v>95</v>
      </c>
      <c r="C770" s="6"/>
      <c r="D770" s="7"/>
      <c r="E770" s="6"/>
      <c r="F770" s="7"/>
      <c r="G770" s="7"/>
      <c r="H770" s="7"/>
      <c r="I770" s="7"/>
      <c r="J770" s="7"/>
      <c r="K770" s="7"/>
      <c r="L770" s="7">
        <f t="shared" si="115"/>
        <v>0</v>
      </c>
      <c r="M770" s="7"/>
      <c r="N770" s="7">
        <f t="shared" si="111"/>
        <v>0</v>
      </c>
    </row>
    <row r="771" spans="1:15" ht="15.75" hidden="1" x14ac:dyDescent="0.25">
      <c r="A771" s="2">
        <f t="shared" si="110"/>
        <v>0</v>
      </c>
      <c r="B771" s="5" t="s">
        <v>36</v>
      </c>
      <c r="C771" s="7"/>
      <c r="D771" s="7"/>
      <c r="E771" s="7"/>
      <c r="F771" s="7"/>
      <c r="G771" s="7"/>
      <c r="H771" s="7"/>
      <c r="I771" s="7"/>
      <c r="J771" s="7"/>
      <c r="K771" s="7"/>
      <c r="L771" s="7">
        <f t="shared" si="115"/>
        <v>0</v>
      </c>
      <c r="M771" s="7"/>
      <c r="N771" s="7">
        <f t="shared" si="111"/>
        <v>0</v>
      </c>
    </row>
    <row r="772" spans="1:15" ht="15.75" x14ac:dyDescent="0.25">
      <c r="A772" s="2">
        <f t="shared" si="110"/>
        <v>18</v>
      </c>
      <c r="B772" s="5" t="s">
        <v>319</v>
      </c>
      <c r="C772" s="7"/>
      <c r="D772" s="7"/>
      <c r="E772" s="6"/>
      <c r="F772" s="7">
        <v>18</v>
      </c>
      <c r="G772" s="7"/>
      <c r="H772" s="7"/>
      <c r="I772" s="7"/>
      <c r="J772" s="7"/>
      <c r="K772" s="7"/>
      <c r="L772" s="7">
        <f t="shared" si="115"/>
        <v>18</v>
      </c>
      <c r="M772" s="7"/>
      <c r="N772" s="7">
        <f t="shared" si="111"/>
        <v>0</v>
      </c>
    </row>
    <row r="773" spans="1:15" ht="15.75" hidden="1" x14ac:dyDescent="0.25">
      <c r="A773" s="2">
        <f t="shared" si="110"/>
        <v>0</v>
      </c>
      <c r="B773" s="5" t="s">
        <v>111</v>
      </c>
      <c r="C773" s="6"/>
      <c r="D773" s="7"/>
      <c r="E773" s="6"/>
      <c r="F773" s="7"/>
      <c r="G773" s="7"/>
      <c r="H773" s="7"/>
      <c r="I773" s="7"/>
      <c r="J773" s="7"/>
      <c r="K773" s="7"/>
      <c r="L773" s="7">
        <f t="shared" si="115"/>
        <v>0</v>
      </c>
      <c r="M773" s="7"/>
      <c r="N773" s="7">
        <f t="shared" si="111"/>
        <v>0</v>
      </c>
    </row>
    <row r="774" spans="1:15" ht="15.75" x14ac:dyDescent="0.25">
      <c r="A774" s="2">
        <f t="shared" si="110"/>
        <v>0</v>
      </c>
      <c r="B774" s="5" t="s">
        <v>428</v>
      </c>
      <c r="C774" s="6"/>
      <c r="D774" s="7"/>
      <c r="E774" s="7"/>
      <c r="F774" s="7"/>
      <c r="G774" s="7"/>
      <c r="H774" s="7">
        <v>18.899999999999999</v>
      </c>
      <c r="I774" s="7"/>
      <c r="J774" s="7"/>
      <c r="K774" s="7"/>
      <c r="L774" s="7">
        <f t="shared" si="115"/>
        <v>18.899999999999999</v>
      </c>
      <c r="M774" s="7">
        <v>18.899999999999999</v>
      </c>
      <c r="N774" s="7">
        <f t="shared" si="111"/>
        <v>0</v>
      </c>
      <c r="O774" t="s">
        <v>431</v>
      </c>
    </row>
    <row r="775" spans="1:15" ht="15.75" hidden="1" x14ac:dyDescent="0.25">
      <c r="A775" s="2">
        <f t="shared" si="110"/>
        <v>0</v>
      </c>
      <c r="B775" s="5" t="s">
        <v>113</v>
      </c>
      <c r="C775" s="6"/>
      <c r="D775" s="7"/>
      <c r="E775" s="7"/>
      <c r="F775" s="7"/>
      <c r="G775" s="7"/>
      <c r="H775" s="7"/>
      <c r="I775" s="7"/>
      <c r="J775" s="7"/>
      <c r="K775" s="7"/>
      <c r="L775" s="7">
        <f t="shared" si="115"/>
        <v>0</v>
      </c>
      <c r="M775" s="7"/>
      <c r="N775" s="7">
        <f t="shared" si="111"/>
        <v>0</v>
      </c>
    </row>
    <row r="776" spans="1:15" ht="15.75" hidden="1" x14ac:dyDescent="0.25">
      <c r="A776" s="2">
        <f t="shared" si="110"/>
        <v>0</v>
      </c>
      <c r="B776" s="5" t="s">
        <v>291</v>
      </c>
      <c r="C776" s="6"/>
      <c r="D776" s="7"/>
      <c r="E776" s="7"/>
      <c r="F776" s="7"/>
      <c r="G776" s="7"/>
      <c r="H776" s="7"/>
      <c r="I776" s="7"/>
      <c r="J776" s="7"/>
      <c r="K776" s="7"/>
      <c r="L776" s="7">
        <f t="shared" si="115"/>
        <v>0</v>
      </c>
      <c r="M776" s="7"/>
      <c r="N776" s="7">
        <f t="shared" si="111"/>
        <v>0</v>
      </c>
    </row>
    <row r="777" spans="1:15" ht="15.75" x14ac:dyDescent="0.25">
      <c r="A777" s="2">
        <f t="shared" si="110"/>
        <v>-43.2</v>
      </c>
      <c r="B777" s="5" t="s">
        <v>114</v>
      </c>
      <c r="C777" s="6"/>
      <c r="D777" s="7"/>
      <c r="E777" s="7"/>
      <c r="F777" s="7"/>
      <c r="G777" s="7"/>
      <c r="H777" s="7"/>
      <c r="I777" s="7"/>
      <c r="J777" s="7"/>
      <c r="K777" s="7"/>
      <c r="L777" s="7">
        <f t="shared" si="115"/>
        <v>0</v>
      </c>
      <c r="M777" s="7">
        <v>43.2</v>
      </c>
      <c r="N777" s="7">
        <f t="shared" si="111"/>
        <v>0</v>
      </c>
      <c r="O777" t="s">
        <v>419</v>
      </c>
    </row>
    <row r="778" spans="1:15" ht="15.75" x14ac:dyDescent="0.25">
      <c r="A778" s="2">
        <f t="shared" si="110"/>
        <v>0</v>
      </c>
      <c r="B778" s="5" t="s">
        <v>115</v>
      </c>
      <c r="C778" s="6"/>
      <c r="D778" s="7"/>
      <c r="E778" s="7"/>
      <c r="F778" s="7"/>
      <c r="G778" s="7"/>
      <c r="H778" s="7">
        <v>23.9</v>
      </c>
      <c r="I778" s="7"/>
      <c r="J778" s="7"/>
      <c r="K778" s="7"/>
      <c r="L778" s="7">
        <f t="shared" si="115"/>
        <v>23.9</v>
      </c>
      <c r="M778" s="7"/>
      <c r="N778" s="7">
        <f t="shared" si="111"/>
        <v>-23.9</v>
      </c>
    </row>
    <row r="779" spans="1:15" ht="15.75" x14ac:dyDescent="0.25">
      <c r="A779" s="2">
        <f t="shared" si="110"/>
        <v>-25</v>
      </c>
      <c r="B779" s="5" t="s">
        <v>252</v>
      </c>
      <c r="C779" s="7"/>
      <c r="D779" s="7"/>
      <c r="E779" s="7"/>
      <c r="F779" s="7"/>
      <c r="G779" s="7"/>
      <c r="H779" s="7"/>
      <c r="I779" s="7"/>
      <c r="J779" s="7"/>
      <c r="K779" s="7"/>
      <c r="L779" s="7">
        <f t="shared" si="115"/>
        <v>0</v>
      </c>
      <c r="M779" s="7"/>
      <c r="N779" s="7">
        <f t="shared" si="111"/>
        <v>-25</v>
      </c>
    </row>
    <row r="780" spans="1:15" ht="15.75" x14ac:dyDescent="0.25">
      <c r="A780" s="2">
        <f t="shared" si="110"/>
        <v>150</v>
      </c>
      <c r="B780" s="5" t="s">
        <v>117</v>
      </c>
      <c r="C780" s="7"/>
      <c r="D780" s="7"/>
      <c r="E780" s="7">
        <v>25.2</v>
      </c>
      <c r="F780" s="7"/>
      <c r="G780" s="7"/>
      <c r="H780" s="7"/>
      <c r="I780" s="7"/>
      <c r="J780" s="7"/>
      <c r="K780" s="7"/>
      <c r="L780" s="7">
        <f>SUM(C780:K780)</f>
        <v>25.2</v>
      </c>
      <c r="M780" s="7">
        <v>25.2</v>
      </c>
      <c r="N780" s="7">
        <f t="shared" si="111"/>
        <v>150</v>
      </c>
      <c r="O780" t="s">
        <v>420</v>
      </c>
    </row>
    <row r="781" spans="1:15" ht="15.75" x14ac:dyDescent="0.25">
      <c r="A781" s="2">
        <f t="shared" si="110"/>
        <v>137.69999999999999</v>
      </c>
      <c r="B781" s="5" t="s">
        <v>118</v>
      </c>
      <c r="C781" s="7"/>
      <c r="D781" s="7"/>
      <c r="E781" s="7"/>
      <c r="F781" s="7"/>
      <c r="G781" s="7"/>
      <c r="H781" s="7"/>
      <c r="I781" s="7">
        <v>55.08</v>
      </c>
      <c r="J781" s="7"/>
      <c r="K781" s="7"/>
      <c r="L781" s="7">
        <f t="shared" ref="L781:L785" si="116">SUM(C781:K781)</f>
        <v>55.08</v>
      </c>
      <c r="M781" s="7"/>
      <c r="N781" s="7">
        <f t="shared" si="111"/>
        <v>82.61999999999999</v>
      </c>
    </row>
    <row r="782" spans="1:15" ht="15.75" hidden="1" x14ac:dyDescent="0.25">
      <c r="A782" s="2">
        <f t="shared" ref="A782:A785" si="117">N708</f>
        <v>0</v>
      </c>
      <c r="B782" s="5" t="s">
        <v>233</v>
      </c>
      <c r="C782" s="7"/>
      <c r="D782" s="7"/>
      <c r="E782" s="7"/>
      <c r="F782" s="7"/>
      <c r="G782" s="7"/>
      <c r="H782" s="7"/>
      <c r="I782" s="7"/>
      <c r="J782" s="7"/>
      <c r="K782" s="7"/>
      <c r="L782" s="7">
        <f t="shared" si="116"/>
        <v>0</v>
      </c>
      <c r="M782" s="7"/>
      <c r="N782" s="7">
        <f t="shared" si="111"/>
        <v>0</v>
      </c>
    </row>
    <row r="783" spans="1:15" ht="15.75" x14ac:dyDescent="0.25">
      <c r="A783" s="2">
        <f t="shared" si="117"/>
        <v>-25</v>
      </c>
      <c r="B783" s="5" t="s">
        <v>135</v>
      </c>
      <c r="C783" s="7"/>
      <c r="D783" s="7"/>
      <c r="E783" s="7"/>
      <c r="F783" s="7"/>
      <c r="G783" s="7"/>
      <c r="H783" s="7"/>
      <c r="I783" s="7"/>
      <c r="J783" s="7"/>
      <c r="K783" s="7"/>
      <c r="L783" s="7">
        <f t="shared" si="116"/>
        <v>0</v>
      </c>
      <c r="M783" s="7">
        <v>25</v>
      </c>
      <c r="N783" s="7">
        <f t="shared" si="111"/>
        <v>0</v>
      </c>
      <c r="O783" t="s">
        <v>436</v>
      </c>
    </row>
    <row r="784" spans="1:15" ht="15.75" hidden="1" x14ac:dyDescent="0.25">
      <c r="A784" s="2">
        <f t="shared" si="117"/>
        <v>-5.6843418860808015E-14</v>
      </c>
      <c r="B784" s="5" t="s">
        <v>305</v>
      </c>
      <c r="C784" s="7"/>
      <c r="D784" s="7"/>
      <c r="E784" s="7"/>
      <c r="F784" s="7"/>
      <c r="G784" s="7"/>
      <c r="H784" s="7"/>
      <c r="I784" s="7"/>
      <c r="J784" s="7"/>
      <c r="K784" s="7"/>
      <c r="L784" s="7">
        <f t="shared" si="116"/>
        <v>0</v>
      </c>
      <c r="M784" s="7"/>
      <c r="N784" s="7">
        <f t="shared" si="111"/>
        <v>-5.6843418860808015E-14</v>
      </c>
    </row>
    <row r="785" spans="1:15" ht="15.75" hidden="1" x14ac:dyDescent="0.25">
      <c r="A785" s="2">
        <f t="shared" si="117"/>
        <v>0</v>
      </c>
      <c r="B785" s="5" t="s">
        <v>353</v>
      </c>
      <c r="C785" s="7"/>
      <c r="D785" s="7"/>
      <c r="E785" s="7"/>
      <c r="F785" s="7"/>
      <c r="G785" s="7"/>
      <c r="H785" s="7"/>
      <c r="I785" s="7"/>
      <c r="J785" s="7"/>
      <c r="K785" s="7"/>
      <c r="L785" s="7">
        <f t="shared" si="116"/>
        <v>0</v>
      </c>
      <c r="M785" s="7"/>
      <c r="N785" s="7">
        <f t="shared" si="111"/>
        <v>0</v>
      </c>
    </row>
    <row r="786" spans="1:15" ht="15.75" x14ac:dyDescent="0.25">
      <c r="A786" s="2">
        <f>SUM(A717:A785)</f>
        <v>-2961.77</v>
      </c>
      <c r="B786" s="6" t="s">
        <v>104</v>
      </c>
      <c r="C786" s="7">
        <f t="shared" ref="C786:I786" si="118">SUM(C717:C784)</f>
        <v>266.8</v>
      </c>
      <c r="D786" s="7">
        <f t="shared" si="118"/>
        <v>98.5</v>
      </c>
      <c r="E786" s="7">
        <f t="shared" si="118"/>
        <v>107.4</v>
      </c>
      <c r="F786" s="7">
        <f t="shared" si="118"/>
        <v>202.5</v>
      </c>
      <c r="G786" s="7">
        <f t="shared" si="118"/>
        <v>78.8</v>
      </c>
      <c r="H786" s="7">
        <f t="shared" si="118"/>
        <v>326.09999999999997</v>
      </c>
      <c r="I786" s="7">
        <f t="shared" si="118"/>
        <v>117.18</v>
      </c>
      <c r="J786" s="7">
        <f>SUM(J717:J784)</f>
        <v>369.2</v>
      </c>
      <c r="K786" s="7">
        <f>SUM(K717:K785)</f>
        <v>68</v>
      </c>
      <c r="L786" s="7">
        <f>SUM(L717:L785)</f>
        <v>1634.4800000000002</v>
      </c>
      <c r="M786" s="15">
        <f>SUM(M717:M785)</f>
        <v>1288.3000000000002</v>
      </c>
      <c r="N786" s="7">
        <f>SUM(N717:N785)</f>
        <v>-3307.9499999999994</v>
      </c>
    </row>
    <row r="789" spans="1:15" ht="15.75" x14ac:dyDescent="0.25">
      <c r="A789" s="57" t="s">
        <v>410</v>
      </c>
      <c r="B789" s="57" t="s">
        <v>75</v>
      </c>
      <c r="C789" s="27">
        <v>86</v>
      </c>
      <c r="D789" s="27">
        <v>87</v>
      </c>
      <c r="E789" s="27">
        <v>88</v>
      </c>
      <c r="F789" s="27">
        <v>89</v>
      </c>
      <c r="G789" s="30">
        <v>90</v>
      </c>
      <c r="H789" s="27">
        <v>91</v>
      </c>
      <c r="I789" s="34">
        <v>92</v>
      </c>
      <c r="J789" s="27">
        <v>93</v>
      </c>
      <c r="K789" s="27"/>
      <c r="L789" s="57" t="s">
        <v>68</v>
      </c>
      <c r="M789" s="61" t="s">
        <v>137</v>
      </c>
      <c r="N789" s="57" t="s">
        <v>437</v>
      </c>
    </row>
    <row r="790" spans="1:15" ht="15.75" x14ac:dyDescent="0.25">
      <c r="A790" s="58"/>
      <c r="B790" s="58"/>
      <c r="C790" s="26">
        <v>2</v>
      </c>
      <c r="D790" s="26">
        <v>6</v>
      </c>
      <c r="E790" s="26">
        <v>13</v>
      </c>
      <c r="F790" s="26">
        <v>16</v>
      </c>
      <c r="G790" s="31">
        <v>20</v>
      </c>
      <c r="H790" s="26">
        <v>23</v>
      </c>
      <c r="I790" s="35">
        <v>27</v>
      </c>
      <c r="J790" s="26">
        <v>30</v>
      </c>
      <c r="K790" s="6"/>
      <c r="L790" s="58"/>
      <c r="M790" s="62"/>
      <c r="N790" s="58"/>
    </row>
    <row r="791" spans="1:15" ht="15.75" x14ac:dyDescent="0.25">
      <c r="A791" s="2">
        <f>N717</f>
        <v>0</v>
      </c>
      <c r="B791" s="5" t="s">
        <v>123</v>
      </c>
      <c r="C791" s="6"/>
      <c r="D791" s="6"/>
      <c r="E791" s="6"/>
      <c r="F791" s="6"/>
      <c r="G791" s="32"/>
      <c r="H791" s="6"/>
      <c r="I791" s="36"/>
      <c r="J791" s="6"/>
      <c r="K791" s="6"/>
      <c r="L791" s="7">
        <f>SUM(C791:K791)</f>
        <v>0</v>
      </c>
      <c r="M791" s="7"/>
      <c r="N791" s="7">
        <f>M791+A791-L791</f>
        <v>0</v>
      </c>
    </row>
    <row r="792" spans="1:15" ht="15.75" x14ac:dyDescent="0.25">
      <c r="A792" s="2">
        <f t="shared" ref="A792:A855" si="119">N718</f>
        <v>0</v>
      </c>
      <c r="B792" s="5" t="s">
        <v>125</v>
      </c>
      <c r="C792" s="6"/>
      <c r="D792" s="7"/>
      <c r="E792" s="6"/>
      <c r="F792" s="7">
        <v>17.5</v>
      </c>
      <c r="G792" s="32"/>
      <c r="H792" s="6"/>
      <c r="I792" s="37"/>
      <c r="J792" s="6"/>
      <c r="K792" s="7"/>
      <c r="L792" s="7">
        <f>SUM(C792:K792)</f>
        <v>17.5</v>
      </c>
      <c r="M792" s="7">
        <v>17.5</v>
      </c>
      <c r="N792" s="7">
        <f t="shared" ref="N792:N859" si="120">M792+A792-L792</f>
        <v>0</v>
      </c>
      <c r="O792" t="s">
        <v>458</v>
      </c>
    </row>
    <row r="793" spans="1:15" ht="15.75" x14ac:dyDescent="0.25">
      <c r="A793" s="2">
        <f t="shared" si="119"/>
        <v>-25</v>
      </c>
      <c r="B793" s="5" t="s">
        <v>194</v>
      </c>
      <c r="C793" s="7">
        <v>50</v>
      </c>
      <c r="D793" s="7"/>
      <c r="E793" s="7"/>
      <c r="F793" s="7">
        <v>17.5</v>
      </c>
      <c r="G793" s="33"/>
      <c r="H793" s="7"/>
      <c r="I793" s="37"/>
      <c r="J793" s="15"/>
      <c r="K793" s="7"/>
      <c r="L793" s="7">
        <f>SUM(C793:K793)</f>
        <v>67.5</v>
      </c>
      <c r="M793" s="7">
        <v>25</v>
      </c>
      <c r="N793" s="7">
        <f t="shared" si="120"/>
        <v>-67.5</v>
      </c>
      <c r="O793" t="s">
        <v>448</v>
      </c>
    </row>
    <row r="794" spans="1:15" ht="15.75" x14ac:dyDescent="0.25">
      <c r="A794" s="2">
        <f t="shared" si="119"/>
        <v>-32</v>
      </c>
      <c r="B794" s="5" t="s">
        <v>2</v>
      </c>
      <c r="C794" s="6"/>
      <c r="D794" s="7"/>
      <c r="E794" s="6"/>
      <c r="F794" s="7"/>
      <c r="G794" s="32"/>
      <c r="H794" s="7"/>
      <c r="I794" s="36"/>
      <c r="J794" s="6"/>
      <c r="K794" s="7"/>
      <c r="L794" s="7">
        <f>SUM(C794:K794)</f>
        <v>0</v>
      </c>
      <c r="M794" s="7"/>
      <c r="N794" s="7">
        <f t="shared" si="120"/>
        <v>-32</v>
      </c>
    </row>
    <row r="795" spans="1:15" ht="15.75" x14ac:dyDescent="0.25">
      <c r="A795" s="2">
        <f t="shared" si="119"/>
        <v>-25.8</v>
      </c>
      <c r="B795" s="5" t="s">
        <v>129</v>
      </c>
      <c r="C795" s="6"/>
      <c r="D795" s="7"/>
      <c r="E795" s="6"/>
      <c r="F795" s="6"/>
      <c r="G795" s="32"/>
      <c r="H795" s="7"/>
      <c r="I795" s="36">
        <v>91.8</v>
      </c>
      <c r="J795" s="6"/>
      <c r="K795" s="7"/>
      <c r="L795" s="7">
        <f t="shared" ref="L795:L815" si="121">SUM(C795:K795)</f>
        <v>91.8</v>
      </c>
      <c r="M795" s="7"/>
      <c r="N795" s="7">
        <f t="shared" si="120"/>
        <v>-117.6</v>
      </c>
    </row>
    <row r="796" spans="1:15" ht="15.75" x14ac:dyDescent="0.25">
      <c r="A796" s="2">
        <f t="shared" si="119"/>
        <v>0</v>
      </c>
      <c r="B796" s="5" t="s">
        <v>195</v>
      </c>
      <c r="C796" s="6"/>
      <c r="D796" s="7"/>
      <c r="E796" s="6"/>
      <c r="F796" s="6"/>
      <c r="G796" s="32"/>
      <c r="H796" s="7"/>
      <c r="I796" s="37"/>
      <c r="J796" s="6"/>
      <c r="K796" s="7"/>
      <c r="L796" s="7">
        <f t="shared" si="121"/>
        <v>0</v>
      </c>
      <c r="M796" s="7"/>
      <c r="N796" s="7">
        <f t="shared" si="120"/>
        <v>0</v>
      </c>
    </row>
    <row r="797" spans="1:15" ht="15.75" x14ac:dyDescent="0.25">
      <c r="A797" s="2">
        <f t="shared" si="119"/>
        <v>0</v>
      </c>
      <c r="B797" s="5" t="s">
        <v>128</v>
      </c>
      <c r="C797" s="7"/>
      <c r="D797" s="7"/>
      <c r="E797" s="7"/>
      <c r="F797" s="7">
        <v>20</v>
      </c>
      <c r="G797" s="33">
        <v>25</v>
      </c>
      <c r="H797" s="7"/>
      <c r="I797" s="37"/>
      <c r="J797" s="7">
        <v>25</v>
      </c>
      <c r="K797" s="7"/>
      <c r="L797" s="7">
        <f t="shared" si="121"/>
        <v>70</v>
      </c>
      <c r="M797" s="7">
        <v>45</v>
      </c>
      <c r="N797" s="7">
        <f t="shared" si="120"/>
        <v>-25</v>
      </c>
      <c r="O797" t="s">
        <v>460</v>
      </c>
    </row>
    <row r="798" spans="1:15" ht="15.75" x14ac:dyDescent="0.25">
      <c r="A798" s="2">
        <f t="shared" si="119"/>
        <v>-285.2</v>
      </c>
      <c r="B798" s="5" t="s">
        <v>127</v>
      </c>
      <c r="C798" s="6"/>
      <c r="D798" s="7"/>
      <c r="E798" s="7"/>
      <c r="F798" s="7"/>
      <c r="G798" s="32"/>
      <c r="H798" s="7"/>
      <c r="I798" s="36"/>
      <c r="J798" s="7"/>
      <c r="K798" s="7"/>
      <c r="L798" s="7">
        <f t="shared" si="121"/>
        <v>0</v>
      </c>
      <c r="M798" s="7"/>
      <c r="N798" s="7">
        <f t="shared" si="120"/>
        <v>-285.2</v>
      </c>
    </row>
    <row r="799" spans="1:15" ht="15.75" x14ac:dyDescent="0.25">
      <c r="A799" s="2">
        <f t="shared" si="119"/>
        <v>0</v>
      </c>
      <c r="B799" s="5" t="s">
        <v>126</v>
      </c>
      <c r="C799" s="6"/>
      <c r="D799" s="7"/>
      <c r="E799" s="6"/>
      <c r="F799" s="6"/>
      <c r="G799" s="32"/>
      <c r="H799" s="7"/>
      <c r="I799" s="36"/>
      <c r="J799" s="6"/>
      <c r="K799" s="7"/>
      <c r="L799" s="7">
        <f t="shared" si="121"/>
        <v>0</v>
      </c>
      <c r="M799" s="7"/>
      <c r="N799" s="7">
        <f t="shared" si="120"/>
        <v>0</v>
      </c>
    </row>
    <row r="800" spans="1:15" ht="15.75" x14ac:dyDescent="0.25">
      <c r="A800" s="2">
        <f t="shared" si="119"/>
        <v>-528.20000000000005</v>
      </c>
      <c r="B800" s="5" t="s">
        <v>130</v>
      </c>
      <c r="C800" s="7"/>
      <c r="D800" s="7"/>
      <c r="E800" s="7"/>
      <c r="F800" s="7"/>
      <c r="G800" s="33"/>
      <c r="H800" s="7"/>
      <c r="I800" s="36"/>
      <c r="J800" s="7"/>
      <c r="K800" s="7"/>
      <c r="L800" s="7">
        <f t="shared" si="121"/>
        <v>0</v>
      </c>
      <c r="M800" s="7"/>
      <c r="N800" s="7">
        <f t="shared" si="120"/>
        <v>-528.20000000000005</v>
      </c>
    </row>
    <row r="801" spans="1:18" ht="15.75" x14ac:dyDescent="0.25">
      <c r="A801" s="2">
        <f t="shared" si="119"/>
        <v>-89.13</v>
      </c>
      <c r="B801" s="5" t="s">
        <v>131</v>
      </c>
      <c r="C801" s="7"/>
      <c r="D801" s="7"/>
      <c r="E801" s="7"/>
      <c r="F801" s="7"/>
      <c r="G801" s="33"/>
      <c r="H801" s="7"/>
      <c r="I801" s="37"/>
      <c r="J801" s="6"/>
      <c r="K801" s="7"/>
      <c r="L801" s="7">
        <f t="shared" si="121"/>
        <v>0</v>
      </c>
      <c r="M801" s="7"/>
      <c r="N801" s="7">
        <f t="shared" si="120"/>
        <v>-89.13</v>
      </c>
    </row>
    <row r="802" spans="1:18" ht="15.75" x14ac:dyDescent="0.25">
      <c r="A802" s="2">
        <f t="shared" si="119"/>
        <v>-25</v>
      </c>
      <c r="B802" s="5" t="s">
        <v>132</v>
      </c>
      <c r="C802" s="7"/>
      <c r="D802" s="7"/>
      <c r="E802" s="7"/>
      <c r="F802" s="7">
        <v>20</v>
      </c>
      <c r="G802" s="33"/>
      <c r="H802" s="7"/>
      <c r="I802" s="37"/>
      <c r="J802" s="7"/>
      <c r="K802" s="7"/>
      <c r="L802" s="7">
        <f t="shared" si="121"/>
        <v>20</v>
      </c>
      <c r="M802" s="7">
        <v>45</v>
      </c>
      <c r="N802" s="7">
        <f t="shared" si="120"/>
        <v>0</v>
      </c>
      <c r="O802" t="s">
        <v>449</v>
      </c>
    </row>
    <row r="803" spans="1:18" ht="15.75" x14ac:dyDescent="0.25">
      <c r="A803" s="2">
        <f t="shared" si="119"/>
        <v>0</v>
      </c>
      <c r="B803" s="5" t="s">
        <v>9</v>
      </c>
      <c r="C803" s="6"/>
      <c r="D803" s="7"/>
      <c r="E803" s="7"/>
      <c r="F803" s="7">
        <v>20</v>
      </c>
      <c r="G803" s="33"/>
      <c r="H803" s="6"/>
      <c r="I803" s="37"/>
      <c r="J803" s="6"/>
      <c r="K803" s="7"/>
      <c r="L803" s="7">
        <f t="shared" si="121"/>
        <v>20</v>
      </c>
      <c r="M803" s="7"/>
      <c r="N803" s="7">
        <f t="shared" si="120"/>
        <v>-20</v>
      </c>
    </row>
    <row r="804" spans="1:18" ht="15.75" x14ac:dyDescent="0.25">
      <c r="A804" s="2">
        <f t="shared" si="119"/>
        <v>-50</v>
      </c>
      <c r="B804" s="5" t="s">
        <v>133</v>
      </c>
      <c r="C804" s="7"/>
      <c r="D804" s="7"/>
      <c r="E804" s="7"/>
      <c r="F804" s="7">
        <v>20</v>
      </c>
      <c r="G804" s="33"/>
      <c r="H804" s="7"/>
      <c r="I804" s="37"/>
      <c r="J804" s="7"/>
      <c r="K804" s="7"/>
      <c r="L804" s="7">
        <f t="shared" si="121"/>
        <v>20</v>
      </c>
      <c r="M804" s="8"/>
      <c r="N804" s="7">
        <f t="shared" si="120"/>
        <v>-70</v>
      </c>
    </row>
    <row r="805" spans="1:18" ht="15.75" x14ac:dyDescent="0.25">
      <c r="A805" s="2">
        <f t="shared" si="119"/>
        <v>-80.5</v>
      </c>
      <c r="B805" s="5" t="s">
        <v>96</v>
      </c>
      <c r="C805" s="7"/>
      <c r="D805" s="7"/>
      <c r="E805" s="7">
        <v>25</v>
      </c>
      <c r="F805" s="7"/>
      <c r="G805" s="33"/>
      <c r="H805" s="7"/>
      <c r="I805" s="37">
        <v>45</v>
      </c>
      <c r="J805" s="7"/>
      <c r="K805" s="7"/>
      <c r="L805" s="7">
        <f t="shared" si="121"/>
        <v>70</v>
      </c>
      <c r="M805" s="7">
        <v>105.5</v>
      </c>
      <c r="N805" s="7">
        <f t="shared" si="120"/>
        <v>-45</v>
      </c>
      <c r="O805" t="s">
        <v>443</v>
      </c>
    </row>
    <row r="806" spans="1:18" ht="15.75" x14ac:dyDescent="0.25">
      <c r="A806" s="2">
        <f t="shared" si="119"/>
        <v>-25</v>
      </c>
      <c r="B806" s="5" t="s">
        <v>134</v>
      </c>
      <c r="C806" s="7"/>
      <c r="D806" s="7"/>
      <c r="E806" s="6"/>
      <c r="F806" s="7">
        <v>20</v>
      </c>
      <c r="G806" s="32"/>
      <c r="H806" s="7"/>
      <c r="I806" s="37"/>
      <c r="J806" s="7"/>
      <c r="K806" s="7"/>
      <c r="L806" s="7">
        <f t="shared" si="121"/>
        <v>20</v>
      </c>
      <c r="M806" s="7">
        <v>25</v>
      </c>
      <c r="N806" s="7">
        <f t="shared" si="120"/>
        <v>-20</v>
      </c>
      <c r="O806" t="s">
        <v>442</v>
      </c>
    </row>
    <row r="807" spans="1:18" ht="15.75" x14ac:dyDescent="0.25">
      <c r="A807" s="2">
        <f t="shared" si="119"/>
        <v>26.100000000000009</v>
      </c>
      <c r="B807" s="5" t="s">
        <v>99</v>
      </c>
      <c r="C807" s="7"/>
      <c r="D807" s="7"/>
      <c r="E807" s="6"/>
      <c r="F807" s="7"/>
      <c r="G807" s="32">
        <v>15.12</v>
      </c>
      <c r="H807" s="7"/>
      <c r="I807" s="36"/>
      <c r="J807" s="6"/>
      <c r="K807" s="7"/>
      <c r="L807" s="7">
        <f t="shared" si="121"/>
        <v>15.12</v>
      </c>
      <c r="M807" s="7">
        <v>15.12</v>
      </c>
      <c r="N807" s="7">
        <f t="shared" si="120"/>
        <v>26.100000000000009</v>
      </c>
      <c r="O807" t="s">
        <v>457</v>
      </c>
    </row>
    <row r="808" spans="1:18" ht="15.75" x14ac:dyDescent="0.25">
      <c r="A808" s="2">
        <f t="shared" si="119"/>
        <v>0</v>
      </c>
      <c r="B808" s="5" t="s">
        <v>323</v>
      </c>
      <c r="C808" s="7"/>
      <c r="D808" s="7"/>
      <c r="E808" s="6"/>
      <c r="F808" s="6"/>
      <c r="G808" s="32"/>
      <c r="H808" s="6"/>
      <c r="I808" s="36"/>
      <c r="J808" s="6"/>
      <c r="K808" s="7"/>
      <c r="L808" s="7">
        <f t="shared" si="121"/>
        <v>0</v>
      </c>
      <c r="M808" s="7"/>
      <c r="N808" s="7">
        <f t="shared" si="120"/>
        <v>0</v>
      </c>
    </row>
    <row r="809" spans="1:18" ht="15.75" x14ac:dyDescent="0.25">
      <c r="A809" s="2">
        <f t="shared" si="119"/>
        <v>0</v>
      </c>
      <c r="B809" s="5" t="s">
        <v>21</v>
      </c>
      <c r="C809" s="7"/>
      <c r="D809" s="7"/>
      <c r="E809" s="7"/>
      <c r="F809" s="7"/>
      <c r="G809" s="33"/>
      <c r="H809" s="7"/>
      <c r="I809" s="37"/>
      <c r="J809" s="7"/>
      <c r="K809" s="7"/>
      <c r="L809" s="7">
        <f t="shared" si="121"/>
        <v>0</v>
      </c>
      <c r="M809" s="7"/>
      <c r="N809" s="7">
        <f t="shared" si="120"/>
        <v>0</v>
      </c>
    </row>
    <row r="810" spans="1:18" ht="15.75" x14ac:dyDescent="0.25">
      <c r="A810" s="2">
        <f t="shared" si="119"/>
        <v>0</v>
      </c>
      <c r="B810" s="5" t="s">
        <v>47</v>
      </c>
      <c r="C810" s="7"/>
      <c r="D810" s="7"/>
      <c r="E810" s="7"/>
      <c r="F810" s="7">
        <v>21.6</v>
      </c>
      <c r="G810" s="33"/>
      <c r="H810" s="7"/>
      <c r="I810" s="37"/>
      <c r="J810" s="7"/>
      <c r="K810" s="7"/>
      <c r="L810" s="7">
        <f t="shared" si="121"/>
        <v>21.6</v>
      </c>
      <c r="M810" s="7">
        <v>21.6</v>
      </c>
      <c r="N810" s="7">
        <f t="shared" si="120"/>
        <v>0</v>
      </c>
      <c r="O810" t="s">
        <v>446</v>
      </c>
    </row>
    <row r="811" spans="1:18" ht="15.75" x14ac:dyDescent="0.25">
      <c r="A811" s="2">
        <f t="shared" si="119"/>
        <v>-368.39</v>
      </c>
      <c r="B811" s="5" t="s">
        <v>53</v>
      </c>
      <c r="C811" s="7"/>
      <c r="D811" s="7"/>
      <c r="E811" s="7"/>
      <c r="F811" s="7"/>
      <c r="G811" s="33"/>
      <c r="H811" s="7"/>
      <c r="I811" s="37"/>
      <c r="J811" s="7"/>
      <c r="K811" s="7"/>
      <c r="L811" s="7">
        <f t="shared" si="121"/>
        <v>0</v>
      </c>
      <c r="M811" s="7"/>
      <c r="N811" s="7">
        <f t="shared" si="120"/>
        <v>-368.39</v>
      </c>
    </row>
    <row r="812" spans="1:18" ht="15.75" x14ac:dyDescent="0.25">
      <c r="A812" s="2">
        <f t="shared" si="119"/>
        <v>-25</v>
      </c>
      <c r="B812" s="5" t="s">
        <v>33</v>
      </c>
      <c r="C812" s="7">
        <v>119.7</v>
      </c>
      <c r="D812" s="7"/>
      <c r="E812" s="7">
        <v>25</v>
      </c>
      <c r="F812" s="7"/>
      <c r="G812" s="33"/>
      <c r="H812" s="7"/>
      <c r="I812" s="37"/>
      <c r="J812" s="7"/>
      <c r="K812" s="7"/>
      <c r="L812" s="7">
        <f t="shared" si="121"/>
        <v>144.69999999999999</v>
      </c>
      <c r="M812" s="7">
        <f>25+119.7+25</f>
        <v>169.7</v>
      </c>
      <c r="N812" s="7">
        <f t="shared" si="120"/>
        <v>0</v>
      </c>
      <c r="O812" t="s">
        <v>441</v>
      </c>
      <c r="P812" t="s">
        <v>445</v>
      </c>
      <c r="R812" t="s">
        <v>452</v>
      </c>
    </row>
    <row r="813" spans="1:18" ht="15.75" x14ac:dyDescent="0.25">
      <c r="A813" s="2">
        <f t="shared" si="119"/>
        <v>0</v>
      </c>
      <c r="B813" s="5" t="s">
        <v>87</v>
      </c>
      <c r="C813" s="7"/>
      <c r="D813" s="7"/>
      <c r="E813" s="7"/>
      <c r="F813" s="7"/>
      <c r="G813" s="33"/>
      <c r="H813" s="7"/>
      <c r="I813" s="37"/>
      <c r="J813" s="7"/>
      <c r="K813" s="7"/>
      <c r="L813" s="7">
        <f t="shared" si="121"/>
        <v>0</v>
      </c>
      <c r="M813" s="7"/>
      <c r="N813" s="7">
        <f t="shared" si="120"/>
        <v>0</v>
      </c>
    </row>
    <row r="814" spans="1:18" ht="15.75" x14ac:dyDescent="0.25">
      <c r="A814" s="2">
        <f t="shared" si="119"/>
        <v>-22.5</v>
      </c>
      <c r="B814" s="5" t="s">
        <v>23</v>
      </c>
      <c r="C814" s="7"/>
      <c r="D814" s="7"/>
      <c r="E814" s="7"/>
      <c r="F814" s="7"/>
      <c r="G814" s="33"/>
      <c r="H814" s="7"/>
      <c r="I814" s="37"/>
      <c r="J814" s="7"/>
      <c r="K814" s="7"/>
      <c r="L814" s="7">
        <f t="shared" si="121"/>
        <v>0</v>
      </c>
      <c r="M814" s="7">
        <f>22.5+25</f>
        <v>47.5</v>
      </c>
      <c r="N814" s="7">
        <f t="shared" si="120"/>
        <v>25</v>
      </c>
      <c r="O814" t="s">
        <v>438</v>
      </c>
      <c r="P814" t="s">
        <v>455</v>
      </c>
    </row>
    <row r="815" spans="1:18" ht="15.75" x14ac:dyDescent="0.25">
      <c r="A815" s="2">
        <f t="shared" si="119"/>
        <v>-25</v>
      </c>
      <c r="B815" s="5" t="s">
        <v>24</v>
      </c>
      <c r="C815" s="7"/>
      <c r="D815" s="7"/>
      <c r="E815" s="7">
        <v>25</v>
      </c>
      <c r="F815" s="7"/>
      <c r="G815" s="33"/>
      <c r="H815" s="7"/>
      <c r="I815" s="37"/>
      <c r="J815" s="7"/>
      <c r="K815" s="7"/>
      <c r="L815" s="7">
        <f t="shared" si="121"/>
        <v>25</v>
      </c>
      <c r="M815" s="7"/>
      <c r="N815" s="7">
        <f t="shared" si="120"/>
        <v>-50</v>
      </c>
    </row>
    <row r="816" spans="1:18" ht="15.75" x14ac:dyDescent="0.25">
      <c r="A816" s="2">
        <f t="shared" si="119"/>
        <v>0</v>
      </c>
      <c r="B816" s="5" t="s">
        <v>51</v>
      </c>
      <c r="C816" s="7"/>
      <c r="D816" s="7"/>
      <c r="E816" s="7"/>
      <c r="F816" s="7"/>
      <c r="G816" s="33"/>
      <c r="H816" s="7"/>
      <c r="I816" s="37"/>
      <c r="J816" s="7"/>
      <c r="K816" s="7"/>
      <c r="L816" s="7">
        <f>SUM(C816:K816)</f>
        <v>0</v>
      </c>
      <c r="M816" s="7"/>
      <c r="N816" s="7">
        <f t="shared" si="120"/>
        <v>0</v>
      </c>
    </row>
    <row r="817" spans="1:17" ht="15.75" x14ac:dyDescent="0.25">
      <c r="A817" s="2">
        <f t="shared" si="119"/>
        <v>0</v>
      </c>
      <c r="B817" s="5" t="s">
        <v>25</v>
      </c>
      <c r="C817" s="7"/>
      <c r="D817" s="7"/>
      <c r="E817" s="7"/>
      <c r="F817" s="7"/>
      <c r="G817" s="33"/>
      <c r="H817" s="7"/>
      <c r="I817" s="37"/>
      <c r="J817" s="7"/>
      <c r="K817" s="7"/>
      <c r="L817" s="7">
        <f>SUM(C817:K817)</f>
        <v>0</v>
      </c>
      <c r="M817" s="7"/>
      <c r="N817" s="7">
        <f t="shared" si="120"/>
        <v>0</v>
      </c>
    </row>
    <row r="818" spans="1:17" ht="15.75" x14ac:dyDescent="0.25">
      <c r="A818" s="2">
        <f t="shared" si="119"/>
        <v>-116.89999999999999</v>
      </c>
      <c r="B818" s="5" t="s">
        <v>27</v>
      </c>
      <c r="C818" s="7"/>
      <c r="D818" s="7"/>
      <c r="E818" s="7"/>
      <c r="F818" s="7"/>
      <c r="G818" s="33"/>
      <c r="H818" s="7"/>
      <c r="I818" s="37"/>
      <c r="J818" s="7">
        <v>28.8</v>
      </c>
      <c r="K818" s="7"/>
      <c r="L818" s="7">
        <f>SUM(C818:K818)</f>
        <v>28.8</v>
      </c>
      <c r="M818" s="7">
        <v>90</v>
      </c>
      <c r="N818" s="7">
        <f t="shared" si="120"/>
        <v>-55.699999999999989</v>
      </c>
      <c r="O818" t="s">
        <v>447</v>
      </c>
    </row>
    <row r="819" spans="1:17" ht="15.75" x14ac:dyDescent="0.25">
      <c r="A819" s="2">
        <f t="shared" si="119"/>
        <v>-124.5</v>
      </c>
      <c r="B819" s="5" t="s">
        <v>29</v>
      </c>
      <c r="C819" s="7"/>
      <c r="D819" s="7"/>
      <c r="E819" s="7"/>
      <c r="F819" s="7"/>
      <c r="G819" s="33"/>
      <c r="H819" s="7"/>
      <c r="I819" s="37"/>
      <c r="J819" s="7"/>
      <c r="K819" s="7"/>
      <c r="L819" s="7">
        <f t="shared" ref="L819:L820" si="122">SUM(C819:K819)</f>
        <v>0</v>
      </c>
      <c r="M819" s="7"/>
      <c r="N819" s="7">
        <f t="shared" si="120"/>
        <v>-124.5</v>
      </c>
    </row>
    <row r="820" spans="1:17" ht="15.75" x14ac:dyDescent="0.25">
      <c r="A820" s="2">
        <f t="shared" si="119"/>
        <v>50.549999999999955</v>
      </c>
      <c r="B820" s="5" t="s">
        <v>30</v>
      </c>
      <c r="C820" s="7"/>
      <c r="D820" s="7"/>
      <c r="E820" s="7"/>
      <c r="F820" s="7"/>
      <c r="G820" s="33"/>
      <c r="H820" s="7"/>
      <c r="I820" s="37"/>
      <c r="J820" s="7">
        <v>76.5</v>
      </c>
      <c r="K820" s="7"/>
      <c r="L820" s="7">
        <f t="shared" si="122"/>
        <v>76.5</v>
      </c>
      <c r="M820" s="7"/>
      <c r="N820" s="7">
        <f t="shared" si="120"/>
        <v>-25.950000000000045</v>
      </c>
    </row>
    <row r="821" spans="1:17" ht="15.75" x14ac:dyDescent="0.25">
      <c r="A821" s="2">
        <f t="shared" si="119"/>
        <v>0</v>
      </c>
      <c r="B821" s="5" t="s">
        <v>56</v>
      </c>
      <c r="C821" s="7"/>
      <c r="D821" s="7"/>
      <c r="E821" s="7"/>
      <c r="F821" s="7"/>
      <c r="G821" s="33"/>
      <c r="H821" s="7"/>
      <c r="I821" s="37"/>
      <c r="J821" s="7"/>
      <c r="K821" s="7"/>
      <c r="L821" s="7">
        <f>SUM(C821:K821)</f>
        <v>0</v>
      </c>
      <c r="M821" s="7"/>
      <c r="N821" s="7">
        <f t="shared" si="120"/>
        <v>0</v>
      </c>
    </row>
    <row r="822" spans="1:17" ht="15.75" x14ac:dyDescent="0.25">
      <c r="A822" s="2">
        <f t="shared" si="119"/>
        <v>0</v>
      </c>
      <c r="B822" s="5" t="s">
        <v>356</v>
      </c>
      <c r="C822" s="7">
        <v>33.659999999999997</v>
      </c>
      <c r="D822" s="7"/>
      <c r="E822" s="7"/>
      <c r="F822" s="7"/>
      <c r="G822" s="33"/>
      <c r="H822" s="7"/>
      <c r="I822" s="37"/>
      <c r="J822" s="7"/>
      <c r="K822" s="7"/>
      <c r="L822" s="7">
        <f>SUM(C822:K822)</f>
        <v>33.659999999999997</v>
      </c>
      <c r="M822" s="7">
        <v>33.659999999999997</v>
      </c>
      <c r="N822" s="7">
        <f t="shared" si="120"/>
        <v>0</v>
      </c>
      <c r="O822" t="s">
        <v>440</v>
      </c>
    </row>
    <row r="823" spans="1:17" ht="15.75" x14ac:dyDescent="0.25">
      <c r="A823" s="2">
        <f t="shared" si="119"/>
        <v>-258.8</v>
      </c>
      <c r="B823" s="5" t="s">
        <v>101</v>
      </c>
      <c r="C823" s="7"/>
      <c r="D823" s="7"/>
      <c r="E823" s="7"/>
      <c r="F823" s="7"/>
      <c r="G823" s="33"/>
      <c r="H823" s="7">
        <v>18</v>
      </c>
      <c r="I823" s="37">
        <v>25</v>
      </c>
      <c r="J823" s="7"/>
      <c r="K823" s="7"/>
      <c r="L823" s="7">
        <f t="shared" ref="L823:L841" si="123">SUM(C823:K823)</f>
        <v>43</v>
      </c>
      <c r="M823" s="7"/>
      <c r="N823" s="7">
        <f t="shared" si="120"/>
        <v>-301.8</v>
      </c>
    </row>
    <row r="824" spans="1:17" ht="15.75" x14ac:dyDescent="0.25">
      <c r="A824" s="2">
        <f t="shared" si="119"/>
        <v>-9.7999999999999972</v>
      </c>
      <c r="B824" s="5" t="s">
        <v>41</v>
      </c>
      <c r="C824" s="6"/>
      <c r="D824" s="7"/>
      <c r="E824" s="7"/>
      <c r="F824" s="7"/>
      <c r="G824" s="33"/>
      <c r="H824" s="7"/>
      <c r="I824" s="37"/>
      <c r="J824" s="7"/>
      <c r="K824" s="7"/>
      <c r="L824" s="7">
        <f t="shared" si="123"/>
        <v>0</v>
      </c>
      <c r="M824" s="7"/>
      <c r="N824" s="7">
        <f t="shared" si="120"/>
        <v>-9.7999999999999972</v>
      </c>
    </row>
    <row r="825" spans="1:17" ht="15.75" x14ac:dyDescent="0.25">
      <c r="A825" s="2">
        <f t="shared" si="119"/>
        <v>-65</v>
      </c>
      <c r="B825" s="5" t="s">
        <v>102</v>
      </c>
      <c r="C825" s="7"/>
      <c r="D825" s="7"/>
      <c r="E825" s="7"/>
      <c r="F825" s="7"/>
      <c r="G825" s="33"/>
      <c r="H825" s="7"/>
      <c r="I825" s="37"/>
      <c r="J825" s="7"/>
      <c r="K825" s="7"/>
      <c r="L825" s="7">
        <f t="shared" si="123"/>
        <v>0</v>
      </c>
      <c r="M825" s="7">
        <f>20</f>
        <v>20</v>
      </c>
      <c r="N825" s="7">
        <f t="shared" si="120"/>
        <v>-45</v>
      </c>
      <c r="O825" t="s">
        <v>453</v>
      </c>
    </row>
    <row r="826" spans="1:17" ht="15.75" x14ac:dyDescent="0.25">
      <c r="A826" s="2">
        <f t="shared" si="119"/>
        <v>0</v>
      </c>
      <c r="B826" s="5" t="s">
        <v>45</v>
      </c>
      <c r="C826" s="7"/>
      <c r="D826" s="7"/>
      <c r="E826" s="7"/>
      <c r="F826" s="7"/>
      <c r="G826" s="33"/>
      <c r="H826" s="7"/>
      <c r="I826" s="37"/>
      <c r="J826" s="7"/>
      <c r="K826" s="7"/>
      <c r="L826" s="7">
        <f t="shared" si="123"/>
        <v>0</v>
      </c>
      <c r="M826" s="7"/>
      <c r="N826" s="7">
        <f t="shared" si="120"/>
        <v>0</v>
      </c>
    </row>
    <row r="827" spans="1:17" ht="15.75" x14ac:dyDescent="0.25">
      <c r="A827" s="2">
        <f t="shared" si="119"/>
        <v>-17.800000000000011</v>
      </c>
      <c r="B827" s="5" t="s">
        <v>46</v>
      </c>
      <c r="C827" s="7"/>
      <c r="D827" s="7"/>
      <c r="E827" s="10"/>
      <c r="F827" s="7"/>
      <c r="G827" s="33"/>
      <c r="H827" s="7">
        <v>25</v>
      </c>
      <c r="I827" s="37"/>
      <c r="J827" s="7"/>
      <c r="K827" s="7"/>
      <c r="L827" s="7">
        <f t="shared" si="123"/>
        <v>25</v>
      </c>
      <c r="M827" s="7"/>
      <c r="N827" s="7">
        <f t="shared" si="120"/>
        <v>-42.800000000000011</v>
      </c>
    </row>
    <row r="828" spans="1:17" ht="15.75" x14ac:dyDescent="0.25">
      <c r="A828" s="2">
        <f t="shared" si="119"/>
        <v>-40</v>
      </c>
      <c r="B828" s="5" t="s">
        <v>79</v>
      </c>
      <c r="C828" s="7"/>
      <c r="D828" s="7"/>
      <c r="E828" s="10"/>
      <c r="F828" s="7"/>
      <c r="G828" s="33"/>
      <c r="H828" s="7"/>
      <c r="I828" s="37"/>
      <c r="J828" s="7">
        <v>26.6</v>
      </c>
      <c r="K828" s="7"/>
      <c r="L828" s="7">
        <f t="shared" si="123"/>
        <v>26.6</v>
      </c>
      <c r="M828" s="7"/>
      <c r="N828" s="7">
        <f t="shared" si="120"/>
        <v>-66.599999999999994</v>
      </c>
    </row>
    <row r="829" spans="1:17" ht="15.75" x14ac:dyDescent="0.25">
      <c r="A829" s="2">
        <f t="shared" si="119"/>
        <v>0</v>
      </c>
      <c r="B829" s="5" t="s">
        <v>261</v>
      </c>
      <c r="C829" s="7"/>
      <c r="D829" s="6"/>
      <c r="E829" s="10"/>
      <c r="F829" s="7"/>
      <c r="G829" s="33"/>
      <c r="H829" s="7"/>
      <c r="I829" s="37">
        <v>25</v>
      </c>
      <c r="J829" s="7"/>
      <c r="K829" s="7"/>
      <c r="L829" s="7">
        <f t="shared" si="123"/>
        <v>25</v>
      </c>
      <c r="M829" s="7"/>
      <c r="N829" s="7">
        <f t="shared" si="120"/>
        <v>-25</v>
      </c>
    </row>
    <row r="830" spans="1:17" ht="15.75" x14ac:dyDescent="0.25">
      <c r="A830" s="2">
        <f t="shared" si="119"/>
        <v>-1184.5999999999997</v>
      </c>
      <c r="B830" s="5" t="s">
        <v>103</v>
      </c>
      <c r="C830" s="6"/>
      <c r="D830" s="7"/>
      <c r="E830" s="7"/>
      <c r="F830" s="7">
        <v>114.3</v>
      </c>
      <c r="G830" s="33"/>
      <c r="H830" s="7"/>
      <c r="I830" s="37"/>
      <c r="J830" s="7"/>
      <c r="K830" s="7"/>
      <c r="L830" s="7">
        <f t="shared" si="123"/>
        <v>114.3</v>
      </c>
      <c r="M830" s="7">
        <f>200+200+200</f>
        <v>600</v>
      </c>
      <c r="N830" s="7">
        <f t="shared" si="120"/>
        <v>-698.89999999999964</v>
      </c>
      <c r="O830" t="s">
        <v>439</v>
      </c>
      <c r="P830" t="s">
        <v>444</v>
      </c>
      <c r="Q830" t="s">
        <v>451</v>
      </c>
    </row>
    <row r="831" spans="1:17" ht="15.75" x14ac:dyDescent="0.25">
      <c r="A831" s="2">
        <f t="shared" si="119"/>
        <v>0</v>
      </c>
      <c r="B831" s="5" t="s">
        <v>211</v>
      </c>
      <c r="C831" s="6"/>
      <c r="D831" s="7"/>
      <c r="E831" s="6"/>
      <c r="F831" s="7"/>
      <c r="G831" s="33"/>
      <c r="H831" s="7"/>
      <c r="I831" s="37"/>
      <c r="J831" s="7"/>
      <c r="K831" s="7"/>
      <c r="L831" s="7">
        <f t="shared" si="123"/>
        <v>0</v>
      </c>
      <c r="M831" s="7"/>
      <c r="N831" s="7">
        <f t="shared" si="120"/>
        <v>0</v>
      </c>
    </row>
    <row r="832" spans="1:17" ht="15.75" x14ac:dyDescent="0.25">
      <c r="A832" s="2">
        <f t="shared" si="119"/>
        <v>0</v>
      </c>
      <c r="B832" s="5" t="s">
        <v>139</v>
      </c>
      <c r="C832" s="7">
        <v>25</v>
      </c>
      <c r="D832" s="7"/>
      <c r="E832" s="6"/>
      <c r="F832" s="7"/>
      <c r="G832" s="33"/>
      <c r="H832" s="7"/>
      <c r="I832" s="37"/>
      <c r="J832" s="7"/>
      <c r="K832" s="7"/>
      <c r="L832" s="7">
        <f t="shared" si="123"/>
        <v>25</v>
      </c>
      <c r="M832" s="7">
        <v>25</v>
      </c>
      <c r="N832" s="7">
        <f t="shared" si="120"/>
        <v>0</v>
      </c>
      <c r="O832" t="s">
        <v>450</v>
      </c>
    </row>
    <row r="833" spans="1:15" ht="15.75" x14ac:dyDescent="0.25">
      <c r="A833" s="2">
        <f t="shared" si="119"/>
        <v>0</v>
      </c>
      <c r="B833" s="5" t="s">
        <v>191</v>
      </c>
      <c r="C833" s="7"/>
      <c r="D833" s="6"/>
      <c r="E833" s="7"/>
      <c r="F833" s="7"/>
      <c r="G833" s="33"/>
      <c r="H833" s="7"/>
      <c r="I833" s="37"/>
      <c r="J833" s="7"/>
      <c r="K833" s="7"/>
      <c r="L833" s="7">
        <f t="shared" si="123"/>
        <v>0</v>
      </c>
      <c r="M833" s="7"/>
      <c r="N833" s="7">
        <f t="shared" si="120"/>
        <v>0</v>
      </c>
    </row>
    <row r="834" spans="1:15" ht="15.75" x14ac:dyDescent="0.25">
      <c r="A834" s="2">
        <f t="shared" si="119"/>
        <v>0</v>
      </c>
      <c r="B834" s="5" t="s">
        <v>91</v>
      </c>
      <c r="C834" s="7"/>
      <c r="D834" s="7"/>
      <c r="E834" s="7"/>
      <c r="F834" s="7"/>
      <c r="G834" s="33"/>
      <c r="H834" s="7"/>
      <c r="I834" s="37"/>
      <c r="J834" s="7"/>
      <c r="K834" s="7"/>
      <c r="L834" s="7">
        <f t="shared" si="123"/>
        <v>0</v>
      </c>
      <c r="M834" s="7"/>
      <c r="N834" s="7">
        <f t="shared" si="120"/>
        <v>0</v>
      </c>
    </row>
    <row r="835" spans="1:15" ht="15.75" x14ac:dyDescent="0.25">
      <c r="A835" s="2">
        <f t="shared" si="119"/>
        <v>-151.19999999999999</v>
      </c>
      <c r="B835" s="5" t="s">
        <v>31</v>
      </c>
      <c r="C835" s="7">
        <v>106</v>
      </c>
      <c r="D835" s="7"/>
      <c r="E835" s="7"/>
      <c r="F835" s="7">
        <v>20</v>
      </c>
      <c r="G835" s="33"/>
      <c r="H835" s="7"/>
      <c r="I835" s="37"/>
      <c r="J835" s="7"/>
      <c r="K835" s="7"/>
      <c r="L835" s="7">
        <f t="shared" si="123"/>
        <v>126</v>
      </c>
      <c r="M835" s="7">
        <v>282.2</v>
      </c>
      <c r="N835" s="7">
        <f t="shared" si="120"/>
        <v>5</v>
      </c>
      <c r="O835" t="s">
        <v>456</v>
      </c>
    </row>
    <row r="836" spans="1:15" ht="15.75" x14ac:dyDescent="0.25">
      <c r="A836" s="2">
        <f t="shared" si="119"/>
        <v>0</v>
      </c>
      <c r="B836" s="5" t="s">
        <v>37</v>
      </c>
      <c r="C836" s="7"/>
      <c r="D836" s="7"/>
      <c r="E836" s="7"/>
      <c r="F836" s="7"/>
      <c r="G836" s="33"/>
      <c r="H836" s="7"/>
      <c r="I836" s="37"/>
      <c r="J836" s="7"/>
      <c r="K836" s="7"/>
      <c r="L836" s="7">
        <f t="shared" si="123"/>
        <v>0</v>
      </c>
      <c r="M836" s="7"/>
      <c r="N836" s="7">
        <f t="shared" si="120"/>
        <v>0</v>
      </c>
    </row>
    <row r="837" spans="1:15" ht="15.75" x14ac:dyDescent="0.25">
      <c r="A837" s="2">
        <f t="shared" si="119"/>
        <v>0</v>
      </c>
      <c r="B837" s="5" t="s">
        <v>105</v>
      </c>
      <c r="C837" s="7"/>
      <c r="D837" s="7"/>
      <c r="E837" s="7"/>
      <c r="F837" s="7"/>
      <c r="G837" s="33"/>
      <c r="H837" s="7"/>
      <c r="I837" s="37"/>
      <c r="J837" s="7"/>
      <c r="K837" s="7"/>
      <c r="L837" s="7">
        <f t="shared" si="123"/>
        <v>0</v>
      </c>
      <c r="M837" s="7"/>
      <c r="N837" s="7">
        <f t="shared" si="120"/>
        <v>0</v>
      </c>
    </row>
    <row r="838" spans="1:15" ht="15.75" x14ac:dyDescent="0.25">
      <c r="A838" s="2">
        <f t="shared" si="119"/>
        <v>0</v>
      </c>
      <c r="B838" s="5" t="s">
        <v>54</v>
      </c>
      <c r="C838" s="7"/>
      <c r="D838" s="7"/>
      <c r="E838" s="7"/>
      <c r="F838" s="7"/>
      <c r="G838" s="33"/>
      <c r="H838" s="7"/>
      <c r="I838" s="37"/>
      <c r="J838" s="7"/>
      <c r="K838" s="7"/>
      <c r="L838" s="7">
        <f t="shared" si="123"/>
        <v>0</v>
      </c>
      <c r="M838" s="7"/>
      <c r="N838" s="7">
        <f t="shared" si="120"/>
        <v>0</v>
      </c>
    </row>
    <row r="839" spans="1:15" ht="15.75" x14ac:dyDescent="0.25">
      <c r="A839" s="2">
        <f t="shared" si="119"/>
        <v>0</v>
      </c>
      <c r="B839" s="5" t="s">
        <v>269</v>
      </c>
      <c r="C839" s="7"/>
      <c r="D839" s="7"/>
      <c r="E839" s="7"/>
      <c r="F839" s="7"/>
      <c r="G839" s="33"/>
      <c r="H839" s="7"/>
      <c r="I839" s="37"/>
      <c r="J839" s="7"/>
      <c r="K839" s="7"/>
      <c r="L839" s="7">
        <f t="shared" si="123"/>
        <v>0</v>
      </c>
      <c r="M839" s="7"/>
      <c r="N839" s="7">
        <f t="shared" si="120"/>
        <v>0</v>
      </c>
    </row>
    <row r="840" spans="1:15" ht="15.75" x14ac:dyDescent="0.25">
      <c r="A840" s="2">
        <f t="shared" si="119"/>
        <v>0</v>
      </c>
      <c r="B840" s="5" t="s">
        <v>19</v>
      </c>
      <c r="C840" s="7"/>
      <c r="D840" s="7"/>
      <c r="E840" s="7"/>
      <c r="F840" s="7"/>
      <c r="G840" s="33"/>
      <c r="H840" s="7"/>
      <c r="I840" s="37"/>
      <c r="J840" s="7"/>
      <c r="K840" s="7"/>
      <c r="L840" s="7">
        <f t="shared" si="123"/>
        <v>0</v>
      </c>
      <c r="M840" s="7"/>
      <c r="N840" s="7">
        <f t="shared" si="120"/>
        <v>0</v>
      </c>
    </row>
    <row r="841" spans="1:15" ht="15.75" x14ac:dyDescent="0.25">
      <c r="A841" s="2">
        <f t="shared" si="119"/>
        <v>0</v>
      </c>
      <c r="B841" s="5" t="s">
        <v>138</v>
      </c>
      <c r="C841" s="7"/>
      <c r="D841" s="7"/>
      <c r="E841" s="7"/>
      <c r="F841" s="7"/>
      <c r="G841" s="33"/>
      <c r="H841" s="7"/>
      <c r="I841" s="37">
        <v>25</v>
      </c>
      <c r="J841" s="7"/>
      <c r="K841" s="7"/>
      <c r="L841" s="7">
        <f t="shared" si="123"/>
        <v>25</v>
      </c>
      <c r="M841" s="7"/>
      <c r="N841" s="7">
        <f t="shared" si="120"/>
        <v>-25</v>
      </c>
    </row>
    <row r="842" spans="1:15" ht="15.75" x14ac:dyDescent="0.25">
      <c r="A842" s="2">
        <f t="shared" si="119"/>
        <v>7</v>
      </c>
      <c r="B842" s="5" t="s">
        <v>136</v>
      </c>
      <c r="C842" s="7"/>
      <c r="D842" s="7"/>
      <c r="E842" s="7"/>
      <c r="F842" s="7"/>
      <c r="G842" s="33"/>
      <c r="H842" s="7"/>
      <c r="I842" s="37"/>
      <c r="J842" s="7"/>
      <c r="K842" s="7"/>
      <c r="L842" s="7">
        <f>SUM(C842:K842)</f>
        <v>0</v>
      </c>
      <c r="M842" s="7"/>
      <c r="N842" s="8">
        <f t="shared" si="120"/>
        <v>7</v>
      </c>
    </row>
    <row r="843" spans="1:15" ht="15.75" x14ac:dyDescent="0.25">
      <c r="A843" s="2">
        <f t="shared" si="119"/>
        <v>0</v>
      </c>
      <c r="B843" s="5" t="s">
        <v>44</v>
      </c>
      <c r="C843" s="7"/>
      <c r="D843" s="7"/>
      <c r="E843" s="7"/>
      <c r="F843" s="7"/>
      <c r="G843" s="33"/>
      <c r="H843" s="7"/>
      <c r="I843" s="37"/>
      <c r="J843" s="7"/>
      <c r="K843" s="7"/>
      <c r="L843" s="7">
        <f t="shared" ref="L843:L853" si="124">SUM(C843:K843)</f>
        <v>0</v>
      </c>
      <c r="M843" s="7"/>
      <c r="N843" s="7">
        <f t="shared" si="120"/>
        <v>0</v>
      </c>
    </row>
    <row r="844" spans="1:15" ht="15.75" x14ac:dyDescent="0.25">
      <c r="A844" s="2">
        <f t="shared" si="119"/>
        <v>0</v>
      </c>
      <c r="B844" s="5" t="s">
        <v>95</v>
      </c>
      <c r="C844" s="6"/>
      <c r="D844" s="7"/>
      <c r="E844" s="6"/>
      <c r="F844" s="7"/>
      <c r="G844" s="33"/>
      <c r="H844" s="7"/>
      <c r="I844" s="37"/>
      <c r="J844" s="7"/>
      <c r="K844" s="7"/>
      <c r="L844" s="7">
        <f t="shared" si="124"/>
        <v>0</v>
      </c>
      <c r="M844" s="7"/>
      <c r="N844" s="7">
        <f t="shared" si="120"/>
        <v>0</v>
      </c>
    </row>
    <row r="845" spans="1:15" ht="15.75" x14ac:dyDescent="0.25">
      <c r="A845" s="2">
        <f t="shared" si="119"/>
        <v>0</v>
      </c>
      <c r="B845" s="5" t="s">
        <v>36</v>
      </c>
      <c r="C845" s="7"/>
      <c r="D845" s="7"/>
      <c r="E845" s="7"/>
      <c r="F845" s="7"/>
      <c r="G845" s="33"/>
      <c r="H845" s="7"/>
      <c r="I845" s="37"/>
      <c r="J845" s="7"/>
      <c r="K845" s="7"/>
      <c r="L845" s="7">
        <f t="shared" si="124"/>
        <v>0</v>
      </c>
      <c r="M845" s="7"/>
      <c r="N845" s="7">
        <f t="shared" si="120"/>
        <v>0</v>
      </c>
    </row>
    <row r="846" spans="1:15" ht="15.75" x14ac:dyDescent="0.25">
      <c r="A846" s="2">
        <f t="shared" si="119"/>
        <v>0</v>
      </c>
      <c r="B846" s="5" t="s">
        <v>319</v>
      </c>
      <c r="C846" s="7"/>
      <c r="D846" s="7"/>
      <c r="E846" s="6"/>
      <c r="F846" s="7"/>
      <c r="G846" s="33"/>
      <c r="H846" s="7"/>
      <c r="I846" s="37"/>
      <c r="J846" s="7"/>
      <c r="K846" s="7"/>
      <c r="L846" s="7">
        <f t="shared" si="124"/>
        <v>0</v>
      </c>
      <c r="M846" s="7"/>
      <c r="N846" s="7">
        <f t="shared" si="120"/>
        <v>0</v>
      </c>
    </row>
    <row r="847" spans="1:15" ht="15.75" x14ac:dyDescent="0.25">
      <c r="A847" s="2">
        <f t="shared" si="119"/>
        <v>0</v>
      </c>
      <c r="B847" s="5" t="s">
        <v>111</v>
      </c>
      <c r="C847" s="6"/>
      <c r="D847" s="7"/>
      <c r="E847" s="6"/>
      <c r="F847" s="7"/>
      <c r="G847" s="33"/>
      <c r="H847" s="7"/>
      <c r="I847" s="37"/>
      <c r="J847" s="7"/>
      <c r="K847" s="7"/>
      <c r="L847" s="7">
        <f t="shared" si="124"/>
        <v>0</v>
      </c>
      <c r="M847" s="7"/>
      <c r="N847" s="7">
        <f t="shared" si="120"/>
        <v>0</v>
      </c>
    </row>
    <row r="848" spans="1:15" ht="15.75" x14ac:dyDescent="0.25">
      <c r="A848" s="2">
        <f t="shared" si="119"/>
        <v>0</v>
      </c>
      <c r="B848" s="5" t="s">
        <v>428</v>
      </c>
      <c r="C848" s="6"/>
      <c r="D848" s="7"/>
      <c r="E848" s="7"/>
      <c r="F848" s="7"/>
      <c r="G848" s="33"/>
      <c r="H848" s="7"/>
      <c r="I848" s="37"/>
      <c r="J848" s="7"/>
      <c r="K848" s="7"/>
      <c r="L848" s="7">
        <f t="shared" si="124"/>
        <v>0</v>
      </c>
      <c r="M848" s="7"/>
      <c r="N848" s="7">
        <f t="shared" si="120"/>
        <v>0</v>
      </c>
    </row>
    <row r="849" spans="1:15" ht="15.75" x14ac:dyDescent="0.25">
      <c r="A849" s="2">
        <f t="shared" si="119"/>
        <v>0</v>
      </c>
      <c r="B849" s="5" t="s">
        <v>113</v>
      </c>
      <c r="C849" s="6"/>
      <c r="D849" s="7"/>
      <c r="E849" s="7"/>
      <c r="F849" s="7"/>
      <c r="G849" s="33"/>
      <c r="H849" s="7"/>
      <c r="I849" s="37"/>
      <c r="J849" s="7"/>
      <c r="K849" s="7"/>
      <c r="L849" s="7">
        <f t="shared" si="124"/>
        <v>0</v>
      </c>
      <c r="M849" s="7"/>
      <c r="N849" s="7">
        <f t="shared" si="120"/>
        <v>0</v>
      </c>
    </row>
    <row r="850" spans="1:15" ht="15.75" x14ac:dyDescent="0.25">
      <c r="A850" s="2">
        <f t="shared" si="119"/>
        <v>0</v>
      </c>
      <c r="B850" s="5" t="s">
        <v>454</v>
      </c>
      <c r="C850" s="6"/>
      <c r="D850" s="7"/>
      <c r="E850" s="7"/>
      <c r="F850" s="7"/>
      <c r="G850" s="33"/>
      <c r="H850" s="7">
        <v>25</v>
      </c>
      <c r="I850" s="37"/>
      <c r="J850" s="7"/>
      <c r="K850" s="7"/>
      <c r="L850" s="7">
        <f t="shared" si="124"/>
        <v>25</v>
      </c>
      <c r="M850" s="7"/>
      <c r="N850" s="7">
        <f t="shared" si="120"/>
        <v>-25</v>
      </c>
    </row>
    <row r="851" spans="1:15" ht="15.75" x14ac:dyDescent="0.25">
      <c r="A851" s="2">
        <f t="shared" si="119"/>
        <v>0</v>
      </c>
      <c r="B851" s="5" t="s">
        <v>114</v>
      </c>
      <c r="C851" s="6"/>
      <c r="D851" s="7"/>
      <c r="E851" s="7"/>
      <c r="F851" s="7"/>
      <c r="G851" s="33"/>
      <c r="H851" s="7"/>
      <c r="I851" s="37"/>
      <c r="J851" s="7"/>
      <c r="K851" s="7"/>
      <c r="L851" s="7">
        <f t="shared" si="124"/>
        <v>0</v>
      </c>
      <c r="M851" s="7"/>
      <c r="N851" s="7">
        <f t="shared" si="120"/>
        <v>0</v>
      </c>
    </row>
    <row r="852" spans="1:15" ht="15.75" x14ac:dyDescent="0.25">
      <c r="A852" s="2">
        <f t="shared" si="119"/>
        <v>-23.9</v>
      </c>
      <c r="B852" s="5" t="s">
        <v>115</v>
      </c>
      <c r="C852" s="6"/>
      <c r="D852" s="7"/>
      <c r="E852" s="7"/>
      <c r="F852" s="7"/>
      <c r="G852" s="33"/>
      <c r="H852" s="7"/>
      <c r="I852" s="37"/>
      <c r="J852" s="7">
        <v>25.7</v>
      </c>
      <c r="K852" s="7"/>
      <c r="L852" s="7">
        <f t="shared" si="124"/>
        <v>25.7</v>
      </c>
      <c r="M852" s="7">
        <v>23.9</v>
      </c>
      <c r="N852" s="7">
        <f t="shared" si="120"/>
        <v>-25.7</v>
      </c>
      <c r="O852" t="s">
        <v>459</v>
      </c>
    </row>
    <row r="853" spans="1:15" ht="15.75" x14ac:dyDescent="0.25">
      <c r="A853" s="2">
        <f t="shared" si="119"/>
        <v>-25</v>
      </c>
      <c r="B853" s="5" t="s">
        <v>252</v>
      </c>
      <c r="C853" s="7"/>
      <c r="D853" s="7"/>
      <c r="E853" s="7"/>
      <c r="F853" s="7"/>
      <c r="G853" s="33"/>
      <c r="H853" s="7"/>
      <c r="I853" s="37"/>
      <c r="J853" s="7"/>
      <c r="K853" s="7"/>
      <c r="L853" s="7">
        <f t="shared" si="124"/>
        <v>0</v>
      </c>
      <c r="M853" s="7"/>
      <c r="N853" s="7">
        <f t="shared" si="120"/>
        <v>-25</v>
      </c>
    </row>
    <row r="854" spans="1:15" ht="15.75" x14ac:dyDescent="0.25">
      <c r="A854" s="2">
        <f t="shared" si="119"/>
        <v>150</v>
      </c>
      <c r="B854" s="5" t="s">
        <v>117</v>
      </c>
      <c r="C854" s="7"/>
      <c r="D854" s="7"/>
      <c r="E854" s="7"/>
      <c r="F854" s="7"/>
      <c r="G854" s="33"/>
      <c r="H854" s="7"/>
      <c r="I854" s="37"/>
      <c r="J854" s="7"/>
      <c r="K854" s="7"/>
      <c r="L854" s="7">
        <f>SUM(C854:K854)</f>
        <v>0</v>
      </c>
      <c r="M854" s="7"/>
      <c r="N854" s="7">
        <f t="shared" si="120"/>
        <v>150</v>
      </c>
    </row>
    <row r="855" spans="1:15" ht="15.75" x14ac:dyDescent="0.25">
      <c r="A855" s="2">
        <f t="shared" si="119"/>
        <v>82.61999999999999</v>
      </c>
      <c r="B855" s="5" t="s">
        <v>118</v>
      </c>
      <c r="C855" s="7"/>
      <c r="D855" s="7"/>
      <c r="E855" s="7"/>
      <c r="F855" s="7"/>
      <c r="G855" s="33"/>
      <c r="H855" s="7"/>
      <c r="I855" s="37"/>
      <c r="J855" s="7">
        <v>82.62</v>
      </c>
      <c r="K855" s="7"/>
      <c r="L855" s="7">
        <f t="shared" ref="L855:L859" si="125">SUM(C855:K855)</f>
        <v>82.62</v>
      </c>
      <c r="M855" s="7"/>
      <c r="N855" s="7">
        <f t="shared" si="120"/>
        <v>0</v>
      </c>
    </row>
    <row r="856" spans="1:15" ht="15.75" x14ac:dyDescent="0.25">
      <c r="A856" s="2">
        <f t="shared" ref="A856:A859" si="126">N782</f>
        <v>0</v>
      </c>
      <c r="B856" s="5" t="s">
        <v>233</v>
      </c>
      <c r="C856" s="7"/>
      <c r="D856" s="7"/>
      <c r="E856" s="7"/>
      <c r="F856" s="7"/>
      <c r="G856" s="33"/>
      <c r="H856" s="7"/>
      <c r="I856" s="37"/>
      <c r="J856" s="7"/>
      <c r="K856" s="7"/>
      <c r="L856" s="7">
        <f t="shared" si="125"/>
        <v>0</v>
      </c>
      <c r="M856" s="7"/>
      <c r="N856" s="7">
        <f t="shared" si="120"/>
        <v>0</v>
      </c>
    </row>
    <row r="857" spans="1:15" ht="15.75" x14ac:dyDescent="0.25">
      <c r="A857" s="2">
        <f t="shared" si="126"/>
        <v>0</v>
      </c>
      <c r="B857" s="5" t="s">
        <v>135</v>
      </c>
      <c r="C857" s="7"/>
      <c r="D857" s="7">
        <v>25</v>
      </c>
      <c r="E857" s="7"/>
      <c r="F857" s="7"/>
      <c r="G857" s="33"/>
      <c r="H857" s="7"/>
      <c r="I857" s="37"/>
      <c r="J857" s="7"/>
      <c r="K857" s="7"/>
      <c r="L857" s="7">
        <f t="shared" si="125"/>
        <v>25</v>
      </c>
      <c r="M857" s="7"/>
      <c r="N857" s="7">
        <f t="shared" si="120"/>
        <v>-25</v>
      </c>
    </row>
    <row r="858" spans="1:15" ht="15.75" x14ac:dyDescent="0.25">
      <c r="A858" s="2">
        <f t="shared" si="126"/>
        <v>-5.6843418860808015E-14</v>
      </c>
      <c r="B858" s="5" t="s">
        <v>305</v>
      </c>
      <c r="C858" s="7"/>
      <c r="D858" s="7"/>
      <c r="E858" s="7"/>
      <c r="F858" s="7"/>
      <c r="G858" s="33"/>
      <c r="H858" s="7"/>
      <c r="I858" s="37"/>
      <c r="J858" s="7"/>
      <c r="K858" s="7"/>
      <c r="L858" s="7">
        <f t="shared" si="125"/>
        <v>0</v>
      </c>
      <c r="M858" s="7"/>
      <c r="N858" s="7">
        <f t="shared" si="120"/>
        <v>-5.6843418860808015E-14</v>
      </c>
    </row>
    <row r="859" spans="1:15" ht="15.75" x14ac:dyDescent="0.25">
      <c r="A859" s="2">
        <f t="shared" si="126"/>
        <v>0</v>
      </c>
      <c r="B859" s="5" t="s">
        <v>353</v>
      </c>
      <c r="C859" s="7"/>
      <c r="D859" s="7"/>
      <c r="E859" s="7"/>
      <c r="F859" s="7"/>
      <c r="G859" s="33"/>
      <c r="H859" s="7"/>
      <c r="I859" s="37"/>
      <c r="J859" s="7"/>
      <c r="K859" s="7"/>
      <c r="L859" s="7">
        <f t="shared" si="125"/>
        <v>0</v>
      </c>
      <c r="M859" s="7"/>
      <c r="N859" s="7">
        <f t="shared" si="120"/>
        <v>0</v>
      </c>
    </row>
    <row r="860" spans="1:15" ht="15.75" x14ac:dyDescent="0.25">
      <c r="A860" s="2">
        <f>SUM(A791:A859)</f>
        <v>-3307.9499999999994</v>
      </c>
      <c r="B860" s="6" t="s">
        <v>104</v>
      </c>
      <c r="C860" s="7">
        <f t="shared" ref="C860:I860" si="127">SUM(C791:C858)</f>
        <v>334.36</v>
      </c>
      <c r="D860" s="7">
        <f t="shared" si="127"/>
        <v>25</v>
      </c>
      <c r="E860" s="7">
        <f t="shared" si="127"/>
        <v>75</v>
      </c>
      <c r="F860" s="7">
        <f t="shared" si="127"/>
        <v>290.89999999999998</v>
      </c>
      <c r="G860" s="33">
        <f t="shared" si="127"/>
        <v>40.119999999999997</v>
      </c>
      <c r="H860" s="7">
        <f t="shared" si="127"/>
        <v>68</v>
      </c>
      <c r="I860" s="37">
        <f t="shared" si="127"/>
        <v>211.8</v>
      </c>
      <c r="J860" s="7">
        <f>SUM(J791:J858)</f>
        <v>265.22000000000003</v>
      </c>
      <c r="K860" s="7">
        <f>SUM(K791:K859)</f>
        <v>0</v>
      </c>
      <c r="L860" s="7">
        <f>SUM(L791:L859)</f>
        <v>1310.4000000000001</v>
      </c>
      <c r="M860" s="15">
        <f>SUM(M791:M859)</f>
        <v>1591.68</v>
      </c>
      <c r="N860" s="7">
        <f>SUM(N791:N859)</f>
        <v>-3026.67</v>
      </c>
    </row>
    <row r="864" spans="1:15" ht="15.75" x14ac:dyDescent="0.25">
      <c r="B864" s="66" t="s">
        <v>461</v>
      </c>
      <c r="C864" s="67"/>
      <c r="D864" s="67"/>
      <c r="E864" s="67"/>
      <c r="F864" s="67"/>
      <c r="G864" s="67"/>
      <c r="H864" s="67"/>
      <c r="I864" s="67"/>
      <c r="J864" s="67"/>
      <c r="K864" s="39"/>
      <c r="L864" s="57" t="s">
        <v>68</v>
      </c>
      <c r="M864" s="61" t="s">
        <v>137</v>
      </c>
      <c r="N864" s="57" t="s">
        <v>437</v>
      </c>
    </row>
    <row r="865" spans="2:14" ht="15.75" x14ac:dyDescent="0.25">
      <c r="B865" s="5"/>
      <c r="C865" s="68" t="s">
        <v>463</v>
      </c>
      <c r="D865" s="69"/>
      <c r="E865" s="7"/>
      <c r="F865" s="7"/>
      <c r="G865" s="33"/>
      <c r="H865" s="7"/>
      <c r="I865" s="37"/>
      <c r="J865" s="7"/>
      <c r="K865" s="7"/>
      <c r="L865" s="58"/>
      <c r="M865" s="62"/>
      <c r="N865" s="58"/>
    </row>
    <row r="866" spans="2:14" ht="15.75" x14ac:dyDescent="0.25">
      <c r="B866" s="5" t="s">
        <v>462</v>
      </c>
      <c r="C866" s="38">
        <v>27</v>
      </c>
      <c r="D866" s="38">
        <v>28</v>
      </c>
      <c r="E866" s="7"/>
      <c r="F866" s="7"/>
      <c r="G866" s="33"/>
      <c r="H866" s="7"/>
      <c r="I866" s="37"/>
      <c r="J866" s="7"/>
      <c r="K866" s="7"/>
      <c r="L866" s="7">
        <v>8.57</v>
      </c>
      <c r="M866" s="7"/>
      <c r="N866" s="7">
        <f t="shared" ref="N866:N867" si="128">M866+A866-L866</f>
        <v>-8.57</v>
      </c>
    </row>
    <row r="867" spans="2:14" ht="15.75" x14ac:dyDescent="0.25">
      <c r="B867" s="5"/>
      <c r="C867" s="7"/>
      <c r="D867" s="7"/>
      <c r="E867" s="7"/>
      <c r="F867" s="7"/>
      <c r="G867" s="33"/>
      <c r="H867" s="7"/>
      <c r="I867" s="37"/>
      <c r="J867" s="7"/>
      <c r="K867" s="7"/>
      <c r="L867" s="7">
        <f>SUM(L866)</f>
        <v>8.57</v>
      </c>
      <c r="M867" s="7">
        <f>SUM(M866)</f>
        <v>0</v>
      </c>
      <c r="N867" s="7">
        <f t="shared" si="128"/>
        <v>-8.57</v>
      </c>
    </row>
  </sheetData>
  <mergeCells count="65">
    <mergeCell ref="C865:D865"/>
    <mergeCell ref="B864:J864"/>
    <mergeCell ref="L864:L865"/>
    <mergeCell ref="M864:M865"/>
    <mergeCell ref="N864:N865"/>
    <mergeCell ref="A789:A790"/>
    <mergeCell ref="B789:B790"/>
    <mergeCell ref="L789:L790"/>
    <mergeCell ref="M789:M790"/>
    <mergeCell ref="N789:N790"/>
    <mergeCell ref="A641:A642"/>
    <mergeCell ref="B641:B642"/>
    <mergeCell ref="L641:L642"/>
    <mergeCell ref="M641:M642"/>
    <mergeCell ref="N641:N642"/>
    <mergeCell ref="A420:A421"/>
    <mergeCell ref="B420:B421"/>
    <mergeCell ref="L420:L421"/>
    <mergeCell ref="M420:M421"/>
    <mergeCell ref="N420:N421"/>
    <mergeCell ref="A347:A348"/>
    <mergeCell ref="B347:B348"/>
    <mergeCell ref="L347:L348"/>
    <mergeCell ref="M347:M348"/>
    <mergeCell ref="N347:N348"/>
    <mergeCell ref="A276:A277"/>
    <mergeCell ref="B276:B277"/>
    <mergeCell ref="L276:L277"/>
    <mergeCell ref="M276:M277"/>
    <mergeCell ref="N276:N277"/>
    <mergeCell ref="N3:N4"/>
    <mergeCell ref="A3:A4"/>
    <mergeCell ref="B3:B4"/>
    <mergeCell ref="L3:L4"/>
    <mergeCell ref="M3:M4"/>
    <mergeCell ref="A70:A71"/>
    <mergeCell ref="B70:B71"/>
    <mergeCell ref="L70:L71"/>
    <mergeCell ref="M70:M71"/>
    <mergeCell ref="N70:N71"/>
    <mergeCell ref="A137:A138"/>
    <mergeCell ref="B137:B138"/>
    <mergeCell ref="L137:L138"/>
    <mergeCell ref="M137:M138"/>
    <mergeCell ref="N137:N138"/>
    <mergeCell ref="A206:A207"/>
    <mergeCell ref="B206:B207"/>
    <mergeCell ref="L206:L207"/>
    <mergeCell ref="M206:M207"/>
    <mergeCell ref="N206:N207"/>
    <mergeCell ref="A493:A494"/>
    <mergeCell ref="B493:B494"/>
    <mergeCell ref="L493:L494"/>
    <mergeCell ref="M493:M494"/>
    <mergeCell ref="N493:N494"/>
    <mergeCell ref="A567:A568"/>
    <mergeCell ref="B567:B568"/>
    <mergeCell ref="L567:L568"/>
    <mergeCell ref="M567:M568"/>
    <mergeCell ref="N567:N568"/>
    <mergeCell ref="A715:A716"/>
    <mergeCell ref="B715:B716"/>
    <mergeCell ref="L715:L716"/>
    <mergeCell ref="M715:M716"/>
    <mergeCell ref="N715:N716"/>
  </mergeCells>
  <pageMargins left="0.70866141732283472" right="0.70866141732283472" top="0.74803149606299213" bottom="0.74803149606299213" header="0.31496062992125984" footer="0.31496062992125984"/>
  <pageSetup paperSize="9" orientation="landscape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Q80"/>
  <sheetViews>
    <sheetView workbookViewId="0">
      <selection activeCell="N25" sqref="N25"/>
    </sheetView>
  </sheetViews>
  <sheetFormatPr defaultRowHeight="15" x14ac:dyDescent="0.25"/>
  <cols>
    <col min="1" max="1" width="9.28515625" customWidth="1"/>
    <col min="2" max="2" width="11.140625" customWidth="1"/>
    <col min="3" max="3" width="19.7109375" customWidth="1"/>
    <col min="4" max="4" width="9.140625" customWidth="1"/>
    <col min="5" max="5" width="7.7109375" customWidth="1"/>
    <col min="6" max="6" width="7.28515625" customWidth="1"/>
    <col min="7" max="7" width="8.7109375" customWidth="1"/>
    <col min="8" max="8" width="8" style="40" customWidth="1"/>
    <col min="9" max="9" width="8.28515625" style="40" customWidth="1"/>
    <col min="10" max="10" width="6.7109375" style="40" customWidth="1"/>
    <col min="11" max="11" width="8.140625" customWidth="1"/>
    <col min="12" max="12" width="4.42578125" customWidth="1"/>
    <col min="16" max="16" width="10.140625" bestFit="1" customWidth="1"/>
  </cols>
  <sheetData>
    <row r="2" spans="2:16" ht="15.75" customHeight="1" x14ac:dyDescent="0.25">
      <c r="B2" s="57" t="s">
        <v>437</v>
      </c>
      <c r="C2" s="57" t="s">
        <v>75</v>
      </c>
      <c r="D2" s="27">
        <v>94</v>
      </c>
      <c r="E2" s="27">
        <v>95</v>
      </c>
      <c r="F2" s="27">
        <v>96</v>
      </c>
      <c r="G2" s="27">
        <v>97</v>
      </c>
      <c r="H2" s="27">
        <v>98</v>
      </c>
      <c r="I2" s="27">
        <v>99</v>
      </c>
      <c r="J2" s="27">
        <v>100</v>
      </c>
      <c r="K2" s="27">
        <v>101</v>
      </c>
      <c r="L2" s="27"/>
      <c r="M2" s="57" t="s">
        <v>68</v>
      </c>
      <c r="N2" s="61" t="s">
        <v>137</v>
      </c>
      <c r="O2" s="75" t="s">
        <v>464</v>
      </c>
    </row>
    <row r="3" spans="2:16" ht="15.75" x14ac:dyDescent="0.25">
      <c r="B3" s="58"/>
      <c r="C3" s="58"/>
      <c r="D3" s="26">
        <v>4</v>
      </c>
      <c r="E3" s="26">
        <v>7</v>
      </c>
      <c r="F3" s="26">
        <v>11</v>
      </c>
      <c r="G3" s="26">
        <v>14</v>
      </c>
      <c r="H3" s="26">
        <v>18</v>
      </c>
      <c r="I3" s="26">
        <v>21</v>
      </c>
      <c r="J3" s="26">
        <v>26</v>
      </c>
      <c r="K3" s="26">
        <v>28</v>
      </c>
      <c r="L3" s="6"/>
      <c r="M3" s="58"/>
      <c r="N3" s="62"/>
      <c r="O3" s="76"/>
    </row>
    <row r="4" spans="2:16" ht="15.75" x14ac:dyDescent="0.25">
      <c r="B4" s="2">
        <f>'2019г.'!N791</f>
        <v>0</v>
      </c>
      <c r="C4" s="5" t="s">
        <v>123</v>
      </c>
      <c r="D4" s="6"/>
      <c r="E4" s="6"/>
      <c r="F4" s="6"/>
      <c r="G4" s="6"/>
      <c r="H4" s="6"/>
      <c r="I4" s="6"/>
      <c r="J4" s="6"/>
      <c r="K4" s="6"/>
      <c r="L4" s="6"/>
      <c r="M4" s="7">
        <f>SUM(D4:L4)</f>
        <v>0</v>
      </c>
      <c r="N4" s="7"/>
      <c r="O4" s="7">
        <f>N4+B4-M4</f>
        <v>0</v>
      </c>
    </row>
    <row r="5" spans="2:16" ht="15.75" x14ac:dyDescent="0.25">
      <c r="B5" s="2">
        <f>'2019г.'!N792</f>
        <v>0</v>
      </c>
      <c r="C5" s="5" t="s">
        <v>125</v>
      </c>
      <c r="D5" s="6"/>
      <c r="E5" s="7"/>
      <c r="F5" s="6"/>
      <c r="G5" s="7"/>
      <c r="H5" s="6"/>
      <c r="I5" s="6"/>
      <c r="J5" s="7"/>
      <c r="K5" s="7">
        <v>20</v>
      </c>
      <c r="L5" s="7"/>
      <c r="M5" s="7">
        <f>SUM(D5:L5)</f>
        <v>20</v>
      </c>
      <c r="N5" s="7"/>
      <c r="O5" s="7">
        <f t="shared" ref="O5:O72" si="0">N5+B5-M5</f>
        <v>-20</v>
      </c>
    </row>
    <row r="6" spans="2:16" ht="15.75" x14ac:dyDescent="0.25">
      <c r="B6" s="2">
        <f>'2019г.'!N793</f>
        <v>-67.5</v>
      </c>
      <c r="C6" s="5" t="s">
        <v>194</v>
      </c>
      <c r="D6" s="7">
        <f>27+5</f>
        <v>32</v>
      </c>
      <c r="E6" s="7"/>
      <c r="F6" s="7"/>
      <c r="G6" s="7"/>
      <c r="H6" s="7"/>
      <c r="I6" s="7"/>
      <c r="J6" s="7"/>
      <c r="K6" s="15">
        <v>20</v>
      </c>
      <c r="L6" s="7"/>
      <c r="M6" s="7">
        <f>SUM(D6:L6)</f>
        <v>52</v>
      </c>
      <c r="N6" s="7"/>
      <c r="O6" s="7">
        <f t="shared" si="0"/>
        <v>-119.5</v>
      </c>
    </row>
    <row r="7" spans="2:16" ht="15.75" x14ac:dyDescent="0.25">
      <c r="B7" s="2">
        <f>'2019г.'!N794</f>
        <v>-32</v>
      </c>
      <c r="C7" s="5" t="s">
        <v>2</v>
      </c>
      <c r="D7" s="6"/>
      <c r="E7" s="7"/>
      <c r="F7" s="6"/>
      <c r="G7" s="7"/>
      <c r="H7" s="6"/>
      <c r="I7" s="7"/>
      <c r="J7" s="6"/>
      <c r="K7" s="7"/>
      <c r="L7" s="7"/>
      <c r="M7" s="7">
        <f>SUM(D7:L7)</f>
        <v>0</v>
      </c>
      <c r="N7" s="7"/>
      <c r="O7" s="7">
        <f t="shared" si="0"/>
        <v>-32</v>
      </c>
    </row>
    <row r="8" spans="2:16" ht="15.75" x14ac:dyDescent="0.25">
      <c r="B8" s="2">
        <f>'2019г.'!N795</f>
        <v>-117.6</v>
      </c>
      <c r="C8" s="5" t="s">
        <v>129</v>
      </c>
      <c r="D8" s="6"/>
      <c r="E8" s="7"/>
      <c r="F8" s="6"/>
      <c r="G8" s="6"/>
      <c r="H8" s="6"/>
      <c r="I8" s="7"/>
      <c r="J8" s="6"/>
      <c r="K8" s="7"/>
      <c r="L8" s="7"/>
      <c r="M8" s="7">
        <f t="shared" ref="M8:M28" si="1">SUM(D8:L8)</f>
        <v>0</v>
      </c>
      <c r="N8" s="7"/>
      <c r="O8" s="7">
        <f t="shared" si="0"/>
        <v>-117.6</v>
      </c>
    </row>
    <row r="9" spans="2:16" ht="15.75" x14ac:dyDescent="0.25">
      <c r="B9" s="2">
        <f>'2019г.'!N796</f>
        <v>0</v>
      </c>
      <c r="C9" s="5" t="s">
        <v>195</v>
      </c>
      <c r="D9" s="6"/>
      <c r="E9" s="7"/>
      <c r="F9" s="6"/>
      <c r="G9" s="6"/>
      <c r="H9" s="6"/>
      <c r="I9" s="7"/>
      <c r="J9" s="7"/>
      <c r="K9" s="7"/>
      <c r="L9" s="7"/>
      <c r="M9" s="7">
        <f t="shared" si="1"/>
        <v>0</v>
      </c>
      <c r="N9" s="7"/>
      <c r="O9" s="7">
        <f t="shared" si="0"/>
        <v>0</v>
      </c>
    </row>
    <row r="10" spans="2:16" ht="15.75" x14ac:dyDescent="0.25">
      <c r="B10" s="2">
        <f>'2019г.'!N797</f>
        <v>-25</v>
      </c>
      <c r="C10" s="5" t="s">
        <v>128</v>
      </c>
      <c r="D10" s="7"/>
      <c r="E10" s="7"/>
      <c r="F10" s="7"/>
      <c r="G10" s="7"/>
      <c r="H10" s="7"/>
      <c r="I10" s="7"/>
      <c r="J10" s="7"/>
      <c r="K10" s="7">
        <v>25</v>
      </c>
      <c r="L10" s="7"/>
      <c r="M10" s="7">
        <f t="shared" si="1"/>
        <v>25</v>
      </c>
      <c r="N10" s="7">
        <v>45</v>
      </c>
      <c r="O10" s="7">
        <f t="shared" si="0"/>
        <v>-5</v>
      </c>
      <c r="P10" s="29" t="s">
        <v>466</v>
      </c>
    </row>
    <row r="11" spans="2:16" ht="15.75" x14ac:dyDescent="0.25">
      <c r="B11" s="2">
        <f>'2019г.'!N798</f>
        <v>-285.2</v>
      </c>
      <c r="C11" s="5" t="s">
        <v>127</v>
      </c>
      <c r="D11" s="6"/>
      <c r="E11" s="7"/>
      <c r="F11" s="7"/>
      <c r="G11" s="7"/>
      <c r="H11" s="6"/>
      <c r="I11" s="7"/>
      <c r="J11" s="6"/>
      <c r="K11" s="7"/>
      <c r="L11" s="7"/>
      <c r="M11" s="7">
        <f t="shared" si="1"/>
        <v>0</v>
      </c>
      <c r="N11" s="7"/>
      <c r="O11" s="7">
        <f t="shared" si="0"/>
        <v>-285.2</v>
      </c>
    </row>
    <row r="12" spans="2:16" ht="15.75" x14ac:dyDescent="0.25">
      <c r="B12" s="2">
        <f>'2019г.'!N799</f>
        <v>0</v>
      </c>
      <c r="C12" s="5" t="s">
        <v>126</v>
      </c>
      <c r="D12" s="6"/>
      <c r="E12" s="7"/>
      <c r="F12" s="6"/>
      <c r="G12" s="6"/>
      <c r="H12" s="6"/>
      <c r="I12" s="7"/>
      <c r="J12" s="6"/>
      <c r="K12" s="7"/>
      <c r="L12" s="7"/>
      <c r="M12" s="7">
        <f t="shared" si="1"/>
        <v>0</v>
      </c>
      <c r="N12" s="7"/>
      <c r="O12" s="7">
        <f t="shared" si="0"/>
        <v>0</v>
      </c>
    </row>
    <row r="13" spans="2:16" ht="15.75" x14ac:dyDescent="0.25">
      <c r="B13" s="2">
        <f>'2019г.'!N800</f>
        <v>-528.20000000000005</v>
      </c>
      <c r="C13" s="5" t="s">
        <v>130</v>
      </c>
      <c r="D13" s="7"/>
      <c r="E13" s="7"/>
      <c r="F13" s="7"/>
      <c r="G13" s="7"/>
      <c r="H13" s="7"/>
      <c r="I13" s="7"/>
      <c r="J13" s="6"/>
      <c r="K13" s="7"/>
      <c r="L13" s="7"/>
      <c r="M13" s="7">
        <f t="shared" si="1"/>
        <v>0</v>
      </c>
      <c r="N13" s="7"/>
      <c r="O13" s="7">
        <f t="shared" si="0"/>
        <v>-528.20000000000005</v>
      </c>
    </row>
    <row r="14" spans="2:16" ht="15.75" x14ac:dyDescent="0.25">
      <c r="B14" s="2">
        <f>'2019г.'!N801</f>
        <v>-89.13</v>
      </c>
      <c r="C14" s="5" t="s">
        <v>131</v>
      </c>
      <c r="D14" s="7"/>
      <c r="E14" s="7"/>
      <c r="F14" s="7"/>
      <c r="G14" s="7"/>
      <c r="H14" s="7"/>
      <c r="I14" s="7"/>
      <c r="J14" s="7"/>
      <c r="K14" s="7"/>
      <c r="L14" s="7"/>
      <c r="M14" s="7">
        <f t="shared" si="1"/>
        <v>0</v>
      </c>
      <c r="N14" s="7"/>
      <c r="O14" s="7">
        <f t="shared" si="0"/>
        <v>-89.13</v>
      </c>
    </row>
    <row r="15" spans="2:16" ht="15.75" x14ac:dyDescent="0.25">
      <c r="B15" s="2">
        <f>'2019г.'!N802</f>
        <v>0</v>
      </c>
      <c r="C15" s="5" t="s">
        <v>132</v>
      </c>
      <c r="D15" s="7"/>
      <c r="E15" s="7"/>
      <c r="F15" s="7"/>
      <c r="G15" s="7"/>
      <c r="H15" s="7"/>
      <c r="I15" s="7"/>
      <c r="J15" s="7"/>
      <c r="K15" s="7">
        <v>20</v>
      </c>
      <c r="L15" s="7"/>
      <c r="M15" s="7">
        <f t="shared" si="1"/>
        <v>20</v>
      </c>
      <c r="N15" s="7"/>
      <c r="O15" s="7">
        <f t="shared" si="0"/>
        <v>-20</v>
      </c>
    </row>
    <row r="16" spans="2:16" ht="15.75" x14ac:dyDescent="0.25">
      <c r="B16" s="2">
        <f>'2019г.'!N803</f>
        <v>-20</v>
      </c>
      <c r="C16" s="5" t="s">
        <v>9</v>
      </c>
      <c r="D16" s="6"/>
      <c r="E16" s="7"/>
      <c r="F16" s="7"/>
      <c r="G16" s="7"/>
      <c r="H16" s="7"/>
      <c r="I16" s="6"/>
      <c r="J16" s="7"/>
      <c r="K16" s="7">
        <v>20</v>
      </c>
      <c r="L16" s="7"/>
      <c r="M16" s="7">
        <f t="shared" si="1"/>
        <v>20</v>
      </c>
      <c r="N16" s="7">
        <v>20</v>
      </c>
      <c r="O16" s="7">
        <f t="shared" si="0"/>
        <v>-20</v>
      </c>
      <c r="P16" s="41">
        <v>43801</v>
      </c>
    </row>
    <row r="17" spans="2:16" ht="15.75" x14ac:dyDescent="0.25">
      <c r="B17" s="2">
        <f>'2019г.'!N804</f>
        <v>-70</v>
      </c>
      <c r="C17" s="5" t="s">
        <v>133</v>
      </c>
      <c r="D17" s="7"/>
      <c r="E17" s="7"/>
      <c r="F17" s="7">
        <v>25</v>
      </c>
      <c r="G17" s="7"/>
      <c r="H17" s="7"/>
      <c r="I17" s="7"/>
      <c r="J17" s="7"/>
      <c r="K17" s="7">
        <v>20</v>
      </c>
      <c r="L17" s="7"/>
      <c r="M17" s="7">
        <f t="shared" si="1"/>
        <v>45</v>
      </c>
      <c r="N17" s="8"/>
      <c r="O17" s="7">
        <f t="shared" si="0"/>
        <v>-115</v>
      </c>
    </row>
    <row r="18" spans="2:16" ht="15.75" x14ac:dyDescent="0.25">
      <c r="B18" s="2">
        <f>'2019г.'!N805</f>
        <v>-45</v>
      </c>
      <c r="C18" s="5" t="s">
        <v>96</v>
      </c>
      <c r="D18" s="7"/>
      <c r="E18" s="7">
        <v>20</v>
      </c>
      <c r="F18" s="7"/>
      <c r="G18" s="7"/>
      <c r="H18" s="7">
        <v>17.100000000000001</v>
      </c>
      <c r="I18" s="7"/>
      <c r="J18" s="7"/>
      <c r="K18" s="7">
        <v>20</v>
      </c>
      <c r="L18" s="7"/>
      <c r="M18" s="7">
        <f t="shared" si="1"/>
        <v>57.1</v>
      </c>
      <c r="N18" s="7"/>
      <c r="O18" s="7">
        <f t="shared" si="0"/>
        <v>-102.1</v>
      </c>
    </row>
    <row r="19" spans="2:16" ht="15.75" x14ac:dyDescent="0.25">
      <c r="B19" s="2">
        <f>'2019г.'!N806</f>
        <v>-20</v>
      </c>
      <c r="C19" s="5" t="s">
        <v>134</v>
      </c>
      <c r="D19" s="7"/>
      <c r="E19" s="7"/>
      <c r="F19" s="6"/>
      <c r="G19" s="7"/>
      <c r="H19" s="6"/>
      <c r="I19" s="7"/>
      <c r="J19" s="7"/>
      <c r="K19" s="7">
        <v>22.5</v>
      </c>
      <c r="L19" s="7"/>
      <c r="M19" s="7">
        <f t="shared" si="1"/>
        <v>22.5</v>
      </c>
      <c r="N19" s="7">
        <v>20</v>
      </c>
      <c r="O19" s="7">
        <f t="shared" si="0"/>
        <v>-22.5</v>
      </c>
      <c r="P19" t="s">
        <v>477</v>
      </c>
    </row>
    <row r="20" spans="2:16" ht="15.75" x14ac:dyDescent="0.25">
      <c r="B20" s="2">
        <f>'2019г.'!N807</f>
        <v>26.100000000000009</v>
      </c>
      <c r="C20" s="5" t="s">
        <v>99</v>
      </c>
      <c r="D20" s="7"/>
      <c r="E20" s="7"/>
      <c r="F20" s="6"/>
      <c r="G20" s="7"/>
      <c r="H20" s="6"/>
      <c r="I20" s="7"/>
      <c r="J20" s="6"/>
      <c r="K20" s="6"/>
      <c r="L20" s="7"/>
      <c r="M20" s="7">
        <f t="shared" si="1"/>
        <v>0</v>
      </c>
      <c r="N20" s="7"/>
      <c r="O20" s="7">
        <f t="shared" si="0"/>
        <v>26.100000000000009</v>
      </c>
    </row>
    <row r="21" spans="2:16" ht="15.75" x14ac:dyDescent="0.25">
      <c r="B21" s="2">
        <f>'2019г.'!N808</f>
        <v>0</v>
      </c>
      <c r="C21" s="5" t="s">
        <v>323</v>
      </c>
      <c r="D21" s="7"/>
      <c r="E21" s="7"/>
      <c r="F21" s="6"/>
      <c r="G21" s="6"/>
      <c r="H21" s="6"/>
      <c r="I21" s="6"/>
      <c r="J21" s="6"/>
      <c r="K21" s="6"/>
      <c r="L21" s="7"/>
      <c r="M21" s="7">
        <f t="shared" si="1"/>
        <v>0</v>
      </c>
      <c r="N21" s="7"/>
      <c r="O21" s="7">
        <f t="shared" si="0"/>
        <v>0</v>
      </c>
    </row>
    <row r="22" spans="2:16" ht="15.75" x14ac:dyDescent="0.25">
      <c r="B22" s="2">
        <f>'2019г.'!N809</f>
        <v>0</v>
      </c>
      <c r="C22" s="5" t="s">
        <v>21</v>
      </c>
      <c r="D22" s="7"/>
      <c r="E22" s="7"/>
      <c r="F22" s="7"/>
      <c r="G22" s="7"/>
      <c r="H22" s="7"/>
      <c r="I22" s="7"/>
      <c r="J22" s="7"/>
      <c r="K22" s="7"/>
      <c r="L22" s="7"/>
      <c r="M22" s="7">
        <f t="shared" si="1"/>
        <v>0</v>
      </c>
      <c r="N22" s="7"/>
      <c r="O22" s="7">
        <f t="shared" si="0"/>
        <v>0</v>
      </c>
    </row>
    <row r="23" spans="2:16" ht="15.75" x14ac:dyDescent="0.25">
      <c r="B23" s="2">
        <f>'2019г.'!N810</f>
        <v>0</v>
      </c>
      <c r="C23" s="5" t="s">
        <v>47</v>
      </c>
      <c r="D23" s="7"/>
      <c r="E23" s="7"/>
      <c r="F23" s="7"/>
      <c r="G23" s="7"/>
      <c r="H23" s="7"/>
      <c r="I23" s="7"/>
      <c r="J23" s="7"/>
      <c r="K23" s="7"/>
      <c r="L23" s="7"/>
      <c r="M23" s="7">
        <f t="shared" si="1"/>
        <v>0</v>
      </c>
      <c r="N23" s="7"/>
      <c r="O23" s="7">
        <f t="shared" si="0"/>
        <v>0</v>
      </c>
    </row>
    <row r="24" spans="2:16" ht="15.75" x14ac:dyDescent="0.25">
      <c r="B24" s="2">
        <f>'2019г.'!N811</f>
        <v>-368.39</v>
      </c>
      <c r="C24" s="5" t="s">
        <v>53</v>
      </c>
      <c r="D24" s="7"/>
      <c r="E24" s="7"/>
      <c r="F24" s="7"/>
      <c r="G24" s="7"/>
      <c r="H24" s="7">
        <v>16.2</v>
      </c>
      <c r="I24" s="7"/>
      <c r="J24" s="7"/>
      <c r="K24" s="7"/>
      <c r="L24" s="7"/>
      <c r="M24" s="7">
        <f t="shared" si="1"/>
        <v>16.2</v>
      </c>
      <c r="N24" s="7"/>
      <c r="O24" s="7">
        <f t="shared" si="0"/>
        <v>-384.59</v>
      </c>
    </row>
    <row r="25" spans="2:16" ht="15.75" x14ac:dyDescent="0.25">
      <c r="B25" s="2">
        <f>'2019г.'!N812</f>
        <v>0</v>
      </c>
      <c r="C25" s="5" t="s">
        <v>33</v>
      </c>
      <c r="D25" s="7">
        <f>90+18</f>
        <v>108</v>
      </c>
      <c r="E25" s="7">
        <v>17.100000000000001</v>
      </c>
      <c r="F25" s="7"/>
      <c r="G25" s="7">
        <v>25</v>
      </c>
      <c r="H25" s="7"/>
      <c r="I25" s="7">
        <f>15.3+13.5</f>
        <v>28.8</v>
      </c>
      <c r="J25" s="7"/>
      <c r="K25" s="7">
        <v>20</v>
      </c>
      <c r="L25" s="7"/>
      <c r="M25" s="7">
        <f t="shared" si="1"/>
        <v>198.9</v>
      </c>
      <c r="N25" s="7">
        <v>125.1</v>
      </c>
      <c r="O25" s="7">
        <f t="shared" si="0"/>
        <v>-73.800000000000011</v>
      </c>
      <c r="P25" t="s">
        <v>468</v>
      </c>
    </row>
    <row r="26" spans="2:16" ht="15.75" x14ac:dyDescent="0.25">
      <c r="B26" s="2">
        <f>'2019г.'!N813</f>
        <v>0</v>
      </c>
      <c r="C26" s="5" t="s">
        <v>87</v>
      </c>
      <c r="D26" s="7"/>
      <c r="E26" s="7"/>
      <c r="F26" s="7"/>
      <c r="G26" s="7"/>
      <c r="H26" s="7"/>
      <c r="I26" s="7"/>
      <c r="J26" s="7"/>
      <c r="K26" s="7"/>
      <c r="L26" s="7"/>
      <c r="M26" s="7">
        <f t="shared" si="1"/>
        <v>0</v>
      </c>
      <c r="N26" s="7"/>
      <c r="O26" s="7">
        <f t="shared" si="0"/>
        <v>0</v>
      </c>
    </row>
    <row r="27" spans="2:16" ht="15.75" x14ac:dyDescent="0.25">
      <c r="B27" s="2">
        <f>'2019г.'!N814</f>
        <v>25</v>
      </c>
      <c r="C27" s="5" t="s">
        <v>23</v>
      </c>
      <c r="D27" s="7"/>
      <c r="E27" s="7"/>
      <c r="F27" s="7"/>
      <c r="G27" s="7"/>
      <c r="H27" s="7"/>
      <c r="I27" s="7"/>
      <c r="J27" s="7"/>
      <c r="K27" s="7">
        <v>24.8</v>
      </c>
      <c r="L27" s="7"/>
      <c r="M27" s="7">
        <f t="shared" si="1"/>
        <v>24.8</v>
      </c>
      <c r="N27" s="7"/>
      <c r="O27" s="7">
        <f t="shared" si="0"/>
        <v>0.19999999999999929</v>
      </c>
    </row>
    <row r="28" spans="2:16" ht="15.75" x14ac:dyDescent="0.25">
      <c r="B28" s="2">
        <f>'2019г.'!N815</f>
        <v>-50</v>
      </c>
      <c r="C28" s="5" t="s">
        <v>24</v>
      </c>
      <c r="D28" s="7"/>
      <c r="E28" s="7"/>
      <c r="F28" s="7"/>
      <c r="G28" s="7"/>
      <c r="H28" s="7"/>
      <c r="I28" s="7"/>
      <c r="J28" s="7"/>
      <c r="K28" s="7"/>
      <c r="L28" s="7"/>
      <c r="M28" s="7">
        <f t="shared" si="1"/>
        <v>0</v>
      </c>
      <c r="N28" s="7"/>
      <c r="O28" s="7">
        <f t="shared" si="0"/>
        <v>-50</v>
      </c>
    </row>
    <row r="29" spans="2:16" ht="15.75" x14ac:dyDescent="0.25">
      <c r="B29" s="2">
        <f>'2019г.'!N816</f>
        <v>0</v>
      </c>
      <c r="C29" s="5" t="s">
        <v>51</v>
      </c>
      <c r="D29" s="7"/>
      <c r="E29" s="7"/>
      <c r="F29" s="7"/>
      <c r="G29" s="7"/>
      <c r="H29" s="7"/>
      <c r="I29" s="7"/>
      <c r="J29" s="7"/>
      <c r="K29" s="7"/>
      <c r="L29" s="7"/>
      <c r="M29" s="7">
        <f>SUM(D29:L29)</f>
        <v>0</v>
      </c>
      <c r="N29" s="7"/>
      <c r="O29" s="7">
        <f t="shared" si="0"/>
        <v>0</v>
      </c>
    </row>
    <row r="30" spans="2:16" ht="15.75" x14ac:dyDescent="0.25">
      <c r="B30" s="2">
        <f>'2019г.'!N817</f>
        <v>0</v>
      </c>
      <c r="C30" s="5" t="s">
        <v>25</v>
      </c>
      <c r="D30" s="7"/>
      <c r="E30" s="7"/>
      <c r="F30" s="7"/>
      <c r="G30" s="7"/>
      <c r="H30" s="7"/>
      <c r="I30" s="7"/>
      <c r="J30" s="7"/>
      <c r="K30" s="7"/>
      <c r="L30" s="7"/>
      <c r="M30" s="7">
        <f>SUM(D30:L30)</f>
        <v>0</v>
      </c>
      <c r="N30" s="7"/>
      <c r="O30" s="7">
        <f t="shared" si="0"/>
        <v>0</v>
      </c>
    </row>
    <row r="31" spans="2:16" ht="15.75" x14ac:dyDescent="0.25">
      <c r="B31" s="2">
        <f>'2019г.'!N818</f>
        <v>-55.699999999999989</v>
      </c>
      <c r="C31" s="5" t="s">
        <v>27</v>
      </c>
      <c r="D31" s="7"/>
      <c r="E31" s="7"/>
      <c r="F31" s="7"/>
      <c r="G31" s="7"/>
      <c r="H31" s="7"/>
      <c r="I31" s="7"/>
      <c r="J31" s="7"/>
      <c r="K31" s="7">
        <v>28.8</v>
      </c>
      <c r="L31" s="7"/>
      <c r="M31" s="7">
        <f>SUM(D31:L31)</f>
        <v>28.8</v>
      </c>
      <c r="N31" s="7"/>
      <c r="O31" s="7">
        <f t="shared" si="0"/>
        <v>-84.499999999999986</v>
      </c>
    </row>
    <row r="32" spans="2:16" ht="15.75" x14ac:dyDescent="0.25">
      <c r="B32" s="2">
        <f>'2019г.'!N819</f>
        <v>-124.5</v>
      </c>
      <c r="C32" s="5" t="s">
        <v>29</v>
      </c>
      <c r="D32" s="7"/>
      <c r="E32" s="7"/>
      <c r="F32" s="7"/>
      <c r="G32" s="7"/>
      <c r="H32" s="7"/>
      <c r="I32" s="7"/>
      <c r="J32" s="7"/>
      <c r="K32" s="7"/>
      <c r="L32" s="7"/>
      <c r="M32" s="7">
        <f t="shared" ref="M32:M33" si="2">SUM(D32:L32)</f>
        <v>0</v>
      </c>
      <c r="N32" s="7"/>
      <c r="O32" s="7">
        <f t="shared" si="0"/>
        <v>-124.5</v>
      </c>
    </row>
    <row r="33" spans="2:16" ht="15.75" x14ac:dyDescent="0.25">
      <c r="B33" s="2">
        <f>'2019г.'!N820</f>
        <v>-25.950000000000045</v>
      </c>
      <c r="C33" s="5" t="s">
        <v>30</v>
      </c>
      <c r="D33" s="7"/>
      <c r="E33" s="7"/>
      <c r="F33" s="7"/>
      <c r="G33" s="7">
        <v>38.25</v>
      </c>
      <c r="H33" s="7"/>
      <c r="I33" s="7"/>
      <c r="J33" s="7"/>
      <c r="K33" s="7"/>
      <c r="L33" s="7"/>
      <c r="M33" s="7">
        <f t="shared" si="2"/>
        <v>38.25</v>
      </c>
      <c r="N33" s="7"/>
      <c r="O33" s="7">
        <f t="shared" si="0"/>
        <v>-64.200000000000045</v>
      </c>
    </row>
    <row r="34" spans="2:16" ht="15.75" x14ac:dyDescent="0.25">
      <c r="B34" s="2">
        <f>'2019г.'!N821</f>
        <v>0</v>
      </c>
      <c r="C34" s="5" t="s">
        <v>56</v>
      </c>
      <c r="D34" s="7"/>
      <c r="E34" s="7"/>
      <c r="F34" s="7"/>
      <c r="G34" s="7"/>
      <c r="H34" s="7"/>
      <c r="I34" s="7"/>
      <c r="J34" s="7"/>
      <c r="K34" s="7"/>
      <c r="L34" s="7"/>
      <c r="M34" s="7">
        <f>SUM(D34:L34)</f>
        <v>0</v>
      </c>
      <c r="N34" s="7"/>
      <c r="O34" s="7">
        <f t="shared" si="0"/>
        <v>0</v>
      </c>
    </row>
    <row r="35" spans="2:16" ht="15.75" x14ac:dyDescent="0.25">
      <c r="B35" s="2">
        <f>'2019г.'!N822</f>
        <v>0</v>
      </c>
      <c r="C35" s="5" t="s">
        <v>356</v>
      </c>
      <c r="D35" s="7"/>
      <c r="E35" s="7"/>
      <c r="F35" s="7"/>
      <c r="G35" s="7"/>
      <c r="H35" s="7"/>
      <c r="I35" s="7">
        <v>50</v>
      </c>
      <c r="J35" s="7"/>
      <c r="K35" s="7"/>
      <c r="L35" s="7"/>
      <c r="M35" s="7">
        <f>SUM(D35:L35)</f>
        <v>50</v>
      </c>
      <c r="N35" s="7">
        <v>50</v>
      </c>
      <c r="O35" s="7">
        <f t="shared" si="0"/>
        <v>0</v>
      </c>
      <c r="P35" t="s">
        <v>472</v>
      </c>
    </row>
    <row r="36" spans="2:16" ht="15.75" x14ac:dyDescent="0.25">
      <c r="B36" s="2">
        <f>'2019г.'!N823</f>
        <v>-301.8</v>
      </c>
      <c r="C36" s="5" t="s">
        <v>101</v>
      </c>
      <c r="D36" s="7"/>
      <c r="E36" s="7"/>
      <c r="F36" s="7"/>
      <c r="G36" s="7"/>
      <c r="H36" s="7">
        <v>25</v>
      </c>
      <c r="I36" s="7">
        <v>25</v>
      </c>
      <c r="J36" s="7"/>
      <c r="K36" s="7"/>
      <c r="L36" s="7"/>
      <c r="M36" s="7">
        <f t="shared" ref="M36:M54" si="3">SUM(D36:L36)</f>
        <v>50</v>
      </c>
      <c r="N36" s="7"/>
      <c r="O36" s="7">
        <f t="shared" si="0"/>
        <v>-351.8</v>
      </c>
    </row>
    <row r="37" spans="2:16" ht="15.75" x14ac:dyDescent="0.25">
      <c r="B37" s="2">
        <f>'2019г.'!N824</f>
        <v>-9.7999999999999972</v>
      </c>
      <c r="C37" s="5" t="s">
        <v>41</v>
      </c>
      <c r="D37" s="6"/>
      <c r="E37" s="7"/>
      <c r="F37" s="7"/>
      <c r="G37" s="7">
        <v>15.3</v>
      </c>
      <c r="H37" s="7"/>
      <c r="I37" s="7"/>
      <c r="J37" s="7"/>
      <c r="K37" s="7">
        <f>23+20</f>
        <v>43</v>
      </c>
      <c r="L37" s="7"/>
      <c r="M37" s="7">
        <f t="shared" si="3"/>
        <v>58.3</v>
      </c>
      <c r="N37" s="7">
        <v>15.3</v>
      </c>
      <c r="O37" s="7">
        <f t="shared" si="0"/>
        <v>-52.8</v>
      </c>
      <c r="P37" t="s">
        <v>475</v>
      </c>
    </row>
    <row r="38" spans="2:16" ht="15.75" x14ac:dyDescent="0.25">
      <c r="B38" s="2">
        <f>'2019г.'!N825</f>
        <v>-45</v>
      </c>
      <c r="C38" s="5" t="s">
        <v>102</v>
      </c>
      <c r="D38" s="7"/>
      <c r="E38" s="7"/>
      <c r="F38" s="7"/>
      <c r="G38" s="7">
        <v>25</v>
      </c>
      <c r="H38" s="7"/>
      <c r="I38" s="7"/>
      <c r="J38" s="7"/>
      <c r="K38" s="7">
        <v>22.5</v>
      </c>
      <c r="L38" s="7"/>
      <c r="M38" s="7">
        <f t="shared" si="3"/>
        <v>47.5</v>
      </c>
      <c r="N38" s="7">
        <v>25</v>
      </c>
      <c r="O38" s="7">
        <f t="shared" si="0"/>
        <v>-67.5</v>
      </c>
      <c r="P38" t="s">
        <v>473</v>
      </c>
    </row>
    <row r="39" spans="2:16" ht="15.75" x14ac:dyDescent="0.25">
      <c r="B39" s="2">
        <f>'2019г.'!N826</f>
        <v>0</v>
      </c>
      <c r="C39" s="5" t="s">
        <v>45</v>
      </c>
      <c r="D39" s="7"/>
      <c r="E39" s="7"/>
      <c r="F39" s="7"/>
      <c r="G39" s="7"/>
      <c r="H39" s="7"/>
      <c r="I39" s="7"/>
      <c r="J39" s="7"/>
      <c r="K39" s="7"/>
      <c r="L39" s="7"/>
      <c r="M39" s="7">
        <f t="shared" si="3"/>
        <v>0</v>
      </c>
      <c r="N39" s="7"/>
      <c r="O39" s="7">
        <f t="shared" si="0"/>
        <v>0</v>
      </c>
    </row>
    <row r="40" spans="2:16" ht="15.75" x14ac:dyDescent="0.25">
      <c r="B40" s="2">
        <f>'2019г.'!N827</f>
        <v>-42.800000000000011</v>
      </c>
      <c r="C40" s="5" t="s">
        <v>46</v>
      </c>
      <c r="D40" s="7"/>
      <c r="E40" s="7"/>
      <c r="F40" s="10"/>
      <c r="G40" s="7"/>
      <c r="H40" s="7"/>
      <c r="I40" s="7">
        <v>19.8</v>
      </c>
      <c r="J40" s="7"/>
      <c r="K40" s="7">
        <v>25</v>
      </c>
      <c r="L40" s="7"/>
      <c r="M40" s="7">
        <f t="shared" si="3"/>
        <v>44.8</v>
      </c>
      <c r="N40" s="7"/>
      <c r="O40" s="7">
        <f t="shared" si="0"/>
        <v>-87.600000000000009</v>
      </c>
    </row>
    <row r="41" spans="2:16" ht="15.75" x14ac:dyDescent="0.25">
      <c r="B41" s="2">
        <f>'2019г.'!N828</f>
        <v>-66.599999999999994</v>
      </c>
      <c r="C41" s="5" t="s">
        <v>79</v>
      </c>
      <c r="D41" s="7"/>
      <c r="E41" s="7"/>
      <c r="F41" s="10"/>
      <c r="G41" s="7"/>
      <c r="H41" s="7"/>
      <c r="I41" s="7"/>
      <c r="J41" s="7"/>
      <c r="K41" s="7"/>
      <c r="L41" s="7"/>
      <c r="M41" s="7">
        <f t="shared" si="3"/>
        <v>0</v>
      </c>
      <c r="N41" s="7">
        <v>91.6</v>
      </c>
      <c r="O41" s="7">
        <f t="shared" si="0"/>
        <v>25</v>
      </c>
      <c r="P41" t="s">
        <v>470</v>
      </c>
    </row>
    <row r="42" spans="2:16" ht="15.75" x14ac:dyDescent="0.25">
      <c r="B42" s="2">
        <f>'2019г.'!N829</f>
        <v>-25</v>
      </c>
      <c r="C42" s="5" t="s">
        <v>261</v>
      </c>
      <c r="D42" s="7"/>
      <c r="E42" s="6"/>
      <c r="F42" s="10"/>
      <c r="G42" s="7"/>
      <c r="H42" s="7"/>
      <c r="I42" s="7"/>
      <c r="J42" s="7"/>
      <c r="K42" s="7"/>
      <c r="L42" s="7"/>
      <c r="M42" s="7">
        <f t="shared" si="3"/>
        <v>0</v>
      </c>
      <c r="N42" s="7"/>
      <c r="O42" s="7">
        <f t="shared" si="0"/>
        <v>-25</v>
      </c>
    </row>
    <row r="43" spans="2:16" ht="15.75" x14ac:dyDescent="0.25">
      <c r="B43" s="2">
        <f>'2019г.'!N830</f>
        <v>-698.89999999999964</v>
      </c>
      <c r="C43" s="5" t="s">
        <v>103</v>
      </c>
      <c r="D43" s="6"/>
      <c r="E43" s="7"/>
      <c r="F43" s="7"/>
      <c r="G43" s="7">
        <v>15.3</v>
      </c>
      <c r="H43" s="7"/>
      <c r="I43" s="7"/>
      <c r="J43" s="7"/>
      <c r="K43" s="7">
        <f>17.5+108</f>
        <v>125.5</v>
      </c>
      <c r="L43" s="7"/>
      <c r="M43" s="7">
        <f t="shared" si="3"/>
        <v>140.80000000000001</v>
      </c>
      <c r="N43" s="7">
        <v>200</v>
      </c>
      <c r="O43" s="7">
        <f t="shared" si="0"/>
        <v>-639.69999999999959</v>
      </c>
      <c r="P43" s="29">
        <v>43808</v>
      </c>
    </row>
    <row r="44" spans="2:16" ht="15.75" x14ac:dyDescent="0.25">
      <c r="B44" s="2">
        <f>'2019г.'!N831</f>
        <v>0</v>
      </c>
      <c r="C44" s="5" t="s">
        <v>211</v>
      </c>
      <c r="D44" s="6"/>
      <c r="E44" s="7"/>
      <c r="F44" s="6"/>
      <c r="G44" s="7"/>
      <c r="H44" s="7"/>
      <c r="I44" s="7"/>
      <c r="J44" s="7"/>
      <c r="K44" s="7"/>
      <c r="L44" s="7"/>
      <c r="M44" s="7">
        <f t="shared" si="3"/>
        <v>0</v>
      </c>
      <c r="N44" s="7"/>
      <c r="O44" s="7">
        <f t="shared" si="0"/>
        <v>0</v>
      </c>
    </row>
    <row r="45" spans="2:16" ht="15.75" x14ac:dyDescent="0.25">
      <c r="B45" s="2">
        <f>'2019г.'!N832</f>
        <v>0</v>
      </c>
      <c r="C45" s="5" t="s">
        <v>139</v>
      </c>
      <c r="D45" s="7"/>
      <c r="E45" s="7"/>
      <c r="F45" s="6"/>
      <c r="G45" s="7"/>
      <c r="H45" s="7"/>
      <c r="I45" s="7"/>
      <c r="J45" s="7"/>
      <c r="K45" s="7">
        <v>20</v>
      </c>
      <c r="L45" s="7"/>
      <c r="M45" s="7">
        <f t="shared" si="3"/>
        <v>20</v>
      </c>
      <c r="N45" s="7"/>
      <c r="O45" s="7">
        <f t="shared" si="0"/>
        <v>-20</v>
      </c>
    </row>
    <row r="46" spans="2:16" ht="15.75" x14ac:dyDescent="0.25">
      <c r="B46" s="2">
        <f>'2019г.'!N833</f>
        <v>0</v>
      </c>
      <c r="C46" s="5" t="s">
        <v>191</v>
      </c>
      <c r="D46" s="7"/>
      <c r="E46" s="6"/>
      <c r="F46" s="7"/>
      <c r="G46" s="7"/>
      <c r="H46" s="7"/>
      <c r="I46" s="7"/>
      <c r="J46" s="7"/>
      <c r="K46" s="7"/>
      <c r="L46" s="7"/>
      <c r="M46" s="7">
        <f t="shared" si="3"/>
        <v>0</v>
      </c>
      <c r="N46" s="7"/>
      <c r="O46" s="7">
        <f t="shared" si="0"/>
        <v>0</v>
      </c>
    </row>
    <row r="47" spans="2:16" ht="15.75" x14ac:dyDescent="0.25">
      <c r="B47" s="2">
        <f>'2019г.'!N834</f>
        <v>0</v>
      </c>
      <c r="C47" s="5" t="s">
        <v>91</v>
      </c>
      <c r="D47" s="7"/>
      <c r="E47" s="7"/>
      <c r="F47" s="7"/>
      <c r="G47" s="7"/>
      <c r="H47" s="7"/>
      <c r="I47" s="7">
        <v>7.2</v>
      </c>
      <c r="J47" s="7"/>
      <c r="K47" s="7"/>
      <c r="L47" s="7"/>
      <c r="M47" s="7">
        <f t="shared" si="3"/>
        <v>7.2</v>
      </c>
      <c r="N47" s="7">
        <v>7.2</v>
      </c>
      <c r="O47" s="7">
        <f t="shared" si="0"/>
        <v>0</v>
      </c>
      <c r="P47" t="s">
        <v>474</v>
      </c>
    </row>
    <row r="48" spans="2:16" ht="15.75" x14ac:dyDescent="0.25">
      <c r="B48" s="2">
        <f>'2019г.'!N835</f>
        <v>5</v>
      </c>
      <c r="C48" s="5" t="s">
        <v>31</v>
      </c>
      <c r="D48" s="7"/>
      <c r="E48" s="7"/>
      <c r="F48" s="7"/>
      <c r="G48" s="7"/>
      <c r="H48" s="7"/>
      <c r="I48" s="7"/>
      <c r="J48" s="7"/>
      <c r="K48" s="7">
        <f>20+17.5</f>
        <v>37.5</v>
      </c>
      <c r="L48" s="7"/>
      <c r="M48" s="7">
        <f t="shared" si="3"/>
        <v>37.5</v>
      </c>
      <c r="N48" s="7"/>
      <c r="O48" s="7">
        <f t="shared" si="0"/>
        <v>-32.5</v>
      </c>
    </row>
    <row r="49" spans="2:17" ht="15.75" x14ac:dyDescent="0.25">
      <c r="B49" s="2">
        <f>'2019г.'!N836</f>
        <v>0</v>
      </c>
      <c r="C49" s="5" t="s">
        <v>37</v>
      </c>
      <c r="D49" s="7"/>
      <c r="E49" s="7"/>
      <c r="F49" s="7"/>
      <c r="G49" s="7"/>
      <c r="H49" s="7"/>
      <c r="I49" s="7">
        <v>25</v>
      </c>
      <c r="J49" s="7"/>
      <c r="K49" s="7"/>
      <c r="L49" s="7"/>
      <c r="M49" s="7">
        <f t="shared" si="3"/>
        <v>25</v>
      </c>
      <c r="N49" s="7">
        <v>25</v>
      </c>
      <c r="O49" s="7">
        <f t="shared" si="0"/>
        <v>0</v>
      </c>
      <c r="P49" t="s">
        <v>469</v>
      </c>
    </row>
    <row r="50" spans="2:17" ht="15.75" x14ac:dyDescent="0.25">
      <c r="B50" s="2">
        <f>'2019г.'!N837</f>
        <v>0</v>
      </c>
      <c r="C50" s="5" t="s">
        <v>105</v>
      </c>
      <c r="D50" s="7"/>
      <c r="E50" s="7"/>
      <c r="F50" s="7">
        <v>20</v>
      </c>
      <c r="G50" s="7"/>
      <c r="H50" s="7"/>
      <c r="I50" s="7"/>
      <c r="J50" s="7"/>
      <c r="K50" s="7">
        <v>20</v>
      </c>
      <c r="L50" s="7"/>
      <c r="M50" s="7">
        <f t="shared" si="3"/>
        <v>40</v>
      </c>
      <c r="N50" s="7"/>
      <c r="O50" s="7">
        <f t="shared" si="0"/>
        <v>-40</v>
      </c>
    </row>
    <row r="51" spans="2:17" ht="15.75" x14ac:dyDescent="0.25">
      <c r="B51" s="2">
        <f>'2019г.'!N838</f>
        <v>0</v>
      </c>
      <c r="C51" s="5" t="s">
        <v>54</v>
      </c>
      <c r="D51" s="7"/>
      <c r="E51" s="7"/>
      <c r="F51" s="7"/>
      <c r="G51" s="7"/>
      <c r="H51" s="7"/>
      <c r="I51" s="7"/>
      <c r="J51" s="7"/>
      <c r="K51" s="7"/>
      <c r="L51" s="7"/>
      <c r="M51" s="7">
        <f t="shared" si="3"/>
        <v>0</v>
      </c>
      <c r="N51" s="7"/>
      <c r="O51" s="7">
        <f t="shared" si="0"/>
        <v>0</v>
      </c>
    </row>
    <row r="52" spans="2:17" ht="15.75" x14ac:dyDescent="0.25">
      <c r="B52" s="2">
        <f>'2019г.'!N839</f>
        <v>0</v>
      </c>
      <c r="C52" s="5" t="s">
        <v>269</v>
      </c>
      <c r="D52" s="7"/>
      <c r="E52" s="7"/>
      <c r="F52" s="7"/>
      <c r="G52" s="7"/>
      <c r="H52" s="7"/>
      <c r="I52" s="7"/>
      <c r="J52" s="7"/>
      <c r="K52" s="7"/>
      <c r="L52" s="7"/>
      <c r="M52" s="7">
        <f t="shared" si="3"/>
        <v>0</v>
      </c>
      <c r="N52" s="7"/>
      <c r="O52" s="7">
        <f t="shared" si="0"/>
        <v>0</v>
      </c>
    </row>
    <row r="53" spans="2:17" ht="15.75" x14ac:dyDescent="0.25">
      <c r="B53" s="2">
        <f>'2019г.'!N840</f>
        <v>0</v>
      </c>
      <c r="C53" s="5" t="s">
        <v>19</v>
      </c>
      <c r="D53" s="7"/>
      <c r="E53" s="7"/>
      <c r="F53" s="7"/>
      <c r="G53" s="7"/>
      <c r="H53" s="7"/>
      <c r="I53" s="7"/>
      <c r="J53" s="7"/>
      <c r="K53" s="7"/>
      <c r="L53" s="7"/>
      <c r="M53" s="7">
        <f t="shared" si="3"/>
        <v>0</v>
      </c>
      <c r="N53" s="7"/>
      <c r="O53" s="7">
        <f t="shared" si="0"/>
        <v>0</v>
      </c>
    </row>
    <row r="54" spans="2:17" ht="15.75" x14ac:dyDescent="0.25">
      <c r="B54" s="2">
        <f>'2019г.'!N841</f>
        <v>-25</v>
      </c>
      <c r="C54" s="5" t="s">
        <v>138</v>
      </c>
      <c r="D54" s="7"/>
      <c r="E54" s="7">
        <v>20</v>
      </c>
      <c r="F54" s="7"/>
      <c r="G54" s="7"/>
      <c r="H54" s="7"/>
      <c r="I54" s="7"/>
      <c r="J54" s="7"/>
      <c r="K54" s="7"/>
      <c r="L54" s="7"/>
      <c r="M54" s="7">
        <f t="shared" si="3"/>
        <v>20</v>
      </c>
      <c r="N54" s="7">
        <f>25+20</f>
        <v>45</v>
      </c>
      <c r="O54" s="7">
        <f t="shared" si="0"/>
        <v>0</v>
      </c>
      <c r="P54" t="s">
        <v>465</v>
      </c>
      <c r="Q54" t="s">
        <v>467</v>
      </c>
    </row>
    <row r="55" spans="2:17" ht="15.75" x14ac:dyDescent="0.25">
      <c r="B55" s="2">
        <f>'2019г.'!N842</f>
        <v>7</v>
      </c>
      <c r="C55" s="5" t="s">
        <v>136</v>
      </c>
      <c r="D55" s="7"/>
      <c r="E55" s="7"/>
      <c r="F55" s="7"/>
      <c r="G55" s="7"/>
      <c r="H55" s="7"/>
      <c r="I55" s="7"/>
      <c r="J55" s="7"/>
      <c r="K55" s="7"/>
      <c r="L55" s="7"/>
      <c r="M55" s="7">
        <f>SUM(D55:L55)</f>
        <v>0</v>
      </c>
      <c r="N55" s="7"/>
      <c r="O55" s="8">
        <f t="shared" si="0"/>
        <v>7</v>
      </c>
    </row>
    <row r="56" spans="2:17" ht="15.75" x14ac:dyDescent="0.25">
      <c r="B56" s="2">
        <f>'2019г.'!N843</f>
        <v>0</v>
      </c>
      <c r="C56" s="5" t="s">
        <v>44</v>
      </c>
      <c r="D56" s="7"/>
      <c r="E56" s="7"/>
      <c r="F56" s="7"/>
      <c r="G56" s="7"/>
      <c r="H56" s="7"/>
      <c r="I56" s="7"/>
      <c r="J56" s="7"/>
      <c r="K56" s="7"/>
      <c r="L56" s="7"/>
      <c r="M56" s="7">
        <f t="shared" ref="M56:M66" si="4">SUM(D56:L56)</f>
        <v>0</v>
      </c>
      <c r="N56" s="7"/>
      <c r="O56" s="7">
        <f t="shared" si="0"/>
        <v>0</v>
      </c>
    </row>
    <row r="57" spans="2:17" ht="15.75" x14ac:dyDescent="0.25">
      <c r="B57" s="2">
        <f>'2019г.'!N844</f>
        <v>0</v>
      </c>
      <c r="C57" s="5" t="s">
        <v>95</v>
      </c>
      <c r="D57" s="6"/>
      <c r="E57" s="7"/>
      <c r="F57" s="6"/>
      <c r="G57" s="7"/>
      <c r="H57" s="7"/>
      <c r="I57" s="7"/>
      <c r="J57" s="7"/>
      <c r="K57" s="7"/>
      <c r="L57" s="7"/>
      <c r="M57" s="7">
        <f t="shared" si="4"/>
        <v>0</v>
      </c>
      <c r="N57" s="7"/>
      <c r="O57" s="7">
        <f t="shared" si="0"/>
        <v>0</v>
      </c>
    </row>
    <row r="58" spans="2:17" ht="15.75" x14ac:dyDescent="0.25">
      <c r="B58" s="2">
        <f>'2019г.'!N845</f>
        <v>0</v>
      </c>
      <c r="C58" s="5" t="s">
        <v>36</v>
      </c>
      <c r="D58" s="7"/>
      <c r="E58" s="7"/>
      <c r="F58" s="7"/>
      <c r="G58" s="7"/>
      <c r="H58" s="7"/>
      <c r="I58" s="7"/>
      <c r="J58" s="7"/>
      <c r="K58" s="7"/>
      <c r="L58" s="7"/>
      <c r="M58" s="7">
        <f t="shared" si="4"/>
        <v>0</v>
      </c>
      <c r="N58" s="7"/>
      <c r="O58" s="7">
        <f t="shared" si="0"/>
        <v>0</v>
      </c>
    </row>
    <row r="59" spans="2:17" ht="15.75" x14ac:dyDescent="0.25">
      <c r="B59" s="2">
        <f>'2019г.'!N846</f>
        <v>0</v>
      </c>
      <c r="C59" s="5" t="s">
        <v>319</v>
      </c>
      <c r="D59" s="7"/>
      <c r="E59" s="7"/>
      <c r="F59" s="6"/>
      <c r="G59" s="7"/>
      <c r="H59" s="7"/>
      <c r="I59" s="7"/>
      <c r="J59" s="7"/>
      <c r="K59" s="7"/>
      <c r="L59" s="7"/>
      <c r="M59" s="7">
        <f t="shared" si="4"/>
        <v>0</v>
      </c>
      <c r="N59" s="7"/>
      <c r="O59" s="7">
        <f t="shared" si="0"/>
        <v>0</v>
      </c>
    </row>
    <row r="60" spans="2:17" ht="15.75" x14ac:dyDescent="0.25">
      <c r="B60" s="2">
        <f>'2019г.'!N847</f>
        <v>0</v>
      </c>
      <c r="C60" s="5" t="s">
        <v>111</v>
      </c>
      <c r="D60" s="6"/>
      <c r="E60" s="7"/>
      <c r="F60" s="6"/>
      <c r="G60" s="7"/>
      <c r="H60" s="7"/>
      <c r="I60" s="7"/>
      <c r="J60" s="7"/>
      <c r="K60" s="7"/>
      <c r="L60" s="7"/>
      <c r="M60" s="7">
        <f t="shared" si="4"/>
        <v>0</v>
      </c>
      <c r="N60" s="7"/>
      <c r="O60" s="7">
        <f t="shared" si="0"/>
        <v>0</v>
      </c>
    </row>
    <row r="61" spans="2:17" ht="15.75" x14ac:dyDescent="0.25">
      <c r="B61" s="2">
        <f>'2019г.'!N848</f>
        <v>0</v>
      </c>
      <c r="C61" s="5" t="s">
        <v>428</v>
      </c>
      <c r="D61" s="6"/>
      <c r="E61" s="7"/>
      <c r="F61" s="7"/>
      <c r="G61" s="7"/>
      <c r="H61" s="7"/>
      <c r="I61" s="7"/>
      <c r="J61" s="7"/>
      <c r="K61" s="7"/>
      <c r="L61" s="7"/>
      <c r="M61" s="7">
        <f t="shared" si="4"/>
        <v>0</v>
      </c>
      <c r="N61" s="7"/>
      <c r="O61" s="7">
        <f t="shared" si="0"/>
        <v>0</v>
      </c>
    </row>
    <row r="62" spans="2:17" ht="15.75" x14ac:dyDescent="0.25">
      <c r="B62" s="2">
        <f>'2019г.'!N849</f>
        <v>0</v>
      </c>
      <c r="C62" s="5" t="s">
        <v>113</v>
      </c>
      <c r="D62" s="6"/>
      <c r="E62" s="7"/>
      <c r="F62" s="7"/>
      <c r="G62" s="7"/>
      <c r="H62" s="7"/>
      <c r="I62" s="7"/>
      <c r="J62" s="7"/>
      <c r="K62" s="7"/>
      <c r="L62" s="7"/>
      <c r="M62" s="7">
        <f t="shared" si="4"/>
        <v>0</v>
      </c>
      <c r="N62" s="7"/>
      <c r="O62" s="7">
        <f t="shared" si="0"/>
        <v>0</v>
      </c>
    </row>
    <row r="63" spans="2:17" ht="15.75" x14ac:dyDescent="0.25">
      <c r="B63" s="2">
        <f>'2019г.'!N850</f>
        <v>-25</v>
      </c>
      <c r="C63" s="5" t="s">
        <v>454</v>
      </c>
      <c r="D63" s="6"/>
      <c r="E63" s="7"/>
      <c r="F63" s="7"/>
      <c r="G63" s="7"/>
      <c r="H63" s="7"/>
      <c r="I63" s="7"/>
      <c r="J63" s="7"/>
      <c r="K63" s="7"/>
      <c r="L63" s="7"/>
      <c r="M63" s="7">
        <f t="shared" si="4"/>
        <v>0</v>
      </c>
      <c r="N63" s="7">
        <v>25</v>
      </c>
      <c r="O63" s="7">
        <f t="shared" si="0"/>
        <v>0</v>
      </c>
      <c r="P63" s="29">
        <v>43804</v>
      </c>
    </row>
    <row r="64" spans="2:17" ht="15.75" x14ac:dyDescent="0.25">
      <c r="B64" s="2">
        <f>'2019г.'!N851</f>
        <v>0</v>
      </c>
      <c r="C64" s="5" t="s">
        <v>114</v>
      </c>
      <c r="D64" s="6"/>
      <c r="E64" s="7"/>
      <c r="F64" s="7"/>
      <c r="G64" s="7"/>
      <c r="H64" s="7"/>
      <c r="I64" s="7"/>
      <c r="J64" s="7"/>
      <c r="K64" s="7"/>
      <c r="L64" s="7"/>
      <c r="M64" s="7">
        <f t="shared" si="4"/>
        <v>0</v>
      </c>
      <c r="N64" s="7"/>
      <c r="O64" s="7">
        <f t="shared" si="0"/>
        <v>0</v>
      </c>
    </row>
    <row r="65" spans="2:16" ht="15.75" x14ac:dyDescent="0.25">
      <c r="B65" s="2">
        <f>'2019г.'!N852</f>
        <v>-25.7</v>
      </c>
      <c r="C65" s="5" t="s">
        <v>115</v>
      </c>
      <c r="D65" s="6"/>
      <c r="E65" s="7"/>
      <c r="F65" s="7"/>
      <c r="G65" s="7"/>
      <c r="H65" s="7"/>
      <c r="I65" s="7"/>
      <c r="J65" s="7"/>
      <c r="K65" s="7"/>
      <c r="L65" s="7"/>
      <c r="M65" s="7">
        <f t="shared" si="4"/>
        <v>0</v>
      </c>
      <c r="N65" s="7">
        <v>25.7</v>
      </c>
      <c r="O65" s="7">
        <f t="shared" si="0"/>
        <v>0</v>
      </c>
      <c r="P65" t="s">
        <v>471</v>
      </c>
    </row>
    <row r="66" spans="2:16" ht="15.75" x14ac:dyDescent="0.25">
      <c r="B66" s="2">
        <f>'2019г.'!N853</f>
        <v>-25</v>
      </c>
      <c r="C66" s="5" t="s">
        <v>252</v>
      </c>
      <c r="D66" s="7"/>
      <c r="E66" s="7"/>
      <c r="F66" s="7"/>
      <c r="G66" s="7"/>
      <c r="H66" s="7"/>
      <c r="I66" s="7"/>
      <c r="J66" s="7"/>
      <c r="K66" s="7"/>
      <c r="L66" s="7"/>
      <c r="M66" s="7">
        <f t="shared" si="4"/>
        <v>0</v>
      </c>
      <c r="N66" s="7">
        <v>25</v>
      </c>
      <c r="O66" s="7">
        <f t="shared" si="0"/>
        <v>0</v>
      </c>
      <c r="P66" t="s">
        <v>476</v>
      </c>
    </row>
    <row r="67" spans="2:16" ht="15.75" x14ac:dyDescent="0.25">
      <c r="B67" s="2">
        <f>'2019г.'!N854</f>
        <v>150</v>
      </c>
      <c r="C67" s="5" t="s">
        <v>117</v>
      </c>
      <c r="D67" s="7"/>
      <c r="E67" s="7"/>
      <c r="F67" s="7"/>
      <c r="G67" s="7"/>
      <c r="H67" s="7"/>
      <c r="I67" s="7"/>
      <c r="J67" s="7"/>
      <c r="K67" s="7"/>
      <c r="L67" s="7"/>
      <c r="M67" s="7">
        <f>SUM(D67:L67)</f>
        <v>0</v>
      </c>
      <c r="N67" s="7"/>
      <c r="O67" s="7">
        <f t="shared" si="0"/>
        <v>150</v>
      </c>
    </row>
    <row r="68" spans="2:16" ht="15.75" x14ac:dyDescent="0.25">
      <c r="B68" s="2">
        <f>'2019г.'!N855</f>
        <v>0</v>
      </c>
      <c r="C68" s="5" t="s">
        <v>118</v>
      </c>
      <c r="D68" s="7"/>
      <c r="E68" s="7"/>
      <c r="F68" s="7"/>
      <c r="G68" s="7"/>
      <c r="H68" s="7"/>
      <c r="I68" s="7"/>
      <c r="J68" s="7"/>
      <c r="K68" s="7"/>
      <c r="L68" s="7"/>
      <c r="M68" s="7">
        <f t="shared" ref="M68:M72" si="5">SUM(D68:L68)</f>
        <v>0</v>
      </c>
      <c r="N68" s="7"/>
      <c r="O68" s="7">
        <f t="shared" si="0"/>
        <v>0</v>
      </c>
    </row>
    <row r="69" spans="2:16" ht="15.75" x14ac:dyDescent="0.25">
      <c r="B69" s="2">
        <f>'2019г.'!N856</f>
        <v>0</v>
      </c>
      <c r="C69" s="5" t="s">
        <v>233</v>
      </c>
      <c r="D69" s="7"/>
      <c r="E69" s="7"/>
      <c r="F69" s="7"/>
      <c r="G69" s="7"/>
      <c r="H69" s="7"/>
      <c r="I69" s="7"/>
      <c r="J69" s="7"/>
      <c r="K69" s="7"/>
      <c r="L69" s="7"/>
      <c r="M69" s="7">
        <f t="shared" si="5"/>
        <v>0</v>
      </c>
      <c r="N69" s="7"/>
      <c r="O69" s="7">
        <f t="shared" si="0"/>
        <v>0</v>
      </c>
    </row>
    <row r="70" spans="2:16" ht="15.75" x14ac:dyDescent="0.25">
      <c r="B70" s="2">
        <f>'2019г.'!N857</f>
        <v>-25</v>
      </c>
      <c r="C70" s="5" t="s">
        <v>135</v>
      </c>
      <c r="D70" s="7"/>
      <c r="E70" s="7"/>
      <c r="F70" s="7"/>
      <c r="G70" s="7"/>
      <c r="H70" s="7"/>
      <c r="I70" s="7"/>
      <c r="J70" s="7"/>
      <c r="K70" s="7"/>
      <c r="L70" s="7"/>
      <c r="M70" s="7">
        <f t="shared" si="5"/>
        <v>0</v>
      </c>
      <c r="N70" s="7"/>
      <c r="O70" s="7">
        <f>N70+B70-M70</f>
        <v>-25</v>
      </c>
      <c r="P70" s="29"/>
    </row>
    <row r="71" spans="2:16" ht="15.75" x14ac:dyDescent="0.25">
      <c r="B71" s="2">
        <f>'2019г.'!N858</f>
        <v>-5.6843418860808015E-14</v>
      </c>
      <c r="C71" s="5" t="s">
        <v>305</v>
      </c>
      <c r="D71" s="7"/>
      <c r="E71" s="7"/>
      <c r="F71" s="7"/>
      <c r="G71" s="7"/>
      <c r="H71" s="7"/>
      <c r="I71" s="7"/>
      <c r="J71" s="7"/>
      <c r="K71" s="7"/>
      <c r="L71" s="7"/>
      <c r="M71" s="7">
        <f t="shared" si="5"/>
        <v>0</v>
      </c>
      <c r="N71" s="7"/>
      <c r="O71" s="7">
        <f t="shared" si="0"/>
        <v>-5.6843418860808015E-14</v>
      </c>
    </row>
    <row r="72" spans="2:16" ht="15.75" x14ac:dyDescent="0.25">
      <c r="B72" s="2">
        <f>'2019г.'!N859</f>
        <v>0</v>
      </c>
      <c r="C72" s="5" t="s">
        <v>353</v>
      </c>
      <c r="D72" s="7"/>
      <c r="E72" s="7"/>
      <c r="F72" s="7"/>
      <c r="G72" s="7"/>
      <c r="H72" s="7"/>
      <c r="I72" s="7"/>
      <c r="J72" s="7"/>
      <c r="K72" s="7"/>
      <c r="L72" s="7"/>
      <c r="M72" s="7">
        <f t="shared" si="5"/>
        <v>0</v>
      </c>
      <c r="N72" s="7"/>
      <c r="O72" s="7">
        <f t="shared" si="0"/>
        <v>0</v>
      </c>
    </row>
    <row r="73" spans="2:16" ht="15.75" x14ac:dyDescent="0.25">
      <c r="B73" s="2">
        <f>'2019г.'!N860</f>
        <v>-3026.67</v>
      </c>
      <c r="C73" s="6" t="s">
        <v>104</v>
      </c>
      <c r="D73" s="7">
        <f t="shared" ref="D73:J73" si="6">SUM(D4:D71)</f>
        <v>140</v>
      </c>
      <c r="E73" s="7">
        <f t="shared" si="6"/>
        <v>57.1</v>
      </c>
      <c r="F73" s="7">
        <f t="shared" si="6"/>
        <v>45</v>
      </c>
      <c r="G73" s="7">
        <f t="shared" si="6"/>
        <v>118.85</v>
      </c>
      <c r="H73" s="7">
        <f t="shared" si="6"/>
        <v>58.3</v>
      </c>
      <c r="I73" s="7">
        <f t="shared" si="6"/>
        <v>155.79999999999998</v>
      </c>
      <c r="J73" s="7">
        <f t="shared" si="6"/>
        <v>0</v>
      </c>
      <c r="K73" s="7">
        <f>SUM(K4:K71)</f>
        <v>534.6</v>
      </c>
      <c r="L73" s="7">
        <f>SUM(L4:L72)</f>
        <v>0</v>
      </c>
      <c r="M73" s="7">
        <f>SUM(M4:M72)</f>
        <v>1109.6500000000001</v>
      </c>
      <c r="N73" s="15">
        <f>SUM(N4:N72)</f>
        <v>744.90000000000009</v>
      </c>
      <c r="O73" s="7">
        <f>SUM(O4:O72)</f>
        <v>-3391.4199999999992</v>
      </c>
    </row>
    <row r="77" spans="2:16" ht="15.75" x14ac:dyDescent="0.25">
      <c r="C77" s="66" t="s">
        <v>461</v>
      </c>
      <c r="D77" s="67"/>
      <c r="E77" s="67"/>
      <c r="F77" s="67"/>
      <c r="G77" s="67"/>
      <c r="H77" s="67"/>
      <c r="I77" s="67"/>
      <c r="J77" s="67"/>
      <c r="K77" s="67"/>
      <c r="L77" s="39"/>
      <c r="M77" s="57" t="s">
        <v>68</v>
      </c>
      <c r="N77" s="61" t="s">
        <v>137</v>
      </c>
      <c r="O77" s="57" t="s">
        <v>437</v>
      </c>
    </row>
    <row r="78" spans="2:16" ht="15.75" x14ac:dyDescent="0.25">
      <c r="C78" s="5"/>
      <c r="D78" s="68" t="s">
        <v>463</v>
      </c>
      <c r="E78" s="69"/>
      <c r="F78" s="7"/>
      <c r="G78" s="7"/>
      <c r="H78" s="7"/>
      <c r="I78" s="7"/>
      <c r="J78" s="7"/>
      <c r="K78" s="7"/>
      <c r="L78" s="7"/>
      <c r="M78" s="58"/>
      <c r="N78" s="62"/>
      <c r="O78" s="58"/>
    </row>
    <row r="79" spans="2:16" ht="15.75" x14ac:dyDescent="0.25">
      <c r="B79" s="42">
        <v>-8.57</v>
      </c>
      <c r="C79" s="5" t="s">
        <v>462</v>
      </c>
      <c r="D79" s="38"/>
      <c r="E79" s="38"/>
      <c r="F79" s="7"/>
      <c r="G79" s="7"/>
      <c r="H79" s="7"/>
      <c r="I79" s="7"/>
      <c r="J79" s="7"/>
      <c r="K79" s="7"/>
      <c r="L79" s="7"/>
      <c r="M79" s="7">
        <v>0</v>
      </c>
      <c r="N79" s="7">
        <v>0</v>
      </c>
      <c r="O79" s="7">
        <f>B79</f>
        <v>-8.57</v>
      </c>
    </row>
    <row r="80" spans="2:16" ht="15.75" x14ac:dyDescent="0.25">
      <c r="C80" s="5"/>
      <c r="D80" s="7"/>
      <c r="E80" s="7"/>
      <c r="F80" s="7"/>
      <c r="G80" s="7"/>
      <c r="H80" s="7"/>
      <c r="I80" s="7"/>
      <c r="J80" s="7"/>
      <c r="K80" s="7"/>
      <c r="L80" s="7"/>
      <c r="M80" s="7">
        <f>SUM(M79)</f>
        <v>0</v>
      </c>
      <c r="N80" s="7">
        <f>SUM(N79)</f>
        <v>0</v>
      </c>
      <c r="O80" s="7">
        <f>O79</f>
        <v>-8.57</v>
      </c>
    </row>
  </sheetData>
  <mergeCells count="10">
    <mergeCell ref="B2:B3"/>
    <mergeCell ref="C2:C3"/>
    <mergeCell ref="M2:M3"/>
    <mergeCell ref="N2:N3"/>
    <mergeCell ref="O2:O3"/>
    <mergeCell ref="C77:K77"/>
    <mergeCell ref="M77:M78"/>
    <mergeCell ref="N77:N78"/>
    <mergeCell ref="O77:O78"/>
    <mergeCell ref="D78:E78"/>
  </mergeCells>
  <pageMargins left="0.31496062992125984" right="0" top="1.1417322834645669" bottom="0.55118110236220474" header="0.31496062992125984" footer="0.31496062992125984"/>
  <pageSetup paperSize="9" orientation="landscape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январь 2020</vt:lpstr>
      <vt:lpstr>Лист1</vt:lpstr>
      <vt:lpstr>2019г.</vt:lpstr>
      <vt:lpstr>декабрь 2019</vt:lpstr>
      <vt:lpstr>Лист3</vt:lpstr>
    </vt:vector>
  </TitlesOfParts>
  <Company>SPecialiST RePack, Sanbuild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</dc:creator>
  <cp:lastModifiedBy>Стасюк Юрий Степанович</cp:lastModifiedBy>
  <cp:lastPrinted>2020-12-04T12:40:55Z</cp:lastPrinted>
  <dcterms:created xsi:type="dcterms:W3CDTF">2016-11-17T06:37:47Z</dcterms:created>
  <dcterms:modified xsi:type="dcterms:W3CDTF">2020-12-21T08:05:28Z</dcterms:modified>
</cp:coreProperties>
</file>