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623BBE8-6CBC-EE44-93C3-1BC721F4CE9E}" xr6:coauthVersionLast="47" xr6:coauthVersionMax="47" xr10:uidLastSave="{00000000-0000-0000-0000-000000000000}"/>
  <bookViews>
    <workbookView xWindow="2200" yWindow="1300" windowWidth="29440" windowHeight="18520" xr2:uid="{00000000-000D-0000-FFFF-FFFF00000000}"/>
  </bookViews>
  <sheets>
    <sheet name="DCF" sheetId="10" r:id="rId1"/>
    <sheet name="Forecast Triggers" sheetId="13" r:id="rId2"/>
    <sheet name="WACC" sheetId="11" r:id="rId3"/>
    <sheet name="Net CapEx" sheetId="18" r:id="rId4"/>
    <sheet name="Working Capital" sheetId="19" r:id="rId5"/>
    <sheet name="Operating Model" sheetId="1" r:id="rId6"/>
    <sheet name=" Segments" sheetId="2" r:id="rId7"/>
    <sheet name="AWS" sheetId="6" r:id="rId8"/>
    <sheet name="Prime" sheetId="5" r:id="rId9"/>
    <sheet name="Retail" sheetId="7" r:id="rId10"/>
    <sheet name="Whole Foods" sheetId="9" r:id="rId11"/>
    <sheet name="Shipping " sheetId="8" r:id="rId12"/>
    <sheet name="Debt &amp; Acquisitions" sheetId="4" state="hidden" r:id="rId13"/>
    <sheet name="Sheet1" sheetId="20" state="hidden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7" l="1"/>
  <c r="F3" i="7" s="1"/>
  <c r="G3" i="7" s="1"/>
  <c r="H3" i="7" s="1"/>
  <c r="I3" i="7" s="1"/>
  <c r="J3" i="7" s="1"/>
  <c r="K3" i="7" s="1"/>
  <c r="L3" i="7" s="1"/>
  <c r="M3" i="7" s="1"/>
  <c r="D3" i="7"/>
  <c r="H2" i="19"/>
  <c r="I2" i="19"/>
  <c r="J2" i="19" s="1"/>
  <c r="K2" i="19" s="1"/>
  <c r="L2" i="19" s="1"/>
  <c r="M2" i="19" s="1"/>
  <c r="N2" i="19" s="1"/>
  <c r="O2" i="19" s="1"/>
  <c r="P2" i="19" s="1"/>
  <c r="G2" i="19"/>
  <c r="F2" i="18"/>
  <c r="G2" i="18" s="1"/>
  <c r="H2" i="18" s="1"/>
  <c r="I2" i="18" s="1"/>
  <c r="J2" i="18" s="1"/>
  <c r="K2" i="18" s="1"/>
  <c r="L2" i="18" s="1"/>
  <c r="M2" i="18" s="1"/>
  <c r="N2" i="18" s="1"/>
  <c r="O2" i="18" s="1"/>
  <c r="E2" i="18"/>
  <c r="E64" i="13"/>
  <c r="F64" i="13"/>
  <c r="G64" i="13"/>
  <c r="H64" i="13"/>
  <c r="D64" i="13"/>
  <c r="E56" i="13"/>
  <c r="F56" i="13"/>
  <c r="G56" i="13"/>
  <c r="H56" i="13"/>
  <c r="D56" i="13"/>
  <c r="H42" i="13"/>
  <c r="G42" i="13"/>
  <c r="F42" i="13"/>
  <c r="E42" i="13"/>
  <c r="D42" i="13"/>
  <c r="E22" i="13"/>
  <c r="F22" i="13"/>
  <c r="G22" i="13"/>
  <c r="H22" i="13"/>
  <c r="D22" i="13"/>
  <c r="F2" i="13"/>
  <c r="G2" i="13" s="1"/>
  <c r="H2" i="13" s="1"/>
  <c r="E2" i="13"/>
  <c r="W29" i="10" l="1"/>
  <c r="W28" i="10"/>
  <c r="W27" i="10"/>
  <c r="W26" i="10"/>
  <c r="W25" i="10"/>
  <c r="X24" i="10"/>
  <c r="S8" i="10"/>
  <c r="Z29" i="10" s="1"/>
  <c r="S7" i="10"/>
  <c r="Z28" i="10" s="1"/>
  <c r="S6" i="10"/>
  <c r="Z27" i="10" s="1"/>
  <c r="Z26" i="10" s="1"/>
  <c r="Z25" i="10" s="1"/>
  <c r="J55" i="4" l="1"/>
  <c r="I55" i="4"/>
  <c r="H55" i="4"/>
  <c r="G55" i="4"/>
  <c r="F55" i="4"/>
  <c r="E55" i="4"/>
  <c r="K54" i="4"/>
  <c r="K53" i="4"/>
  <c r="K52" i="4"/>
  <c r="K51" i="4"/>
  <c r="K50" i="4"/>
  <c r="K49" i="4"/>
  <c r="D45" i="4"/>
  <c r="D44" i="4"/>
  <c r="D41" i="4"/>
  <c r="G37" i="4" s="1"/>
  <c r="G38" i="4"/>
  <c r="F38" i="4"/>
  <c r="F37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H29" i="4" s="1"/>
  <c r="G28" i="4"/>
  <c r="F28" i="4"/>
  <c r="H28" i="4" s="1"/>
  <c r="G27" i="4"/>
  <c r="F27" i="4"/>
  <c r="G26" i="4"/>
  <c r="F26" i="4"/>
  <c r="G25" i="4"/>
  <c r="H25" i="4" s="1"/>
  <c r="G21" i="4"/>
  <c r="F21" i="4"/>
  <c r="E21" i="4"/>
  <c r="G15" i="4"/>
  <c r="F15" i="4"/>
  <c r="E15" i="4"/>
  <c r="D67" i="9"/>
  <c r="C67" i="9"/>
  <c r="E66" i="9"/>
  <c r="D66" i="9"/>
  <c r="C66" i="9"/>
  <c r="G64" i="9"/>
  <c r="F64" i="9"/>
  <c r="E64" i="9"/>
  <c r="F62" i="9"/>
  <c r="G61" i="9"/>
  <c r="F61" i="9"/>
  <c r="E61" i="9"/>
  <c r="D61" i="9"/>
  <c r="C61" i="9"/>
  <c r="G58" i="9"/>
  <c r="F58" i="9"/>
  <c r="E58" i="9"/>
  <c r="D58" i="9"/>
  <c r="F56" i="9"/>
  <c r="E56" i="9"/>
  <c r="D56" i="9"/>
  <c r="D57" i="9" s="1"/>
  <c r="C56" i="9"/>
  <c r="F54" i="9"/>
  <c r="E54" i="9"/>
  <c r="D54" i="9"/>
  <c r="I50" i="9"/>
  <c r="H50" i="9"/>
  <c r="G50" i="9"/>
  <c r="G49" i="9" s="1"/>
  <c r="I49" i="9"/>
  <c r="F49" i="9"/>
  <c r="E49" i="9"/>
  <c r="D49" i="9"/>
  <c r="G42" i="9"/>
  <c r="F42" i="9"/>
  <c r="E42" i="9"/>
  <c r="D42" i="9"/>
  <c r="C42" i="9"/>
  <c r="G40" i="9"/>
  <c r="F40" i="9"/>
  <c r="E40" i="9"/>
  <c r="D40" i="9"/>
  <c r="C40" i="9"/>
  <c r="G33" i="9"/>
  <c r="G32" i="9"/>
  <c r="F32" i="9"/>
  <c r="F33" i="9" s="1"/>
  <c r="E32" i="9"/>
  <c r="E33" i="9" s="1"/>
  <c r="D32" i="9"/>
  <c r="D33" i="9" s="1"/>
  <c r="G26" i="9"/>
  <c r="G27" i="9" s="1"/>
  <c r="F26" i="9"/>
  <c r="F27" i="9" s="1"/>
  <c r="E26" i="9"/>
  <c r="E27" i="9" s="1"/>
  <c r="D26" i="9"/>
  <c r="D27" i="9" s="1"/>
  <c r="G20" i="9"/>
  <c r="F20" i="9"/>
  <c r="E20" i="9"/>
  <c r="D20" i="9"/>
  <c r="G17" i="9"/>
  <c r="F17" i="9"/>
  <c r="E17" i="9"/>
  <c r="D17" i="9"/>
  <c r="G11" i="9"/>
  <c r="F11" i="9"/>
  <c r="F66" i="9" s="1"/>
  <c r="E11" i="9"/>
  <c r="G8" i="9"/>
  <c r="G63" i="9" s="1"/>
  <c r="F8" i="9"/>
  <c r="F63" i="9" s="1"/>
  <c r="E8" i="9"/>
  <c r="E63" i="9" s="1"/>
  <c r="D8" i="9"/>
  <c r="C8" i="9"/>
  <c r="C63" i="9" s="1"/>
  <c r="G7" i="9"/>
  <c r="F7" i="9"/>
  <c r="F67" i="9" s="1"/>
  <c r="E7" i="9"/>
  <c r="E67" i="9" s="1"/>
  <c r="D7" i="9"/>
  <c r="D62" i="9" s="1"/>
  <c r="C7" i="9"/>
  <c r="C62" i="9" s="1"/>
  <c r="I5" i="9"/>
  <c r="J5" i="9" s="1"/>
  <c r="I6" i="7" s="1"/>
  <c r="H5" i="9"/>
  <c r="H9" i="9" s="1"/>
  <c r="G191" i="2" s="1"/>
  <c r="M65" i="7"/>
  <c r="L65" i="7"/>
  <c r="K65" i="7"/>
  <c r="J65" i="7"/>
  <c r="I65" i="7"/>
  <c r="K54" i="7"/>
  <c r="L54" i="7" s="1"/>
  <c r="M54" i="7" s="1"/>
  <c r="J54" i="7"/>
  <c r="H41" i="7"/>
  <c r="G41" i="7"/>
  <c r="F41" i="7"/>
  <c r="E41" i="7"/>
  <c r="D41" i="7"/>
  <c r="D70" i="7" s="1"/>
  <c r="C41" i="7"/>
  <c r="H40" i="7"/>
  <c r="I40" i="7" s="1"/>
  <c r="G40" i="7"/>
  <c r="F40" i="7"/>
  <c r="E40" i="7"/>
  <c r="D40" i="7"/>
  <c r="C40" i="7"/>
  <c r="F26" i="7"/>
  <c r="E26" i="7"/>
  <c r="D26" i="7"/>
  <c r="C26" i="7"/>
  <c r="F25" i="7"/>
  <c r="E25" i="7"/>
  <c r="D25" i="7"/>
  <c r="C25" i="7"/>
  <c r="F24" i="7"/>
  <c r="E24" i="7"/>
  <c r="D24" i="7"/>
  <c r="C24" i="7"/>
  <c r="F23" i="7"/>
  <c r="E23" i="7"/>
  <c r="D23" i="7"/>
  <c r="C23" i="7"/>
  <c r="F22" i="7"/>
  <c r="E22" i="7"/>
  <c r="D22" i="7"/>
  <c r="C22" i="7"/>
  <c r="F20" i="7"/>
  <c r="F27" i="7" s="1"/>
  <c r="E20" i="7"/>
  <c r="D20" i="7"/>
  <c r="C20" i="7"/>
  <c r="F6" i="7"/>
  <c r="H44" i="5"/>
  <c r="G44" i="5"/>
  <c r="F44" i="5"/>
  <c r="E44" i="5"/>
  <c r="D44" i="5"/>
  <c r="J36" i="5"/>
  <c r="K36" i="5" s="1"/>
  <c r="L36" i="5" s="1"/>
  <c r="M36" i="5" s="1"/>
  <c r="L32" i="5"/>
  <c r="M32" i="5" s="1"/>
  <c r="K32" i="5"/>
  <c r="D29" i="5"/>
  <c r="D28" i="5"/>
  <c r="S8" i="5"/>
  <c r="C8" i="5"/>
  <c r="C39" i="7" s="1"/>
  <c r="H7" i="5"/>
  <c r="G7" i="5"/>
  <c r="D7" i="5"/>
  <c r="E6" i="5"/>
  <c r="E7" i="5" s="1"/>
  <c r="D6" i="5"/>
  <c r="D8" i="5" s="1"/>
  <c r="P5" i="5"/>
  <c r="P3" i="5" s="1"/>
  <c r="P8" i="5" s="1"/>
  <c r="P9" i="5" s="1"/>
  <c r="J5" i="2" s="1"/>
  <c r="J14" i="2" s="1"/>
  <c r="O5" i="5"/>
  <c r="H5" i="5"/>
  <c r="H3" i="5" s="1"/>
  <c r="H8" i="5" s="1"/>
  <c r="H39" i="7" s="1"/>
  <c r="G5" i="5"/>
  <c r="F5" i="5"/>
  <c r="F3" i="5" s="1"/>
  <c r="F8" i="5" s="1"/>
  <c r="E5" i="5"/>
  <c r="E3" i="5" s="1"/>
  <c r="E29" i="5" s="1"/>
  <c r="D5" i="5"/>
  <c r="C5" i="5"/>
  <c r="Q4" i="5"/>
  <c r="P4" i="5"/>
  <c r="O4" i="5"/>
  <c r="G3" i="5"/>
  <c r="H25" i="6"/>
  <c r="G25" i="6"/>
  <c r="F25" i="6"/>
  <c r="E25" i="6"/>
  <c r="D25" i="6"/>
  <c r="E18" i="6"/>
  <c r="P4" i="6"/>
  <c r="O4" i="6"/>
  <c r="H4" i="6"/>
  <c r="H27" i="6" s="1"/>
  <c r="G4" i="6"/>
  <c r="F4" i="6"/>
  <c r="B4" i="6"/>
  <c r="P3" i="6"/>
  <c r="P7" i="6" s="1"/>
  <c r="J139" i="2" s="1"/>
  <c r="J138" i="2" s="1"/>
  <c r="J191" i="2" s="1"/>
  <c r="O3" i="6"/>
  <c r="O7" i="6" s="1"/>
  <c r="I139" i="2" s="1"/>
  <c r="I138" i="2" s="1"/>
  <c r="I191" i="2" s="1"/>
  <c r="H3" i="6"/>
  <c r="D34" i="6" s="1"/>
  <c r="D38" i="6" s="1"/>
  <c r="G3" i="6"/>
  <c r="F3" i="6"/>
  <c r="F23" i="6" s="1"/>
  <c r="E3" i="6"/>
  <c r="D3" i="6"/>
  <c r="D23" i="2" s="1"/>
  <c r="C3" i="6"/>
  <c r="B3" i="6"/>
  <c r="H2" i="6"/>
  <c r="G2" i="6"/>
  <c r="F2" i="6"/>
  <c r="E2" i="6"/>
  <c r="D2" i="6"/>
  <c r="C2" i="6"/>
  <c r="F191" i="2"/>
  <c r="E191" i="2"/>
  <c r="D191" i="2"/>
  <c r="C191" i="2"/>
  <c r="J189" i="2"/>
  <c r="I189" i="2"/>
  <c r="H189" i="2"/>
  <c r="G189" i="2"/>
  <c r="F189" i="2"/>
  <c r="E189" i="2"/>
  <c r="D189" i="2"/>
  <c r="C189" i="2"/>
  <c r="J185" i="2"/>
  <c r="I185" i="2"/>
  <c r="H182" i="2"/>
  <c r="H14" i="5" s="1"/>
  <c r="G182" i="2"/>
  <c r="G14" i="5" s="1"/>
  <c r="F182" i="2"/>
  <c r="F14" i="5" s="1"/>
  <c r="E182" i="2"/>
  <c r="E14" i="5" s="1"/>
  <c r="D182" i="2"/>
  <c r="D14" i="5" s="1"/>
  <c r="C182" i="2"/>
  <c r="C14" i="5" s="1"/>
  <c r="H181" i="2"/>
  <c r="G181" i="2"/>
  <c r="F181" i="2"/>
  <c r="E181" i="2"/>
  <c r="D181" i="2"/>
  <c r="C181" i="2"/>
  <c r="K178" i="2"/>
  <c r="J178" i="2"/>
  <c r="I178" i="2"/>
  <c r="H178" i="2"/>
  <c r="G178" i="2"/>
  <c r="F178" i="2"/>
  <c r="E178" i="2"/>
  <c r="D178" i="2"/>
  <c r="H173" i="2"/>
  <c r="G173" i="2"/>
  <c r="F173" i="2"/>
  <c r="E173" i="2"/>
  <c r="D173" i="2"/>
  <c r="H172" i="2"/>
  <c r="G172" i="2"/>
  <c r="F172" i="2"/>
  <c r="E172" i="2"/>
  <c r="D172" i="2"/>
  <c r="H171" i="2"/>
  <c r="G171" i="2"/>
  <c r="F171" i="2"/>
  <c r="E171" i="2"/>
  <c r="D171" i="2"/>
  <c r="H170" i="2"/>
  <c r="G170" i="2"/>
  <c r="F170" i="2"/>
  <c r="E170" i="2"/>
  <c r="D170" i="2"/>
  <c r="H168" i="2"/>
  <c r="G168" i="2"/>
  <c r="F168" i="2"/>
  <c r="E168" i="2"/>
  <c r="D168" i="2"/>
  <c r="H167" i="2"/>
  <c r="G167" i="2"/>
  <c r="F167" i="2"/>
  <c r="E167" i="2"/>
  <c r="D167" i="2"/>
  <c r="H164" i="2"/>
  <c r="G164" i="2"/>
  <c r="F164" i="2"/>
  <c r="E164" i="2"/>
  <c r="D164" i="2"/>
  <c r="H163" i="2"/>
  <c r="G163" i="2"/>
  <c r="F163" i="2"/>
  <c r="E163" i="2"/>
  <c r="D163" i="2"/>
  <c r="J162" i="2"/>
  <c r="H162" i="2"/>
  <c r="G162" i="2"/>
  <c r="F162" i="2"/>
  <c r="E162" i="2"/>
  <c r="D162" i="2"/>
  <c r="I143" i="2"/>
  <c r="J142" i="2"/>
  <c r="J143" i="2" s="1"/>
  <c r="I142" i="2"/>
  <c r="K141" i="2"/>
  <c r="K140" i="2"/>
  <c r="H137" i="2"/>
  <c r="G137" i="2"/>
  <c r="O12" i="1" s="1"/>
  <c r="O38" i="1" s="1"/>
  <c r="F137" i="2"/>
  <c r="E137" i="2"/>
  <c r="E169" i="2" s="1"/>
  <c r="D137" i="2"/>
  <c r="C137" i="2"/>
  <c r="K12" i="1" s="1"/>
  <c r="K38" i="1" s="1"/>
  <c r="K136" i="2"/>
  <c r="K135" i="2"/>
  <c r="H132" i="2"/>
  <c r="G132" i="2"/>
  <c r="F132" i="2"/>
  <c r="F183" i="2" s="1"/>
  <c r="E132" i="2"/>
  <c r="E165" i="2" s="1"/>
  <c r="D132" i="2"/>
  <c r="D183" i="2" s="1"/>
  <c r="C132" i="2"/>
  <c r="C183" i="2" s="1"/>
  <c r="J131" i="2"/>
  <c r="P14" i="5" s="1"/>
  <c r="S14" i="5" s="1"/>
  <c r="I131" i="2"/>
  <c r="O14" i="5" s="1"/>
  <c r="J130" i="2"/>
  <c r="P13" i="5" s="1"/>
  <c r="I130" i="2"/>
  <c r="K128" i="2"/>
  <c r="K162" i="2" s="1"/>
  <c r="K127" i="2"/>
  <c r="J127" i="2"/>
  <c r="I127" i="2"/>
  <c r="H127" i="2"/>
  <c r="G127" i="2"/>
  <c r="F127" i="2"/>
  <c r="E127" i="2"/>
  <c r="D127" i="2"/>
  <c r="E120" i="2"/>
  <c r="D120" i="2"/>
  <c r="H119" i="2"/>
  <c r="G119" i="2"/>
  <c r="F119" i="2"/>
  <c r="H118" i="2"/>
  <c r="G118" i="2"/>
  <c r="F118" i="2"/>
  <c r="E118" i="2"/>
  <c r="D118" i="2"/>
  <c r="J115" i="2"/>
  <c r="I115" i="2"/>
  <c r="H115" i="2"/>
  <c r="G115" i="2"/>
  <c r="F115" i="2"/>
  <c r="K114" i="2"/>
  <c r="E114" i="2"/>
  <c r="E4" i="6" s="1"/>
  <c r="D114" i="2"/>
  <c r="D4" i="6" s="1"/>
  <c r="C114" i="2"/>
  <c r="C4" i="6" s="1"/>
  <c r="K113" i="2"/>
  <c r="E105" i="2"/>
  <c r="D105" i="2"/>
  <c r="H104" i="2"/>
  <c r="G104" i="2"/>
  <c r="H103" i="2"/>
  <c r="G103" i="2"/>
  <c r="F103" i="2"/>
  <c r="E103" i="2"/>
  <c r="H100" i="2"/>
  <c r="G100" i="2"/>
  <c r="F100" i="2"/>
  <c r="E99" i="2"/>
  <c r="E104" i="2" s="1"/>
  <c r="D99" i="2"/>
  <c r="C99" i="2"/>
  <c r="C109" i="2" s="1"/>
  <c r="C98" i="2"/>
  <c r="D103" i="2" s="1"/>
  <c r="E90" i="2"/>
  <c r="D90" i="2"/>
  <c r="H89" i="2"/>
  <c r="G89" i="2"/>
  <c r="F89" i="2"/>
  <c r="H88" i="2"/>
  <c r="G88" i="2"/>
  <c r="F88" i="2"/>
  <c r="E88" i="2"/>
  <c r="D88" i="2"/>
  <c r="H85" i="2"/>
  <c r="G85" i="2"/>
  <c r="F85" i="2"/>
  <c r="E84" i="2"/>
  <c r="D84" i="2"/>
  <c r="D89" i="2" s="1"/>
  <c r="C84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H78" i="2"/>
  <c r="G78" i="2"/>
  <c r="F78" i="2"/>
  <c r="E78" i="2"/>
  <c r="D78" i="2"/>
  <c r="H77" i="2"/>
  <c r="G77" i="2"/>
  <c r="F77" i="2"/>
  <c r="E77" i="2"/>
  <c r="D77" i="2"/>
  <c r="H76" i="2"/>
  <c r="G76" i="2"/>
  <c r="F76" i="2"/>
  <c r="E76" i="2"/>
  <c r="D76" i="2"/>
  <c r="H75" i="2"/>
  <c r="G75" i="2"/>
  <c r="F75" i="2"/>
  <c r="E75" i="2"/>
  <c r="D75" i="2"/>
  <c r="H74" i="2"/>
  <c r="G74" i="2"/>
  <c r="F74" i="2"/>
  <c r="E74" i="2"/>
  <c r="D74" i="2"/>
  <c r="D71" i="2"/>
  <c r="D67" i="2"/>
  <c r="H64" i="2"/>
  <c r="G64" i="2"/>
  <c r="G69" i="2" s="1"/>
  <c r="F64" i="2"/>
  <c r="E64" i="2"/>
  <c r="E68" i="2" s="1"/>
  <c r="D64" i="2"/>
  <c r="D69" i="2" s="1"/>
  <c r="C64" i="2"/>
  <c r="C71" i="2" s="1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H55" i="2"/>
  <c r="G55" i="2"/>
  <c r="F55" i="2"/>
  <c r="E55" i="2"/>
  <c r="D55" i="2"/>
  <c r="H54" i="2"/>
  <c r="G54" i="2"/>
  <c r="F54" i="2"/>
  <c r="E54" i="2"/>
  <c r="D54" i="2"/>
  <c r="H53" i="2"/>
  <c r="G53" i="2"/>
  <c r="F53" i="2"/>
  <c r="E53" i="2"/>
  <c r="D53" i="2"/>
  <c r="H52" i="2"/>
  <c r="G52" i="2"/>
  <c r="F52" i="2"/>
  <c r="E52" i="2"/>
  <c r="D52" i="2"/>
  <c r="H51" i="2"/>
  <c r="G51" i="2"/>
  <c r="H50" i="2"/>
  <c r="G50" i="2"/>
  <c r="F50" i="2"/>
  <c r="E50" i="2"/>
  <c r="D50" i="2"/>
  <c r="H47" i="2"/>
  <c r="F47" i="2"/>
  <c r="G42" i="2"/>
  <c r="J39" i="2"/>
  <c r="J44" i="2" s="1"/>
  <c r="I39" i="2"/>
  <c r="I45" i="2" s="1"/>
  <c r="H39" i="2"/>
  <c r="H109" i="2" s="1"/>
  <c r="G39" i="2"/>
  <c r="G109" i="2" s="1"/>
  <c r="F39" i="2"/>
  <c r="F109" i="2" s="1"/>
  <c r="E39" i="2"/>
  <c r="E124" i="2" s="1"/>
  <c r="D39" i="2"/>
  <c r="D45" i="2" s="1"/>
  <c r="C39" i="2"/>
  <c r="C42" i="2" s="1"/>
  <c r="K38" i="2"/>
  <c r="K37" i="2"/>
  <c r="K54" i="2" s="1"/>
  <c r="K36" i="2"/>
  <c r="K53" i="2" s="1"/>
  <c r="L35" i="2"/>
  <c r="K35" i="2"/>
  <c r="K34" i="2"/>
  <c r="K51" i="2" s="1"/>
  <c r="K33" i="2"/>
  <c r="K50" i="2" s="1"/>
  <c r="K32" i="2"/>
  <c r="J32" i="2"/>
  <c r="I32" i="2"/>
  <c r="J25" i="2"/>
  <c r="P10" i="6" s="1"/>
  <c r="P11" i="6" s="1"/>
  <c r="I25" i="2"/>
  <c r="O10" i="6" s="1"/>
  <c r="G23" i="2"/>
  <c r="F23" i="2"/>
  <c r="E23" i="2"/>
  <c r="C23" i="2"/>
  <c r="T11" i="2"/>
  <c r="R10" i="2"/>
  <c r="T5" i="2"/>
  <c r="T10" i="2" s="1"/>
  <c r="S5" i="2"/>
  <c r="S11" i="2" s="1"/>
  <c r="R5" i="2"/>
  <c r="R6" i="2" s="1"/>
  <c r="Q128" i="1"/>
  <c r="Q94" i="1" s="1"/>
  <c r="L128" i="1"/>
  <c r="P127" i="1"/>
  <c r="O127" i="1"/>
  <c r="N127" i="1"/>
  <c r="M127" i="1"/>
  <c r="L127" i="1"/>
  <c r="K127" i="1"/>
  <c r="S126" i="1"/>
  <c r="S125" i="1"/>
  <c r="R124" i="1"/>
  <c r="Q124" i="1"/>
  <c r="Q127" i="1" s="1"/>
  <c r="R123" i="1"/>
  <c r="R127" i="1" s="1"/>
  <c r="Q123" i="1"/>
  <c r="P122" i="1"/>
  <c r="P128" i="1" s="1"/>
  <c r="O122" i="1"/>
  <c r="N122" i="1"/>
  <c r="M122" i="1"/>
  <c r="M128" i="1" s="1"/>
  <c r="L122" i="1"/>
  <c r="K122" i="1"/>
  <c r="K128" i="1" s="1"/>
  <c r="F9" i="19" s="1"/>
  <c r="R121" i="1"/>
  <c r="S121" i="1" s="1"/>
  <c r="S122" i="1" s="1"/>
  <c r="Q121" i="1"/>
  <c r="S120" i="1"/>
  <c r="Q120" i="1"/>
  <c r="Q122" i="1" s="1"/>
  <c r="R116" i="1"/>
  <c r="Q116" i="1"/>
  <c r="M116" i="1"/>
  <c r="S114" i="1"/>
  <c r="P114" i="1"/>
  <c r="P116" i="1" s="1"/>
  <c r="O114" i="1"/>
  <c r="O116" i="1" s="1"/>
  <c r="N114" i="1"/>
  <c r="N116" i="1" s="1"/>
  <c r="M114" i="1"/>
  <c r="L114" i="1"/>
  <c r="L116" i="1" s="1"/>
  <c r="K114" i="1"/>
  <c r="K116" i="1" s="1"/>
  <c r="S113" i="1"/>
  <c r="P112" i="1"/>
  <c r="O112" i="1"/>
  <c r="N112" i="1"/>
  <c r="M112" i="1"/>
  <c r="L112" i="1"/>
  <c r="K112" i="1"/>
  <c r="S111" i="1"/>
  <c r="R111" i="1"/>
  <c r="Q111" i="1"/>
  <c r="R110" i="1"/>
  <c r="S110" i="1" s="1"/>
  <c r="K9" i="18" s="1"/>
  <c r="Q110" i="1"/>
  <c r="R109" i="1"/>
  <c r="R112" i="1" s="1"/>
  <c r="Q109" i="1"/>
  <c r="S108" i="1"/>
  <c r="S107" i="1"/>
  <c r="N104" i="1"/>
  <c r="S103" i="1"/>
  <c r="P102" i="1"/>
  <c r="P104" i="1" s="1"/>
  <c r="O102" i="1"/>
  <c r="O104" i="1" s="1"/>
  <c r="N102" i="1"/>
  <c r="M102" i="1"/>
  <c r="M104" i="1" s="1"/>
  <c r="L102" i="1"/>
  <c r="L104" i="1" s="1"/>
  <c r="K102" i="1"/>
  <c r="K104" i="1" s="1"/>
  <c r="S101" i="1"/>
  <c r="R100" i="1"/>
  <c r="R102" i="1" s="1"/>
  <c r="Q100" i="1"/>
  <c r="S100" i="1" s="1"/>
  <c r="S102" i="1" s="1"/>
  <c r="R99" i="1"/>
  <c r="Q99" i="1"/>
  <c r="S98" i="1"/>
  <c r="L94" i="1"/>
  <c r="R93" i="1"/>
  <c r="Q93" i="1"/>
  <c r="P93" i="1"/>
  <c r="O93" i="1"/>
  <c r="N93" i="1"/>
  <c r="M93" i="1"/>
  <c r="L93" i="1"/>
  <c r="K93" i="1"/>
  <c r="R92" i="1"/>
  <c r="Q92" i="1"/>
  <c r="S89" i="1"/>
  <c r="R89" i="1"/>
  <c r="Q89" i="1"/>
  <c r="P89" i="1"/>
  <c r="O89" i="1"/>
  <c r="N89" i="1"/>
  <c r="M89" i="1"/>
  <c r="L89" i="1"/>
  <c r="K89" i="1"/>
  <c r="R88" i="1"/>
  <c r="Q88" i="1"/>
  <c r="P88" i="1"/>
  <c r="P87" i="1"/>
  <c r="C85" i="1"/>
  <c r="R78" i="1"/>
  <c r="S78" i="1" s="1"/>
  <c r="S79" i="1" s="1"/>
  <c r="P78" i="1"/>
  <c r="O78" i="1"/>
  <c r="N78" i="1"/>
  <c r="M78" i="1"/>
  <c r="L78" i="1"/>
  <c r="K78" i="1"/>
  <c r="J78" i="1"/>
  <c r="S77" i="1"/>
  <c r="R77" i="1"/>
  <c r="R79" i="1" s="1"/>
  <c r="R80" i="1" s="1"/>
  <c r="P77" i="1"/>
  <c r="P79" i="1" s="1"/>
  <c r="P80" i="1" s="1"/>
  <c r="O77" i="1"/>
  <c r="N77" i="1"/>
  <c r="N79" i="1" s="1"/>
  <c r="M77" i="1"/>
  <c r="L77" i="1"/>
  <c r="L79" i="1" s="1"/>
  <c r="K77" i="1"/>
  <c r="K79" i="1" s="1"/>
  <c r="J77" i="1"/>
  <c r="S76" i="1"/>
  <c r="N75" i="1"/>
  <c r="J75" i="1"/>
  <c r="R74" i="1"/>
  <c r="N74" i="1"/>
  <c r="M74" i="1"/>
  <c r="L74" i="1"/>
  <c r="K74" i="1"/>
  <c r="K75" i="1" s="1"/>
  <c r="J74" i="1"/>
  <c r="S73" i="1"/>
  <c r="P73" i="1"/>
  <c r="P74" i="1" s="1"/>
  <c r="P75" i="1" s="1"/>
  <c r="O73" i="1"/>
  <c r="O74" i="1" s="1"/>
  <c r="S72" i="1"/>
  <c r="S71" i="1"/>
  <c r="R70" i="1"/>
  <c r="R75" i="1" s="1"/>
  <c r="P70" i="1"/>
  <c r="O70" i="1"/>
  <c r="N70" i="1"/>
  <c r="M70" i="1"/>
  <c r="M75" i="1" s="1"/>
  <c r="L70" i="1"/>
  <c r="K70" i="1"/>
  <c r="J70" i="1"/>
  <c r="S69" i="1"/>
  <c r="S68" i="1"/>
  <c r="S67" i="1"/>
  <c r="S70" i="1" s="1"/>
  <c r="K63" i="1"/>
  <c r="K64" i="1" s="1"/>
  <c r="S62" i="1"/>
  <c r="S61" i="1"/>
  <c r="S60" i="1"/>
  <c r="R59" i="1"/>
  <c r="S59" i="1" s="1"/>
  <c r="S63" i="1" s="1"/>
  <c r="P59" i="1"/>
  <c r="P63" i="1" s="1"/>
  <c r="P64" i="1" s="1"/>
  <c r="O59" i="1"/>
  <c r="O63" i="1" s="1"/>
  <c r="O64" i="1" s="1"/>
  <c r="N59" i="1"/>
  <c r="N63" i="1" s="1"/>
  <c r="M59" i="1"/>
  <c r="M63" i="1" s="1"/>
  <c r="L59" i="1"/>
  <c r="L63" i="1" s="1"/>
  <c r="K59" i="1"/>
  <c r="J59" i="1"/>
  <c r="J63" i="1" s="1"/>
  <c r="J64" i="1" s="1"/>
  <c r="S58" i="1"/>
  <c r="S57" i="1"/>
  <c r="R56" i="1"/>
  <c r="P56" i="1"/>
  <c r="O56" i="1"/>
  <c r="N56" i="1"/>
  <c r="M56" i="1"/>
  <c r="M64" i="1" s="1"/>
  <c r="L56" i="1"/>
  <c r="K56" i="1"/>
  <c r="J56" i="1"/>
  <c r="S55" i="1"/>
  <c r="S54" i="1"/>
  <c r="S53" i="1"/>
  <c r="S52" i="1"/>
  <c r="S50" i="1"/>
  <c r="R50" i="1"/>
  <c r="P50" i="1"/>
  <c r="O50" i="1"/>
  <c r="N50" i="1"/>
  <c r="M50" i="1"/>
  <c r="L50" i="1"/>
  <c r="K50" i="1"/>
  <c r="R49" i="1"/>
  <c r="P49" i="1"/>
  <c r="P48" i="1"/>
  <c r="C46" i="1"/>
  <c r="R39" i="1"/>
  <c r="Q39" i="1"/>
  <c r="R37" i="1"/>
  <c r="Q37" i="1"/>
  <c r="P37" i="1"/>
  <c r="O37" i="1"/>
  <c r="N37" i="1"/>
  <c r="M37" i="1"/>
  <c r="L37" i="1"/>
  <c r="K37" i="1"/>
  <c r="P36" i="1"/>
  <c r="O36" i="1"/>
  <c r="N36" i="1"/>
  <c r="M36" i="1"/>
  <c r="L36" i="1"/>
  <c r="S32" i="1"/>
  <c r="T32" i="1" s="1"/>
  <c r="T29" i="1"/>
  <c r="S29" i="1"/>
  <c r="S26" i="1"/>
  <c r="S24" i="1"/>
  <c r="S23" i="1"/>
  <c r="S22" i="1"/>
  <c r="S20" i="1"/>
  <c r="R18" i="1"/>
  <c r="R40" i="1" s="1"/>
  <c r="Q18" i="1"/>
  <c r="Q40" i="1" s="1"/>
  <c r="P18" i="1"/>
  <c r="P40" i="1" s="1"/>
  <c r="O18" i="1"/>
  <c r="O40" i="1" s="1"/>
  <c r="N18" i="1"/>
  <c r="N40" i="1" s="1"/>
  <c r="T40" i="1" s="1"/>
  <c r="U40" i="1" s="1"/>
  <c r="V40" i="1" s="1"/>
  <c r="W40" i="1" s="1"/>
  <c r="X40" i="1" s="1"/>
  <c r="M18" i="1"/>
  <c r="M40" i="1" s="1"/>
  <c r="L18" i="1"/>
  <c r="L40" i="1" s="1"/>
  <c r="K18" i="1"/>
  <c r="K40" i="1" s="1"/>
  <c r="X17" i="1"/>
  <c r="W17" i="1"/>
  <c r="V17" i="1"/>
  <c r="U17" i="1"/>
  <c r="T17" i="1"/>
  <c r="S17" i="1"/>
  <c r="P15" i="1"/>
  <c r="O15" i="1"/>
  <c r="N15" i="1"/>
  <c r="M15" i="1"/>
  <c r="M92" i="1" s="1"/>
  <c r="L15" i="1"/>
  <c r="F12" i="18" s="1"/>
  <c r="K15" i="1"/>
  <c r="E12" i="18" s="1"/>
  <c r="P13" i="1"/>
  <c r="S13" i="1" s="1"/>
  <c r="O13" i="1"/>
  <c r="N13" i="1"/>
  <c r="M13" i="1"/>
  <c r="L13" i="1"/>
  <c r="K13" i="1"/>
  <c r="R12" i="1"/>
  <c r="R38" i="1" s="1"/>
  <c r="Q12" i="1"/>
  <c r="Q38" i="1" s="1"/>
  <c r="L12" i="1"/>
  <c r="R11" i="1"/>
  <c r="Q11" i="1"/>
  <c r="Q14" i="1" s="1"/>
  <c r="Q16" i="1" s="1"/>
  <c r="Q19" i="1" s="1"/>
  <c r="P11" i="1"/>
  <c r="O11" i="1"/>
  <c r="N11" i="1"/>
  <c r="M11" i="1"/>
  <c r="L11" i="1"/>
  <c r="K11" i="1"/>
  <c r="S10" i="1"/>
  <c r="S37" i="1" s="1"/>
  <c r="O7" i="1"/>
  <c r="O49" i="1" s="1"/>
  <c r="T6" i="1"/>
  <c r="U6" i="1" s="1"/>
  <c r="V6" i="1" s="1"/>
  <c r="W6" i="1" s="1"/>
  <c r="X6" i="1" s="1"/>
  <c r="O6" i="1"/>
  <c r="O87" i="1" s="1"/>
  <c r="N6" i="1"/>
  <c r="K12" i="19"/>
  <c r="J12" i="19"/>
  <c r="J13" i="19" s="1"/>
  <c r="I12" i="19"/>
  <c r="I13" i="19" s="1"/>
  <c r="H12" i="19"/>
  <c r="G12" i="19"/>
  <c r="F12" i="19"/>
  <c r="G9" i="19"/>
  <c r="K6" i="19"/>
  <c r="K20" i="19" s="1"/>
  <c r="J6" i="19"/>
  <c r="J20" i="19" s="1"/>
  <c r="I6" i="19"/>
  <c r="I20" i="19" s="1"/>
  <c r="H6" i="19"/>
  <c r="H20" i="19" s="1"/>
  <c r="G6" i="19"/>
  <c r="G19" i="19" s="1"/>
  <c r="F6" i="19"/>
  <c r="F20" i="19" s="1"/>
  <c r="J18" i="18"/>
  <c r="J26" i="18" s="1"/>
  <c r="I18" i="18"/>
  <c r="I26" i="18" s="1"/>
  <c r="H18" i="18"/>
  <c r="G18" i="18"/>
  <c r="F18" i="18"/>
  <c r="F26" i="18" s="1"/>
  <c r="E18" i="18"/>
  <c r="I12" i="18"/>
  <c r="K8" i="18"/>
  <c r="J8" i="18"/>
  <c r="J25" i="18" s="1"/>
  <c r="I8" i="18"/>
  <c r="H8" i="18"/>
  <c r="G8" i="18"/>
  <c r="F8" i="18"/>
  <c r="E8" i="18"/>
  <c r="K7" i="18"/>
  <c r="J7" i="18"/>
  <c r="I7" i="18"/>
  <c r="I24" i="18" s="1"/>
  <c r="H7" i="18"/>
  <c r="G7" i="18"/>
  <c r="F7" i="18"/>
  <c r="E7" i="18"/>
  <c r="J6" i="18"/>
  <c r="I6" i="18"/>
  <c r="I23" i="18" s="1"/>
  <c r="H6" i="18"/>
  <c r="G6" i="18"/>
  <c r="F6" i="18"/>
  <c r="E6" i="18"/>
  <c r="E23" i="18" s="1"/>
  <c r="N45" i="11"/>
  <c r="M45" i="11"/>
  <c r="C40" i="11"/>
  <c r="J45" i="11" s="1"/>
  <c r="C29" i="11"/>
  <c r="C22" i="11"/>
  <c r="C21" i="11"/>
  <c r="C20" i="11"/>
  <c r="C19" i="11"/>
  <c r="C18" i="11"/>
  <c r="C5" i="11"/>
  <c r="C6" i="11" s="1"/>
  <c r="H69" i="13"/>
  <c r="G69" i="13"/>
  <c r="F69" i="13"/>
  <c r="E69" i="13"/>
  <c r="D69" i="13"/>
  <c r="H61" i="13"/>
  <c r="X42" i="1" s="1"/>
  <c r="G61" i="13"/>
  <c r="F61" i="13"/>
  <c r="E61" i="13"/>
  <c r="D61" i="13"/>
  <c r="T42" i="1" s="1"/>
  <c r="H53" i="13"/>
  <c r="M16" i="6" s="1"/>
  <c r="G53" i="13"/>
  <c r="L16" i="6" s="1"/>
  <c r="F53" i="13"/>
  <c r="K16" i="6" s="1"/>
  <c r="E53" i="13"/>
  <c r="J16" i="6" s="1"/>
  <c r="D53" i="13"/>
  <c r="I16" i="6" s="1"/>
  <c r="H52" i="13"/>
  <c r="G52" i="13"/>
  <c r="F52" i="13"/>
  <c r="E52" i="13"/>
  <c r="D52" i="13"/>
  <c r="H50" i="13"/>
  <c r="G50" i="13"/>
  <c r="F50" i="13"/>
  <c r="E50" i="13"/>
  <c r="D50" i="13"/>
  <c r="X49" i="13"/>
  <c r="W49" i="13"/>
  <c r="V49" i="13"/>
  <c r="U49" i="13"/>
  <c r="T49" i="13"/>
  <c r="X48" i="13"/>
  <c r="W48" i="13"/>
  <c r="V48" i="13"/>
  <c r="U48" i="13"/>
  <c r="T48" i="13"/>
  <c r="X47" i="13"/>
  <c r="W47" i="13"/>
  <c r="V47" i="13"/>
  <c r="U47" i="13"/>
  <c r="T47" i="13"/>
  <c r="H47" i="13"/>
  <c r="E38" i="6" s="1"/>
  <c r="E34" i="6" s="1"/>
  <c r="X44" i="13"/>
  <c r="W44" i="13"/>
  <c r="V44" i="13"/>
  <c r="U44" i="13"/>
  <c r="T44" i="13"/>
  <c r="X43" i="13"/>
  <c r="W43" i="13"/>
  <c r="V43" i="13"/>
  <c r="U43" i="13"/>
  <c r="T43" i="13"/>
  <c r="X42" i="13"/>
  <c r="W42" i="13"/>
  <c r="V42" i="13"/>
  <c r="U42" i="13"/>
  <c r="T42" i="13"/>
  <c r="X39" i="13"/>
  <c r="W39" i="13"/>
  <c r="V39" i="13"/>
  <c r="U39" i="13"/>
  <c r="T39" i="13"/>
  <c r="H39" i="13"/>
  <c r="M70" i="7" s="1"/>
  <c r="G39" i="13"/>
  <c r="L70" i="7" s="1"/>
  <c r="F39" i="13"/>
  <c r="K70" i="7" s="1"/>
  <c r="E39" i="13"/>
  <c r="J70" i="7" s="1"/>
  <c r="D39" i="13"/>
  <c r="I70" i="7" s="1"/>
  <c r="X38" i="13"/>
  <c r="W38" i="13"/>
  <c r="V38" i="13"/>
  <c r="U38" i="13"/>
  <c r="T38" i="13"/>
  <c r="H38" i="13"/>
  <c r="G38" i="13"/>
  <c r="F38" i="13"/>
  <c r="E38" i="13"/>
  <c r="D38" i="13"/>
  <c r="X37" i="13"/>
  <c r="W37" i="13"/>
  <c r="V37" i="13"/>
  <c r="U37" i="13"/>
  <c r="T37" i="13"/>
  <c r="H36" i="13"/>
  <c r="G36" i="13"/>
  <c r="F36" i="13"/>
  <c r="E36" i="13"/>
  <c r="D36" i="13"/>
  <c r="H33" i="13"/>
  <c r="G33" i="13"/>
  <c r="F33" i="13"/>
  <c r="E33" i="13"/>
  <c r="D33" i="13"/>
  <c r="H32" i="13"/>
  <c r="G32" i="13"/>
  <c r="F32" i="13"/>
  <c r="E32" i="13"/>
  <c r="D32" i="13"/>
  <c r="H30" i="13"/>
  <c r="G30" i="13"/>
  <c r="F30" i="13"/>
  <c r="E30" i="13"/>
  <c r="D30" i="13"/>
  <c r="H27" i="13"/>
  <c r="M68" i="7" s="1"/>
  <c r="G27" i="13"/>
  <c r="L68" i="7" s="1"/>
  <c r="F27" i="13"/>
  <c r="K68" i="7" s="1"/>
  <c r="E27" i="13"/>
  <c r="J68" i="7" s="1"/>
  <c r="D27" i="13"/>
  <c r="H26" i="13"/>
  <c r="G26" i="13"/>
  <c r="F26" i="13"/>
  <c r="E26" i="13"/>
  <c r="D26" i="13"/>
  <c r="H24" i="13"/>
  <c r="G24" i="13"/>
  <c r="F24" i="13"/>
  <c r="E24" i="13"/>
  <c r="D24" i="13"/>
  <c r="H19" i="13"/>
  <c r="M37" i="5" s="1"/>
  <c r="G19" i="13"/>
  <c r="L37" i="5" s="1"/>
  <c r="F19" i="13"/>
  <c r="K37" i="5" s="1"/>
  <c r="E19" i="13"/>
  <c r="J37" i="5" s="1"/>
  <c r="D19" i="13"/>
  <c r="I37" i="5" s="1"/>
  <c r="H18" i="13"/>
  <c r="G18" i="13"/>
  <c r="F18" i="13"/>
  <c r="E18" i="13"/>
  <c r="D18" i="13"/>
  <c r="H16" i="13"/>
  <c r="G16" i="13"/>
  <c r="F16" i="13"/>
  <c r="E16" i="13"/>
  <c r="D16" i="13"/>
  <c r="H13" i="13"/>
  <c r="M34" i="5" s="1"/>
  <c r="G13" i="13"/>
  <c r="L34" i="5" s="1"/>
  <c r="F13" i="13"/>
  <c r="K34" i="5" s="1"/>
  <c r="E13" i="13"/>
  <c r="J34" i="5" s="1"/>
  <c r="D13" i="13"/>
  <c r="I34" i="5" s="1"/>
  <c r="H12" i="13"/>
  <c r="G12" i="13"/>
  <c r="F12" i="13"/>
  <c r="E12" i="13"/>
  <c r="D12" i="13"/>
  <c r="H10" i="13"/>
  <c r="G10" i="13"/>
  <c r="F10" i="13"/>
  <c r="E10" i="13"/>
  <c r="D10" i="13"/>
  <c r="H7" i="13"/>
  <c r="M28" i="5" s="1"/>
  <c r="G7" i="13"/>
  <c r="L28" i="5" s="1"/>
  <c r="F7" i="13"/>
  <c r="K28" i="5" s="1"/>
  <c r="E7" i="13"/>
  <c r="J28" i="5" s="1"/>
  <c r="D7" i="13"/>
  <c r="I28" i="5" s="1"/>
  <c r="H6" i="13"/>
  <c r="G6" i="13"/>
  <c r="F6" i="13"/>
  <c r="E6" i="13"/>
  <c r="D6" i="13"/>
  <c r="H4" i="13"/>
  <c r="G4" i="13"/>
  <c r="F4" i="13"/>
  <c r="E4" i="13"/>
  <c r="D4" i="13"/>
  <c r="D43" i="10"/>
  <c r="D40" i="10"/>
  <c r="D13" i="10"/>
  <c r="M8" i="10"/>
  <c r="Y24" i="10" s="1"/>
  <c r="M6" i="10"/>
  <c r="D5" i="10"/>
  <c r="D3" i="10"/>
  <c r="D6" i="10" l="1"/>
  <c r="G21" i="9"/>
  <c r="G6" i="7"/>
  <c r="F21" i="9"/>
  <c r="H6" i="7"/>
  <c r="K21" i="11" s="1"/>
  <c r="M21" i="11" s="1"/>
  <c r="I54" i="9"/>
  <c r="K21" i="19"/>
  <c r="K13" i="19"/>
  <c r="D12" i="10" s="1"/>
  <c r="F24" i="18"/>
  <c r="F23" i="18"/>
  <c r="H23" i="18"/>
  <c r="J24" i="18"/>
  <c r="I22" i="7"/>
  <c r="L34" i="2"/>
  <c r="L51" i="2" s="1"/>
  <c r="F79" i="2"/>
  <c r="E71" i="2"/>
  <c r="C94" i="2"/>
  <c r="K182" i="2"/>
  <c r="G225" i="2"/>
  <c r="G24" i="7" s="1"/>
  <c r="G62" i="7" s="1"/>
  <c r="H18" i="6"/>
  <c r="E70" i="7"/>
  <c r="E79" i="2"/>
  <c r="D185" i="2"/>
  <c r="E23" i="6"/>
  <c r="K19" i="11"/>
  <c r="M19" i="11" s="1"/>
  <c r="H23" i="2"/>
  <c r="O11" i="6"/>
  <c r="E67" i="2"/>
  <c r="G105" i="2"/>
  <c r="G120" i="2"/>
  <c r="C69" i="2"/>
  <c r="H120" i="2"/>
  <c r="D119" i="2"/>
  <c r="H169" i="2"/>
  <c r="K5" i="9"/>
  <c r="J6" i="7" s="1"/>
  <c r="J24" i="7" s="1"/>
  <c r="K115" i="2"/>
  <c r="F18" i="6"/>
  <c r="K9" i="19"/>
  <c r="P94" i="1"/>
  <c r="M94" i="1"/>
  <c r="H9" i="19"/>
  <c r="H19" i="19" s="1"/>
  <c r="F68" i="2"/>
  <c r="F70" i="2"/>
  <c r="M5" i="10"/>
  <c r="W24" i="10"/>
  <c r="M12" i="1"/>
  <c r="M38" i="1" s="1"/>
  <c r="O48" i="1"/>
  <c r="P81" i="1"/>
  <c r="R63" i="1"/>
  <c r="O79" i="1"/>
  <c r="Q112" i="1"/>
  <c r="S123" i="1"/>
  <c r="F43" i="2"/>
  <c r="G47" i="2"/>
  <c r="G68" i="2"/>
  <c r="H95" i="2"/>
  <c r="G125" i="2"/>
  <c r="I159" i="2"/>
  <c r="F185" i="2"/>
  <c r="O3" i="5"/>
  <c r="O8" i="5" s="1"/>
  <c r="O9" i="5" s="1"/>
  <c r="I5" i="2" s="1"/>
  <c r="I14" i="2" s="1"/>
  <c r="F70" i="7"/>
  <c r="Q102" i="1"/>
  <c r="Q104" i="1" s="1"/>
  <c r="G20" i="19"/>
  <c r="N7" i="1"/>
  <c r="S124" i="1"/>
  <c r="H43" i="2"/>
  <c r="F71" i="2"/>
  <c r="D104" i="2"/>
  <c r="I125" i="2"/>
  <c r="F169" i="2"/>
  <c r="G148" i="2"/>
  <c r="D23" i="6"/>
  <c r="S5" i="5"/>
  <c r="S9" i="5" s="1"/>
  <c r="F69" i="7"/>
  <c r="G69" i="7"/>
  <c r="K94" i="1"/>
  <c r="O128" i="1"/>
  <c r="O94" i="1" s="1"/>
  <c r="U11" i="2"/>
  <c r="G44" i="2"/>
  <c r="F69" i="2"/>
  <c r="F104" i="2"/>
  <c r="E119" i="2"/>
  <c r="G165" i="2"/>
  <c r="G153" i="2"/>
  <c r="G152" i="2"/>
  <c r="G27" i="6"/>
  <c r="H69" i="7"/>
  <c r="G36" i="4"/>
  <c r="G43" i="2"/>
  <c r="C41" i="11"/>
  <c r="C9" i="11" s="1"/>
  <c r="K45" i="11"/>
  <c r="J21" i="19"/>
  <c r="R14" i="1"/>
  <c r="R16" i="1" s="1"/>
  <c r="R19" i="1" s="1"/>
  <c r="R21" i="1" s="1"/>
  <c r="R25" i="1" s="1"/>
  <c r="M39" i="1"/>
  <c r="L64" i="1"/>
  <c r="L81" i="1" s="1"/>
  <c r="S74" i="1"/>
  <c r="S75" i="1" s="1"/>
  <c r="J79" i="1"/>
  <c r="J80" i="1" s="1"/>
  <c r="H44" i="2"/>
  <c r="F67" i="2"/>
  <c r="C70" i="2"/>
  <c r="H110" i="2"/>
  <c r="H149" i="2"/>
  <c r="F142" i="2"/>
  <c r="H8" i="9"/>
  <c r="H37" i="4"/>
  <c r="I3" i="5"/>
  <c r="I29" i="5" s="1"/>
  <c r="M9" i="10"/>
  <c r="L45" i="11"/>
  <c r="I21" i="19"/>
  <c r="K14" i="1"/>
  <c r="K16" i="1" s="1"/>
  <c r="K19" i="1" s="1"/>
  <c r="K42" i="1" s="1"/>
  <c r="S11" i="1"/>
  <c r="R122" i="1"/>
  <c r="D79" i="2"/>
  <c r="G67" i="2"/>
  <c r="D70" i="2"/>
  <c r="E89" i="2"/>
  <c r="E95" i="2"/>
  <c r="K137" i="2"/>
  <c r="G142" i="2"/>
  <c r="G23" i="6"/>
  <c r="H23" i="6"/>
  <c r="E62" i="9"/>
  <c r="G21" i="19"/>
  <c r="O14" i="1"/>
  <c r="O16" i="1" s="1"/>
  <c r="O19" i="1" s="1"/>
  <c r="O42" i="1" s="1"/>
  <c r="G13" i="19"/>
  <c r="L14" i="1"/>
  <c r="L16" i="1" s="1"/>
  <c r="L19" i="1" s="1"/>
  <c r="L42" i="1" s="1"/>
  <c r="N64" i="1"/>
  <c r="L75" i="1"/>
  <c r="O75" i="1"/>
  <c r="M79" i="1"/>
  <c r="M80" i="1" s="1"/>
  <c r="M81" i="1" s="1"/>
  <c r="S10" i="2"/>
  <c r="U10" i="2" s="1"/>
  <c r="F42" i="2"/>
  <c r="F46" i="2"/>
  <c r="D68" i="2"/>
  <c r="E70" i="2"/>
  <c r="K131" i="2"/>
  <c r="K165" i="2" s="1"/>
  <c r="F7" i="5"/>
  <c r="H12" i="9"/>
  <c r="G25" i="18"/>
  <c r="H25" i="18"/>
  <c r="F25" i="18"/>
  <c r="J10" i="18"/>
  <c r="J13" i="18" s="1"/>
  <c r="D10" i="10" s="1"/>
  <c r="J23" i="18"/>
  <c r="G23" i="18"/>
  <c r="E24" i="18"/>
  <c r="H10" i="18"/>
  <c r="H13" i="18" s="1"/>
  <c r="H26" i="18"/>
  <c r="H24" i="18"/>
  <c r="I25" i="18"/>
  <c r="H27" i="4"/>
  <c r="H26" i="4"/>
  <c r="H31" i="4"/>
  <c r="H35" i="4"/>
  <c r="H32" i="4"/>
  <c r="H36" i="4"/>
  <c r="H33" i="4"/>
  <c r="H34" i="4"/>
  <c r="N14" i="1"/>
  <c r="N16" i="1" s="1"/>
  <c r="N19" i="1" s="1"/>
  <c r="U42" i="1"/>
  <c r="U26" i="1"/>
  <c r="N88" i="1"/>
  <c r="N49" i="1"/>
  <c r="M7" i="1"/>
  <c r="N39" i="1"/>
  <c r="N92" i="1"/>
  <c r="H12" i="18"/>
  <c r="E36" i="6"/>
  <c r="M3" i="6"/>
  <c r="G24" i="18"/>
  <c r="G10" i="18"/>
  <c r="G13" i="18" s="1"/>
  <c r="E26" i="18"/>
  <c r="E25" i="18"/>
  <c r="F19" i="19"/>
  <c r="H21" i="19"/>
  <c r="H13" i="19"/>
  <c r="F21" i="19"/>
  <c r="F13" i="19"/>
  <c r="C23" i="11"/>
  <c r="D18" i="11" s="1"/>
  <c r="F18" i="11" s="1"/>
  <c r="F10" i="18"/>
  <c r="F13" i="18" s="1"/>
  <c r="P92" i="1"/>
  <c r="S92" i="1" s="1"/>
  <c r="S15" i="1"/>
  <c r="S39" i="1" s="1"/>
  <c r="T39" i="1" s="1"/>
  <c r="P39" i="1"/>
  <c r="J12" i="18"/>
  <c r="G26" i="18"/>
  <c r="Q42" i="1"/>
  <c r="Q21" i="1"/>
  <c r="Q25" i="1" s="1"/>
  <c r="Q27" i="1"/>
  <c r="N12" i="1"/>
  <c r="N38" i="1" s="1"/>
  <c r="O81" i="1"/>
  <c r="S80" i="1"/>
  <c r="N48" i="1"/>
  <c r="M6" i="1"/>
  <c r="N87" i="1"/>
  <c r="R64" i="1"/>
  <c r="R81" i="1" s="1"/>
  <c r="O80" i="1"/>
  <c r="W42" i="1"/>
  <c r="W26" i="1"/>
  <c r="P12" i="1"/>
  <c r="P38" i="1" s="1"/>
  <c r="V42" i="1"/>
  <c r="V26" i="1"/>
  <c r="E10" i="18"/>
  <c r="E13" i="18" s="1"/>
  <c r="O39" i="1"/>
  <c r="O92" i="1"/>
  <c r="T26" i="1"/>
  <c r="R128" i="1"/>
  <c r="R94" i="1" s="1"/>
  <c r="S94" i="1" s="1"/>
  <c r="U32" i="1"/>
  <c r="S109" i="1"/>
  <c r="S112" i="1" s="1"/>
  <c r="P14" i="6"/>
  <c r="J179" i="2"/>
  <c r="J156" i="2"/>
  <c r="J152" i="2"/>
  <c r="J157" i="2"/>
  <c r="J153" i="2"/>
  <c r="J146" i="2"/>
  <c r="J46" i="2"/>
  <c r="J42" i="2"/>
  <c r="J159" i="2"/>
  <c r="J47" i="2"/>
  <c r="J43" i="2"/>
  <c r="J151" i="2"/>
  <c r="J124" i="2"/>
  <c r="J123" i="2"/>
  <c r="J155" i="2"/>
  <c r="J45" i="2"/>
  <c r="X26" i="1"/>
  <c r="K80" i="1"/>
  <c r="K81" i="1" s="1"/>
  <c r="F95" i="2"/>
  <c r="F90" i="2"/>
  <c r="G90" i="2"/>
  <c r="I45" i="11"/>
  <c r="I10" i="18"/>
  <c r="I13" i="18" s="1"/>
  <c r="I14" i="18" s="1"/>
  <c r="S12" i="1"/>
  <c r="S38" i="1" s="1"/>
  <c r="K92" i="1"/>
  <c r="K39" i="1"/>
  <c r="S18" i="1"/>
  <c r="S40" i="1" s="1"/>
  <c r="L80" i="1"/>
  <c r="O88" i="1"/>
  <c r="S127" i="1"/>
  <c r="S128" i="1" s="1"/>
  <c r="G12" i="18"/>
  <c r="L38" i="1"/>
  <c r="L92" i="1"/>
  <c r="L39" i="1"/>
  <c r="N80" i="1"/>
  <c r="N81" i="1" s="1"/>
  <c r="N128" i="1"/>
  <c r="H70" i="2"/>
  <c r="H71" i="2"/>
  <c r="H67" i="2"/>
  <c r="H79" i="2"/>
  <c r="H68" i="2"/>
  <c r="H69" i="2"/>
  <c r="S56" i="1"/>
  <c r="S64" i="1" s="1"/>
  <c r="S81" i="1" s="1"/>
  <c r="J81" i="1"/>
  <c r="S93" i="1"/>
  <c r="S99" i="1"/>
  <c r="K6" i="18" s="1"/>
  <c r="R104" i="1"/>
  <c r="K52" i="2"/>
  <c r="K44" i="2"/>
  <c r="C14" i="6"/>
  <c r="C156" i="2"/>
  <c r="C152" i="2"/>
  <c r="C147" i="2"/>
  <c r="C125" i="2"/>
  <c r="C157" i="2"/>
  <c r="C148" i="2"/>
  <c r="C155" i="2"/>
  <c r="C110" i="2"/>
  <c r="C95" i="2"/>
  <c r="C47" i="2"/>
  <c r="C43" i="2"/>
  <c r="C146" i="2"/>
  <c r="C123" i="2"/>
  <c r="C44" i="2"/>
  <c r="C108" i="2"/>
  <c r="C93" i="2"/>
  <c r="C154" i="2"/>
  <c r="C151" i="2"/>
  <c r="C179" i="2"/>
  <c r="K39" i="2"/>
  <c r="K152" i="2" s="1"/>
  <c r="K42" i="2"/>
  <c r="C46" i="2"/>
  <c r="E47" i="2"/>
  <c r="I123" i="2"/>
  <c r="I158" i="2"/>
  <c r="S12" i="2"/>
  <c r="L52" i="2"/>
  <c r="D14" i="6"/>
  <c r="D157" i="2"/>
  <c r="D148" i="2"/>
  <c r="D154" i="2"/>
  <c r="D155" i="2"/>
  <c r="D151" i="2"/>
  <c r="D146" i="2"/>
  <c r="D152" i="2"/>
  <c r="D47" i="2"/>
  <c r="D43" i="2"/>
  <c r="D123" i="2"/>
  <c r="D44" i="2"/>
  <c r="D156" i="2"/>
  <c r="D108" i="2"/>
  <c r="D93" i="2"/>
  <c r="D147" i="2"/>
  <c r="D125" i="2"/>
  <c r="D109" i="2"/>
  <c r="D94" i="2"/>
  <c r="D124" i="2"/>
  <c r="D110" i="2"/>
  <c r="D95" i="2"/>
  <c r="D46" i="2"/>
  <c r="D56" i="2"/>
  <c r="K125" i="2"/>
  <c r="T12" i="2"/>
  <c r="E14" i="6"/>
  <c r="E157" i="2"/>
  <c r="E148" i="2"/>
  <c r="E154" i="2"/>
  <c r="E179" i="2"/>
  <c r="E123" i="2"/>
  <c r="E146" i="2"/>
  <c r="E44" i="2"/>
  <c r="E156" i="2"/>
  <c r="E108" i="2"/>
  <c r="E93" i="2"/>
  <c r="E56" i="2"/>
  <c r="E45" i="2"/>
  <c r="E151" i="2"/>
  <c r="E147" i="2"/>
  <c r="E125" i="2"/>
  <c r="E109" i="2"/>
  <c r="E94" i="2"/>
  <c r="E155" i="2"/>
  <c r="E152" i="2"/>
  <c r="C45" i="2"/>
  <c r="E46" i="2"/>
  <c r="K124" i="2"/>
  <c r="K43" i="2"/>
  <c r="K153" i="2"/>
  <c r="F158" i="2"/>
  <c r="F143" i="2"/>
  <c r="K23" i="2"/>
  <c r="D42" i="2"/>
  <c r="E43" i="2"/>
  <c r="F110" i="2"/>
  <c r="F105" i="2"/>
  <c r="E110" i="2"/>
  <c r="K47" i="2"/>
  <c r="K55" i="2"/>
  <c r="E42" i="2"/>
  <c r="D179" i="2"/>
  <c r="O14" i="6"/>
  <c r="I151" i="2"/>
  <c r="I146" i="2"/>
  <c r="I124" i="2"/>
  <c r="I179" i="2"/>
  <c r="I197" i="2" s="1"/>
  <c r="I156" i="2"/>
  <c r="I152" i="2"/>
  <c r="I153" i="2"/>
  <c r="I46" i="2"/>
  <c r="I42" i="2"/>
  <c r="I157" i="2"/>
  <c r="I47" i="2"/>
  <c r="I43" i="2"/>
  <c r="I148" i="2"/>
  <c r="I44" i="2"/>
  <c r="K45" i="2"/>
  <c r="H93" i="2"/>
  <c r="H108" i="2"/>
  <c r="J125" i="2"/>
  <c r="H123" i="2"/>
  <c r="O13" i="5"/>
  <c r="Q13" i="5" s="1"/>
  <c r="I147" i="2"/>
  <c r="F148" i="2"/>
  <c r="G79" i="2"/>
  <c r="H90" i="2"/>
  <c r="H105" i="2"/>
  <c r="F124" i="2"/>
  <c r="K130" i="2"/>
  <c r="G174" i="2"/>
  <c r="G158" i="2"/>
  <c r="G143" i="2"/>
  <c r="F157" i="2"/>
  <c r="F179" i="2"/>
  <c r="K189" i="2"/>
  <c r="G71" i="2"/>
  <c r="G95" i="2"/>
  <c r="G110" i="2"/>
  <c r="G124" i="2"/>
  <c r="C153" i="2"/>
  <c r="C142" i="2"/>
  <c r="K156" i="2"/>
  <c r="H154" i="2"/>
  <c r="G157" i="2"/>
  <c r="K181" i="2"/>
  <c r="G46" i="2"/>
  <c r="F94" i="2"/>
  <c r="D27" i="6"/>
  <c r="F125" i="2"/>
  <c r="E183" i="2"/>
  <c r="E185" i="2" s="1"/>
  <c r="E149" i="2"/>
  <c r="K142" i="2"/>
  <c r="D153" i="2"/>
  <c r="J158" i="2"/>
  <c r="G147" i="2"/>
  <c r="I154" i="2"/>
  <c r="F14" i="6"/>
  <c r="F154" i="2"/>
  <c r="F123" i="2"/>
  <c r="F155" i="2"/>
  <c r="F151" i="2"/>
  <c r="F146" i="2"/>
  <c r="F156" i="2"/>
  <c r="F152" i="2"/>
  <c r="F147" i="2"/>
  <c r="H42" i="2"/>
  <c r="F45" i="2"/>
  <c r="H46" i="2"/>
  <c r="F56" i="2"/>
  <c r="C68" i="2"/>
  <c r="E69" i="2"/>
  <c r="G70" i="2"/>
  <c r="G94" i="2"/>
  <c r="Q14" i="6"/>
  <c r="Q9" i="6" s="1"/>
  <c r="E27" i="6"/>
  <c r="F120" i="2"/>
  <c r="E153" i="2"/>
  <c r="K157" i="2"/>
  <c r="C149" i="2"/>
  <c r="F153" i="2"/>
  <c r="G14" i="6"/>
  <c r="G154" i="2"/>
  <c r="G123" i="2"/>
  <c r="G155" i="2"/>
  <c r="G151" i="2"/>
  <c r="G146" i="2"/>
  <c r="G179" i="2"/>
  <c r="G45" i="2"/>
  <c r="G56" i="2"/>
  <c r="F93" i="2"/>
  <c r="H94" i="2"/>
  <c r="F108" i="2"/>
  <c r="H125" i="2"/>
  <c r="G156" i="2"/>
  <c r="J163" i="2"/>
  <c r="J164" i="2"/>
  <c r="C185" i="2"/>
  <c r="H14" i="6"/>
  <c r="H155" i="2"/>
  <c r="H151" i="2"/>
  <c r="H146" i="2"/>
  <c r="H124" i="2"/>
  <c r="H179" i="2"/>
  <c r="H156" i="2"/>
  <c r="H152" i="2"/>
  <c r="H147" i="2"/>
  <c r="H157" i="2"/>
  <c r="H148" i="2"/>
  <c r="F44" i="2"/>
  <c r="H45" i="2"/>
  <c r="H56" i="2"/>
  <c r="C67" i="2"/>
  <c r="G93" i="2"/>
  <c r="G108" i="2"/>
  <c r="C124" i="2"/>
  <c r="K148" i="2"/>
  <c r="H165" i="2"/>
  <c r="G169" i="2"/>
  <c r="I155" i="2"/>
  <c r="K185" i="2"/>
  <c r="H142" i="2"/>
  <c r="H153" i="2"/>
  <c r="J154" i="2"/>
  <c r="D165" i="2"/>
  <c r="D169" i="2"/>
  <c r="S13" i="5"/>
  <c r="J148" i="2"/>
  <c r="D149" i="2"/>
  <c r="F165" i="2"/>
  <c r="S5" i="6"/>
  <c r="S7" i="6" s="1"/>
  <c r="D142" i="2"/>
  <c r="J147" i="2"/>
  <c r="F149" i="2"/>
  <c r="E142" i="2"/>
  <c r="F174" i="2" s="1"/>
  <c r="G149" i="2"/>
  <c r="Q14" i="5"/>
  <c r="H45" i="5"/>
  <c r="J197" i="2"/>
  <c r="C18" i="6"/>
  <c r="G18" i="6"/>
  <c r="F27" i="6"/>
  <c r="G29" i="5"/>
  <c r="G8" i="5"/>
  <c r="F39" i="7"/>
  <c r="F9" i="5"/>
  <c r="H29" i="5"/>
  <c r="D39" i="7"/>
  <c r="D9" i="5"/>
  <c r="D18" i="6"/>
  <c r="F29" i="5"/>
  <c r="F28" i="5"/>
  <c r="Q5" i="5"/>
  <c r="D63" i="9"/>
  <c r="D10" i="9"/>
  <c r="E8" i="5"/>
  <c r="G28" i="9"/>
  <c r="H9" i="5"/>
  <c r="G70" i="7"/>
  <c r="H42" i="7"/>
  <c r="I39" i="7"/>
  <c r="Q8" i="5"/>
  <c r="H70" i="7"/>
  <c r="I41" i="7"/>
  <c r="G54" i="9"/>
  <c r="G56" i="9"/>
  <c r="G57" i="9" s="1"/>
  <c r="H49" i="9"/>
  <c r="J61" i="9"/>
  <c r="I58" i="7" s="1"/>
  <c r="Q3" i="5"/>
  <c r="J40" i="7"/>
  <c r="H54" i="9"/>
  <c r="E57" i="9"/>
  <c r="K55" i="4"/>
  <c r="C9" i="5"/>
  <c r="D21" i="9"/>
  <c r="D28" i="9" s="1"/>
  <c r="F57" i="9"/>
  <c r="H30" i="4"/>
  <c r="C42" i="7"/>
  <c r="I24" i="7"/>
  <c r="I26" i="7"/>
  <c r="I23" i="7"/>
  <c r="I25" i="7"/>
  <c r="C27" i="7"/>
  <c r="C28" i="7" s="1"/>
  <c r="J9" i="9"/>
  <c r="L225" i="2" s="1"/>
  <c r="J11" i="9"/>
  <c r="G67" i="9"/>
  <c r="J67" i="9" s="1"/>
  <c r="J12" i="9" s="1"/>
  <c r="G10" i="9"/>
  <c r="G62" i="9"/>
  <c r="E21" i="9"/>
  <c r="E28" i="9" s="1"/>
  <c r="J22" i="7"/>
  <c r="D27" i="7"/>
  <c r="D28" i="7" s="1"/>
  <c r="F28" i="9"/>
  <c r="H38" i="4"/>
  <c r="H11" i="9"/>
  <c r="I12" i="9"/>
  <c r="H58" i="9"/>
  <c r="C10" i="9"/>
  <c r="I11" i="9"/>
  <c r="I58" i="9"/>
  <c r="E27" i="7"/>
  <c r="E28" i="7" s="1"/>
  <c r="J50" i="9"/>
  <c r="J56" i="9" s="1"/>
  <c r="H56" i="9"/>
  <c r="D69" i="7"/>
  <c r="H6" i="9"/>
  <c r="I9" i="9"/>
  <c r="I8" i="9" s="1"/>
  <c r="E10" i="9"/>
  <c r="I56" i="9"/>
  <c r="E69" i="7"/>
  <c r="I6" i="9"/>
  <c r="H183" i="2" s="1"/>
  <c r="F10" i="9"/>
  <c r="J25" i="7" l="1"/>
  <c r="J84" i="7" s="1"/>
  <c r="J57" i="9"/>
  <c r="M34" i="2"/>
  <c r="M51" i="2" s="1"/>
  <c r="L5" i="9"/>
  <c r="K12" i="9"/>
  <c r="J23" i="7"/>
  <c r="J26" i="7"/>
  <c r="J85" i="7" s="1"/>
  <c r="K11" i="9"/>
  <c r="K9" i="9"/>
  <c r="M225" i="2" s="1"/>
  <c r="L21" i="19"/>
  <c r="J83" i="7"/>
  <c r="K27" i="1"/>
  <c r="L21" i="1"/>
  <c r="L25" i="1" s="1"/>
  <c r="K151" i="2"/>
  <c r="D22" i="11"/>
  <c r="F22" i="11" s="1"/>
  <c r="C44" i="11"/>
  <c r="C45" i="11" s="1"/>
  <c r="I5" i="5"/>
  <c r="L36" i="2" s="1"/>
  <c r="L53" i="2" s="1"/>
  <c r="I8" i="5"/>
  <c r="J3" i="5"/>
  <c r="J5" i="5" s="1"/>
  <c r="M36" i="2" s="1"/>
  <c r="I27" i="7"/>
  <c r="U12" i="2"/>
  <c r="R27" i="1"/>
  <c r="M14" i="1"/>
  <c r="M16" i="1" s="1"/>
  <c r="M19" i="1" s="1"/>
  <c r="K21" i="1"/>
  <c r="K25" i="1" s="1"/>
  <c r="K33" i="1" s="1"/>
  <c r="I7" i="9"/>
  <c r="I10" i="9" s="1"/>
  <c r="I13" i="9" s="1"/>
  <c r="I68" i="9" s="1"/>
  <c r="O27" i="1"/>
  <c r="L27" i="1"/>
  <c r="O21" i="1"/>
  <c r="O25" i="1" s="1"/>
  <c r="K61" i="9"/>
  <c r="L61" i="9" s="1"/>
  <c r="K58" i="7" s="1"/>
  <c r="J8" i="9"/>
  <c r="J9" i="19"/>
  <c r="J19" i="19" s="1"/>
  <c r="R42" i="1"/>
  <c r="I57" i="9"/>
  <c r="K19" i="19"/>
  <c r="D11" i="10"/>
  <c r="H14" i="18"/>
  <c r="G14" i="18"/>
  <c r="H39" i="4"/>
  <c r="D43" i="4" s="1"/>
  <c r="F43" i="4" s="1"/>
  <c r="F44" i="4" s="1"/>
  <c r="I205" i="2"/>
  <c r="I198" i="2"/>
  <c r="I207" i="2"/>
  <c r="O19" i="5" s="1"/>
  <c r="Q91" i="1"/>
  <c r="Q95" i="1" s="1"/>
  <c r="Q96" i="1" s="1"/>
  <c r="Q33" i="1"/>
  <c r="Q30" i="1"/>
  <c r="Q41" i="1"/>
  <c r="J41" i="7"/>
  <c r="L38" i="2"/>
  <c r="F42" i="7"/>
  <c r="H8" i="6"/>
  <c r="H9" i="6"/>
  <c r="Q8" i="6"/>
  <c r="F159" i="2"/>
  <c r="O41" i="1"/>
  <c r="O33" i="1"/>
  <c r="O30" i="1"/>
  <c r="O91" i="1"/>
  <c r="O95" i="1" s="1"/>
  <c r="O96" i="1" s="1"/>
  <c r="J7" i="19"/>
  <c r="G16" i="18"/>
  <c r="Q9" i="5"/>
  <c r="H34" i="5"/>
  <c r="H197" i="2"/>
  <c r="H5" i="2"/>
  <c r="K18" i="11"/>
  <c r="K147" i="2"/>
  <c r="K164" i="2"/>
  <c r="I186" i="2"/>
  <c r="I201" i="2"/>
  <c r="E65" i="9"/>
  <c r="E13" i="9"/>
  <c r="E68" i="9" s="1"/>
  <c r="K40" i="7"/>
  <c r="M35" i="2"/>
  <c r="D34" i="5"/>
  <c r="D10" i="5"/>
  <c r="D197" i="2"/>
  <c r="D5" i="2"/>
  <c r="H35" i="5"/>
  <c r="G8" i="6"/>
  <c r="G9" i="6"/>
  <c r="C158" i="2"/>
  <c r="C143" i="2"/>
  <c r="C159" i="2" s="1"/>
  <c r="E186" i="2"/>
  <c r="I16" i="18"/>
  <c r="H16" i="18"/>
  <c r="Q3" i="6"/>
  <c r="Q7" i="6" s="1"/>
  <c r="K139" i="2" s="1"/>
  <c r="D8" i="6"/>
  <c r="D9" i="6"/>
  <c r="N94" i="1"/>
  <c r="I9" i="19"/>
  <c r="I19" i="19" s="1"/>
  <c r="V32" i="1"/>
  <c r="U29" i="1"/>
  <c r="H191" i="2"/>
  <c r="K191" i="2" s="1"/>
  <c r="H225" i="2"/>
  <c r="C65" i="9"/>
  <c r="C13" i="9"/>
  <c r="C68" i="9" s="1"/>
  <c r="J82" i="7"/>
  <c r="D68" i="7"/>
  <c r="D42" i="7"/>
  <c r="G39" i="7"/>
  <c r="G9" i="5"/>
  <c r="G7" i="7" s="1"/>
  <c r="F7" i="7"/>
  <c r="F186" i="2"/>
  <c r="K179" i="2"/>
  <c r="K123" i="2"/>
  <c r="K146" i="2"/>
  <c r="K46" i="2"/>
  <c r="K56" i="2"/>
  <c r="C11" i="11"/>
  <c r="D37" i="10"/>
  <c r="J186" i="2"/>
  <c r="J201" i="2"/>
  <c r="P14" i="1"/>
  <c r="C12" i="11"/>
  <c r="F34" i="5"/>
  <c r="F197" i="2"/>
  <c r="F5" i="2"/>
  <c r="H7" i="9"/>
  <c r="H10" i="9" s="1"/>
  <c r="G184" i="2"/>
  <c r="G229" i="2"/>
  <c r="G222" i="2"/>
  <c r="E174" i="2"/>
  <c r="E158" i="2"/>
  <c r="E143" i="2"/>
  <c r="K143" i="2"/>
  <c r="K159" i="2" s="1"/>
  <c r="K158" i="2"/>
  <c r="O8" i="6"/>
  <c r="O9" i="6"/>
  <c r="C7" i="7"/>
  <c r="C186" i="2"/>
  <c r="P8" i="6"/>
  <c r="P9" i="6"/>
  <c r="F16" i="18"/>
  <c r="F14" i="18"/>
  <c r="M8" i="6"/>
  <c r="M7" i="6"/>
  <c r="M6" i="6"/>
  <c r="M9" i="6"/>
  <c r="T7" i="6"/>
  <c r="T5" i="6" s="1"/>
  <c r="P37" i="2"/>
  <c r="P23" i="2"/>
  <c r="M88" i="1"/>
  <c r="M49" i="1"/>
  <c r="L7" i="1"/>
  <c r="I18" i="6"/>
  <c r="D174" i="2"/>
  <c r="D158" i="2"/>
  <c r="D143" i="2"/>
  <c r="H7" i="7"/>
  <c r="H201" i="2"/>
  <c r="G201" i="2"/>
  <c r="H229" i="2"/>
  <c r="D65" i="9"/>
  <c r="D13" i="9"/>
  <c r="D68" i="9" s="1"/>
  <c r="J198" i="2"/>
  <c r="J207" i="2"/>
  <c r="J205" i="2"/>
  <c r="F8" i="6"/>
  <c r="F9" i="6"/>
  <c r="G159" i="2"/>
  <c r="G175" i="2"/>
  <c r="S104" i="1"/>
  <c r="K10" i="18"/>
  <c r="K13" i="18" s="1"/>
  <c r="M23" i="6"/>
  <c r="L23" i="6"/>
  <c r="K23" i="6"/>
  <c r="J23" i="6"/>
  <c r="I23" i="6"/>
  <c r="I3" i="6" s="1"/>
  <c r="R33" i="1"/>
  <c r="R91" i="1"/>
  <c r="R95" i="1" s="1"/>
  <c r="R41" i="1"/>
  <c r="R30" i="1"/>
  <c r="K6" i="9"/>
  <c r="E9" i="5"/>
  <c r="E39" i="7"/>
  <c r="F65" i="9"/>
  <c r="F13" i="9"/>
  <c r="F68" i="9" s="1"/>
  <c r="H57" i="9"/>
  <c r="L11" i="9"/>
  <c r="L12" i="9"/>
  <c r="M5" i="9"/>
  <c r="L9" i="9"/>
  <c r="N225" i="2" s="1"/>
  <c r="K6" i="7"/>
  <c r="J6" i="9"/>
  <c r="C34" i="5"/>
  <c r="C197" i="2"/>
  <c r="C5" i="2"/>
  <c r="G183" i="2"/>
  <c r="D7" i="7"/>
  <c r="D45" i="7" s="1"/>
  <c r="D186" i="2"/>
  <c r="E8" i="6"/>
  <c r="E9" i="6"/>
  <c r="S14" i="1"/>
  <c r="S16" i="1" s="1"/>
  <c r="S19" i="1" s="1"/>
  <c r="M48" i="1"/>
  <c r="L6" i="1"/>
  <c r="M87" i="1"/>
  <c r="D20" i="11"/>
  <c r="F20" i="11" s="1"/>
  <c r="D21" i="11"/>
  <c r="F21" i="11" s="1"/>
  <c r="D19" i="11"/>
  <c r="F19" i="11" s="1"/>
  <c r="H184" i="2"/>
  <c r="H222" i="2"/>
  <c r="K50" i="9"/>
  <c r="J49" i="9"/>
  <c r="J81" i="7"/>
  <c r="G65" i="9"/>
  <c r="G13" i="9"/>
  <c r="G68" i="9" s="1"/>
  <c r="I42" i="7"/>
  <c r="I5" i="7" s="1"/>
  <c r="J39" i="7"/>
  <c r="H174" i="2"/>
  <c r="H158" i="2"/>
  <c r="H143" i="2"/>
  <c r="C8" i="6"/>
  <c r="C9" i="6"/>
  <c r="E16" i="18"/>
  <c r="E14" i="18"/>
  <c r="K41" i="1"/>
  <c r="K30" i="1"/>
  <c r="F7" i="19"/>
  <c r="F15" i="19" s="1"/>
  <c r="K91" i="1"/>
  <c r="K95" i="1" s="1"/>
  <c r="K96" i="1" s="1"/>
  <c r="J14" i="18"/>
  <c r="J16" i="18"/>
  <c r="L91" i="1"/>
  <c r="L95" i="1" s="1"/>
  <c r="L96" i="1" s="1"/>
  <c r="L41" i="1"/>
  <c r="L30" i="1"/>
  <c r="G7" i="19"/>
  <c r="G15" i="19" s="1"/>
  <c r="L33" i="1"/>
  <c r="N42" i="1"/>
  <c r="N27" i="1"/>
  <c r="N21" i="1"/>
  <c r="N25" i="1" s="1"/>
  <c r="I229" i="2" l="1"/>
  <c r="J27" i="7"/>
  <c r="J58" i="7"/>
  <c r="K8" i="9"/>
  <c r="M229" i="2" s="1"/>
  <c r="J229" i="2"/>
  <c r="K229" i="2" s="1"/>
  <c r="L229" i="2"/>
  <c r="L6" i="9"/>
  <c r="L7" i="9" s="1"/>
  <c r="L8" i="9"/>
  <c r="N229" i="2" s="1"/>
  <c r="F23" i="11"/>
  <c r="C27" i="11" s="1"/>
  <c r="I9" i="5"/>
  <c r="I13" i="5" s="1"/>
  <c r="J8" i="5"/>
  <c r="J9" i="5" s="1"/>
  <c r="J29" i="5"/>
  <c r="K3" i="5"/>
  <c r="K8" i="5" s="1"/>
  <c r="L33" i="2"/>
  <c r="L50" i="2" s="1"/>
  <c r="I65" i="9"/>
  <c r="M42" i="1"/>
  <c r="M27" i="1"/>
  <c r="M21" i="1"/>
  <c r="M25" i="1" s="1"/>
  <c r="J15" i="19"/>
  <c r="G185" i="2"/>
  <c r="G186" i="2" s="1"/>
  <c r="Q19" i="6"/>
  <c r="M10" i="6"/>
  <c r="M11" i="6" s="1"/>
  <c r="G5" i="7"/>
  <c r="G46" i="7"/>
  <c r="G14" i="2"/>
  <c r="G47" i="7"/>
  <c r="G48" i="7"/>
  <c r="E68" i="7"/>
  <c r="E42" i="7"/>
  <c r="H20" i="6"/>
  <c r="H193" i="2"/>
  <c r="E193" i="2"/>
  <c r="E20" i="6"/>
  <c r="M11" i="9"/>
  <c r="M12" i="9"/>
  <c r="N5" i="9"/>
  <c r="L6" i="7"/>
  <c r="M9" i="9"/>
  <c r="O225" i="2" s="1"/>
  <c r="E34" i="5"/>
  <c r="E10" i="5"/>
  <c r="E197" i="2"/>
  <c r="E5" i="2"/>
  <c r="J200" i="2"/>
  <c r="J216" i="2"/>
  <c r="G223" i="2"/>
  <c r="G22" i="7" s="1"/>
  <c r="J192" i="2"/>
  <c r="P19" i="6"/>
  <c r="P6" i="6"/>
  <c r="E175" i="2"/>
  <c r="E159" i="2"/>
  <c r="F207" i="2"/>
  <c r="F19" i="5" s="1"/>
  <c r="F205" i="2"/>
  <c r="F17" i="5" s="1"/>
  <c r="F204" i="2"/>
  <c r="G68" i="7"/>
  <c r="G45" i="7"/>
  <c r="G42" i="7"/>
  <c r="H68" i="7"/>
  <c r="D20" i="6"/>
  <c r="D193" i="2"/>
  <c r="D209" i="2" s="1"/>
  <c r="D21" i="5" s="1"/>
  <c r="G20" i="6"/>
  <c r="G193" i="2"/>
  <c r="G227" i="2" s="1"/>
  <c r="G26" i="7" s="1"/>
  <c r="G64" i="7" s="1"/>
  <c r="M52" i="2"/>
  <c r="H19" i="6"/>
  <c r="H192" i="2"/>
  <c r="H226" i="2" s="1"/>
  <c r="H25" i="7" s="1"/>
  <c r="H6" i="6"/>
  <c r="E19" i="6"/>
  <c r="E192" i="2"/>
  <c r="E6" i="6"/>
  <c r="L10" i="9"/>
  <c r="J20" i="7"/>
  <c r="J28" i="7" s="1"/>
  <c r="M184" i="2"/>
  <c r="M222" i="2" s="1"/>
  <c r="K7" i="9"/>
  <c r="F193" i="2"/>
  <c r="F209" i="2" s="1"/>
  <c r="F21" i="5" s="1"/>
  <c r="F20" i="6"/>
  <c r="M4" i="6"/>
  <c r="P24" i="2"/>
  <c r="P114" i="2" s="1"/>
  <c r="H24" i="7"/>
  <c r="K225" i="2"/>
  <c r="D192" i="2"/>
  <c r="D19" i="6"/>
  <c r="D6" i="6"/>
  <c r="G192" i="2"/>
  <c r="G226" i="2" s="1"/>
  <c r="G25" i="7" s="1"/>
  <c r="G63" i="7" s="1"/>
  <c r="G19" i="6"/>
  <c r="G6" i="6"/>
  <c r="L40" i="7"/>
  <c r="N35" i="2"/>
  <c r="I216" i="2"/>
  <c r="I200" i="2"/>
  <c r="H13" i="9"/>
  <c r="H68" i="9" s="1"/>
  <c r="H65" i="9"/>
  <c r="F5" i="7"/>
  <c r="F46" i="7"/>
  <c r="F198" i="2"/>
  <c r="F14" i="2"/>
  <c r="F48" i="7"/>
  <c r="F47" i="7"/>
  <c r="G34" i="5"/>
  <c r="G10" i="5"/>
  <c r="G197" i="2"/>
  <c r="G5" i="2"/>
  <c r="G35" i="5"/>
  <c r="Q10" i="5"/>
  <c r="K197" i="2"/>
  <c r="K198" i="2" s="1"/>
  <c r="K7" i="1"/>
  <c r="L88" i="1"/>
  <c r="L49" i="1"/>
  <c r="I20" i="7"/>
  <c r="I28" i="7" s="1"/>
  <c r="L184" i="2"/>
  <c r="J7" i="9"/>
  <c r="J10" i="9" s="1"/>
  <c r="F19" i="6"/>
  <c r="F192" i="2"/>
  <c r="F208" i="2" s="1"/>
  <c r="F20" i="5" s="1"/>
  <c r="F6" i="6"/>
  <c r="P139" i="2"/>
  <c r="C48" i="7"/>
  <c r="C47" i="7"/>
  <c r="C5" i="7"/>
  <c r="C198" i="2"/>
  <c r="C14" i="2"/>
  <c r="C46" i="7"/>
  <c r="C45" i="7"/>
  <c r="F10" i="5"/>
  <c r="M18" i="11"/>
  <c r="F45" i="7"/>
  <c r="S42" i="1"/>
  <c r="S21" i="1"/>
  <c r="S25" i="1" s="1"/>
  <c r="S27" i="1"/>
  <c r="C20" i="6"/>
  <c r="C193" i="2"/>
  <c r="C209" i="2" s="1"/>
  <c r="C21" i="5" s="1"/>
  <c r="C41" i="5" s="1"/>
  <c r="J42" i="7"/>
  <c r="J5" i="7" s="1"/>
  <c r="K39" i="7"/>
  <c r="D48" i="7"/>
  <c r="D47" i="7"/>
  <c r="D198" i="2"/>
  <c r="D5" i="7"/>
  <c r="D14" i="2"/>
  <c r="D46" i="7"/>
  <c r="K20" i="7"/>
  <c r="N184" i="2"/>
  <c r="N222" i="2" s="1"/>
  <c r="H223" i="2"/>
  <c r="H22" i="7" s="1"/>
  <c r="H227" i="2"/>
  <c r="H26" i="7" s="1"/>
  <c r="G20" i="7"/>
  <c r="P16" i="1"/>
  <c r="D7" i="10"/>
  <c r="K155" i="2"/>
  <c r="K138" i="2"/>
  <c r="K154" i="2" s="1"/>
  <c r="K5" i="2"/>
  <c r="M53" i="2"/>
  <c r="F68" i="7"/>
  <c r="O17" i="5"/>
  <c r="H20" i="7"/>
  <c r="I184" i="2"/>
  <c r="O20" i="6"/>
  <c r="I193" i="2"/>
  <c r="I209" i="2" s="1"/>
  <c r="O21" i="5" s="1"/>
  <c r="J223" i="2"/>
  <c r="J226" i="2"/>
  <c r="K186" i="2"/>
  <c r="K201" i="2"/>
  <c r="E7" i="7"/>
  <c r="D208" i="2"/>
  <c r="D20" i="5" s="1"/>
  <c r="D207" i="2"/>
  <c r="D19" i="5" s="1"/>
  <c r="D205" i="2"/>
  <c r="D17" i="5" s="1"/>
  <c r="D204" i="2"/>
  <c r="H205" i="2"/>
  <c r="H17" i="5" s="1"/>
  <c r="H204" i="2"/>
  <c r="H209" i="2"/>
  <c r="H21" i="5" s="1"/>
  <c r="H208" i="2"/>
  <c r="H20" i="5" s="1"/>
  <c r="H207" i="2"/>
  <c r="H19" i="5" s="1"/>
  <c r="F175" i="2"/>
  <c r="L55" i="2"/>
  <c r="M61" i="9"/>
  <c r="H185" i="2"/>
  <c r="H186" i="2" s="1"/>
  <c r="C204" i="2"/>
  <c r="C205" i="2"/>
  <c r="C17" i="5" s="1"/>
  <c r="C207" i="2"/>
  <c r="C19" i="5" s="1"/>
  <c r="P19" i="5"/>
  <c r="S19" i="5" s="1"/>
  <c r="I9" i="6"/>
  <c r="J3" i="6"/>
  <c r="I6" i="6"/>
  <c r="I8" i="6"/>
  <c r="L37" i="2"/>
  <c r="I7" i="6"/>
  <c r="L23" i="2"/>
  <c r="P20" i="6"/>
  <c r="J193" i="2"/>
  <c r="C192" i="2"/>
  <c r="C208" i="2" s="1"/>
  <c r="C20" i="5" s="1"/>
  <c r="C40" i="5" s="1"/>
  <c r="C19" i="6"/>
  <c r="C6" i="6"/>
  <c r="I14" i="7"/>
  <c r="I10" i="7"/>
  <c r="I16" i="7"/>
  <c r="I7" i="7"/>
  <c r="I12" i="7"/>
  <c r="I46" i="7"/>
  <c r="L87" i="1"/>
  <c r="L48" i="1"/>
  <c r="K6" i="1"/>
  <c r="K26" i="7"/>
  <c r="K85" i="7" s="1"/>
  <c r="K23" i="7"/>
  <c r="K82" i="7" s="1"/>
  <c r="K25" i="7"/>
  <c r="K84" i="7" s="1"/>
  <c r="K22" i="7"/>
  <c r="K24" i="7"/>
  <c r="K83" i="7" s="1"/>
  <c r="N34" i="2"/>
  <c r="P17" i="5"/>
  <c r="S17" i="5" s="1"/>
  <c r="H5" i="7"/>
  <c r="H48" i="7"/>
  <c r="H198" i="2"/>
  <c r="H14" i="2"/>
  <c r="H47" i="7"/>
  <c r="H46" i="7"/>
  <c r="H45" i="7"/>
  <c r="P113" i="2"/>
  <c r="N41" i="1"/>
  <c r="N33" i="1"/>
  <c r="N30" i="1"/>
  <c r="N91" i="1"/>
  <c r="N95" i="1" s="1"/>
  <c r="N96" i="1" s="1"/>
  <c r="I7" i="19"/>
  <c r="I15" i="19" s="1"/>
  <c r="H159" i="2"/>
  <c r="H175" i="2"/>
  <c r="L50" i="9"/>
  <c r="K49" i="9"/>
  <c r="K56" i="9"/>
  <c r="K57" i="9" s="1"/>
  <c r="D175" i="2"/>
  <c r="D159" i="2"/>
  <c r="I192" i="2"/>
  <c r="I208" i="2" s="1"/>
  <c r="O20" i="5" s="1"/>
  <c r="O19" i="6"/>
  <c r="O6" i="6"/>
  <c r="W32" i="1"/>
  <c r="V29" i="1"/>
  <c r="I223" i="2"/>
  <c r="I227" i="2"/>
  <c r="H10" i="5"/>
  <c r="K41" i="7"/>
  <c r="M38" i="2"/>
  <c r="Q20" i="6"/>
  <c r="K10" i="9" l="1"/>
  <c r="K200" i="2"/>
  <c r="I20" i="5"/>
  <c r="I52" i="5" s="1"/>
  <c r="I17" i="5"/>
  <c r="L135" i="2" s="1"/>
  <c r="I18" i="5"/>
  <c r="I15" i="5"/>
  <c r="I19" i="5"/>
  <c r="I51" i="5" s="1"/>
  <c r="I14" i="5"/>
  <c r="I45" i="5" s="1"/>
  <c r="I21" i="5"/>
  <c r="I53" i="5" s="1"/>
  <c r="I10" i="5"/>
  <c r="M33" i="2"/>
  <c r="M50" i="2" s="1"/>
  <c r="K29" i="5"/>
  <c r="L5" i="2"/>
  <c r="K5" i="5"/>
  <c r="N36" i="2" s="1"/>
  <c r="N53" i="2" s="1"/>
  <c r="L3" i="5"/>
  <c r="M3" i="5" s="1"/>
  <c r="M33" i="1"/>
  <c r="M41" i="1"/>
  <c r="M30" i="1"/>
  <c r="M91" i="1"/>
  <c r="M95" i="1" s="1"/>
  <c r="M96" i="1" s="1"/>
  <c r="H7" i="19"/>
  <c r="H15" i="19" s="1"/>
  <c r="I226" i="2"/>
  <c r="K226" i="2" s="1"/>
  <c r="K223" i="2"/>
  <c r="I10" i="6"/>
  <c r="I11" i="6" s="1"/>
  <c r="P25" i="2"/>
  <c r="P26" i="2" s="1"/>
  <c r="F40" i="5"/>
  <c r="F41" i="5"/>
  <c r="K193" i="2"/>
  <c r="J209" i="2"/>
  <c r="D49" i="5"/>
  <c r="D37" i="5"/>
  <c r="H40" i="5"/>
  <c r="E26" i="6"/>
  <c r="E190" i="2"/>
  <c r="E194" i="2" s="1"/>
  <c r="E16" i="6"/>
  <c r="E10" i="6"/>
  <c r="E24" i="2"/>
  <c r="E25" i="2" s="1"/>
  <c r="E26" i="2" s="1"/>
  <c r="H200" i="2"/>
  <c r="K20" i="11"/>
  <c r="H41" i="5"/>
  <c r="I217" i="2"/>
  <c r="I214" i="2"/>
  <c r="I218" i="2"/>
  <c r="G58" i="7"/>
  <c r="K207" i="2"/>
  <c r="H84" i="7"/>
  <c r="H63" i="7"/>
  <c r="I84" i="7"/>
  <c r="I30" i="7"/>
  <c r="I25" i="6"/>
  <c r="L139" i="2"/>
  <c r="H15" i="5"/>
  <c r="D53" i="5"/>
  <c r="D41" i="5"/>
  <c r="H58" i="7"/>
  <c r="H64" i="7"/>
  <c r="H85" i="7"/>
  <c r="I85" i="7"/>
  <c r="D218" i="2"/>
  <c r="D16" i="7" s="1"/>
  <c r="D214" i="2"/>
  <c r="D12" i="7" s="1"/>
  <c r="D216" i="2"/>
  <c r="D14" i="7" s="1"/>
  <c r="D213" i="2"/>
  <c r="D217" i="2"/>
  <c r="D15" i="7" s="1"/>
  <c r="D26" i="6"/>
  <c r="D190" i="2"/>
  <c r="D16" i="6"/>
  <c r="D24" i="2"/>
  <c r="D25" i="2" s="1"/>
  <c r="D26" i="2" s="1"/>
  <c r="D10" i="6"/>
  <c r="F15" i="5"/>
  <c r="P16" i="6"/>
  <c r="J190" i="2"/>
  <c r="J215" i="2" s="1"/>
  <c r="L23" i="7"/>
  <c r="L82" i="7" s="1"/>
  <c r="L25" i="7"/>
  <c r="L84" i="7" s="1"/>
  <c r="L22" i="7"/>
  <c r="L24" i="7"/>
  <c r="L83" i="7" s="1"/>
  <c r="L26" i="7"/>
  <c r="L85" i="7" s="1"/>
  <c r="O34" i="2"/>
  <c r="M50" i="9"/>
  <c r="L49" i="9"/>
  <c r="L56" i="9"/>
  <c r="L57" i="9" s="1"/>
  <c r="L41" i="7"/>
  <c r="N38" i="2"/>
  <c r="O16" i="6"/>
  <c r="I190" i="2"/>
  <c r="P115" i="2"/>
  <c r="L54" i="2"/>
  <c r="L58" i="7"/>
  <c r="N61" i="9"/>
  <c r="M58" i="7" s="1"/>
  <c r="H37" i="5"/>
  <c r="Q17" i="5"/>
  <c r="E48" i="7"/>
  <c r="E5" i="7"/>
  <c r="E198" i="2"/>
  <c r="E14" i="2"/>
  <c r="E46" i="7"/>
  <c r="E47" i="7"/>
  <c r="H60" i="7"/>
  <c r="H81" i="7"/>
  <c r="I81" i="7"/>
  <c r="N33" i="2"/>
  <c r="C28" i="2"/>
  <c r="F26" i="6"/>
  <c r="F190" i="2"/>
  <c r="F215" i="2" s="1"/>
  <c r="F13" i="7" s="1"/>
  <c r="F16" i="6"/>
  <c r="F10" i="6"/>
  <c r="F24" i="2"/>
  <c r="F25" i="2" s="1"/>
  <c r="F26" i="2" s="1"/>
  <c r="K49" i="1"/>
  <c r="K88" i="1"/>
  <c r="L39" i="2"/>
  <c r="L46" i="2" s="1"/>
  <c r="H26" i="6"/>
  <c r="H190" i="2"/>
  <c r="H16" i="6"/>
  <c r="H24" i="2"/>
  <c r="H10" i="6"/>
  <c r="J217" i="2"/>
  <c r="J218" i="2"/>
  <c r="J214" i="2"/>
  <c r="H216" i="2"/>
  <c r="H14" i="7" s="1"/>
  <c r="H213" i="2"/>
  <c r="K87" i="1"/>
  <c r="K48" i="1"/>
  <c r="J6" i="1"/>
  <c r="I30" i="5"/>
  <c r="H39" i="5"/>
  <c r="Q19" i="5"/>
  <c r="K42" i="7"/>
  <c r="K5" i="7" s="1"/>
  <c r="L39" i="7"/>
  <c r="J227" i="2"/>
  <c r="K227" i="2" s="1"/>
  <c r="D28" i="2"/>
  <c r="X32" i="1"/>
  <c r="X29" i="1" s="1"/>
  <c r="W29" i="1"/>
  <c r="C39" i="5"/>
  <c r="D30" i="5"/>
  <c r="K205" i="2"/>
  <c r="C190" i="2"/>
  <c r="C215" i="2" s="1"/>
  <c r="C13" i="7" s="1"/>
  <c r="C53" i="7" s="1"/>
  <c r="C16" i="6"/>
  <c r="C24" i="2"/>
  <c r="C25" i="2" s="1"/>
  <c r="C26" i="2" s="1"/>
  <c r="C10" i="6"/>
  <c r="C11" i="6" s="1"/>
  <c r="C37" i="5"/>
  <c r="C217" i="2"/>
  <c r="C15" i="7" s="1"/>
  <c r="C55" i="7" s="1"/>
  <c r="C213" i="2"/>
  <c r="C218" i="2"/>
  <c r="C16" i="7" s="1"/>
  <c r="C56" i="7" s="1"/>
  <c r="C214" i="2"/>
  <c r="C12" i="7" s="1"/>
  <c r="C216" i="2"/>
  <c r="C14" i="7" s="1"/>
  <c r="C54" i="7" s="1"/>
  <c r="N52" i="2"/>
  <c r="K65" i="9"/>
  <c r="K13" i="9"/>
  <c r="K68" i="9" s="1"/>
  <c r="F37" i="5"/>
  <c r="K192" i="2"/>
  <c r="J208" i="2"/>
  <c r="M6" i="9"/>
  <c r="G28" i="2"/>
  <c r="M55" i="2"/>
  <c r="D39" i="5"/>
  <c r="E30" i="5"/>
  <c r="E31" i="5" s="1"/>
  <c r="D51" i="5"/>
  <c r="L113" i="2"/>
  <c r="I26" i="6"/>
  <c r="I4" i="6"/>
  <c r="I27" i="6" s="1"/>
  <c r="L24" i="2"/>
  <c r="L114" i="2" s="1"/>
  <c r="C15" i="5"/>
  <c r="I183" i="2"/>
  <c r="I222" i="2"/>
  <c r="D8" i="10"/>
  <c r="D15" i="10"/>
  <c r="M40" i="7"/>
  <c r="O35" i="2"/>
  <c r="E209" i="2"/>
  <c r="E21" i="5" s="1"/>
  <c r="F53" i="5" s="1"/>
  <c r="E208" i="2"/>
  <c r="E20" i="5" s="1"/>
  <c r="F52" i="5" s="1"/>
  <c r="E207" i="2"/>
  <c r="E19" i="5" s="1"/>
  <c r="F51" i="5" s="1"/>
  <c r="E204" i="2"/>
  <c r="E205" i="2"/>
  <c r="E17" i="5" s="1"/>
  <c r="F49" i="5" s="1"/>
  <c r="M8" i="9"/>
  <c r="J10" i="7"/>
  <c r="J16" i="7"/>
  <c r="J78" i="7" s="1"/>
  <c r="J13" i="7"/>
  <c r="J7" i="7"/>
  <c r="J12" i="7"/>
  <c r="J14" i="7"/>
  <c r="J76" i="7" s="1"/>
  <c r="F28" i="2"/>
  <c r="K81" i="7"/>
  <c r="K27" i="7"/>
  <c r="K28" i="7" s="1"/>
  <c r="D52" i="5"/>
  <c r="D40" i="5"/>
  <c r="F216" i="2"/>
  <c r="F14" i="7" s="1"/>
  <c r="F217" i="2"/>
  <c r="F15" i="7" s="1"/>
  <c r="F213" i="2"/>
  <c r="F214" i="2"/>
  <c r="F12" i="7" s="1"/>
  <c r="F218" i="2"/>
  <c r="F16" i="7" s="1"/>
  <c r="K14" i="2"/>
  <c r="H28" i="2"/>
  <c r="N51" i="2"/>
  <c r="I48" i="7"/>
  <c r="L14" i="2"/>
  <c r="I45" i="7"/>
  <c r="I47" i="7"/>
  <c r="J9" i="6"/>
  <c r="J6" i="6"/>
  <c r="K3" i="6"/>
  <c r="J7" i="6"/>
  <c r="J8" i="6"/>
  <c r="M23" i="2"/>
  <c r="M37" i="2"/>
  <c r="D15" i="5"/>
  <c r="P19" i="1"/>
  <c r="C35" i="11"/>
  <c r="S33" i="1"/>
  <c r="S41" i="1"/>
  <c r="S30" i="1"/>
  <c r="S91" i="1"/>
  <c r="S95" i="1" s="1"/>
  <c r="J13" i="9"/>
  <c r="J68" i="9" s="1"/>
  <c r="J65" i="9"/>
  <c r="G207" i="2"/>
  <c r="G19" i="5" s="1"/>
  <c r="H51" i="5" s="1"/>
  <c r="G205" i="2"/>
  <c r="G17" i="5" s="1"/>
  <c r="H49" i="5" s="1"/>
  <c r="G204" i="2"/>
  <c r="G208" i="2"/>
  <c r="G20" i="5" s="1"/>
  <c r="H52" i="5" s="1"/>
  <c r="G209" i="2"/>
  <c r="G21" i="5" s="1"/>
  <c r="H83" i="7"/>
  <c r="H62" i="7"/>
  <c r="I83" i="7"/>
  <c r="G30" i="5"/>
  <c r="F39" i="5"/>
  <c r="G60" i="7"/>
  <c r="N12" i="9"/>
  <c r="N6" i="9"/>
  <c r="N9" i="9"/>
  <c r="P225" i="2" s="1"/>
  <c r="N11" i="9"/>
  <c r="M6" i="7"/>
  <c r="G200" i="2"/>
  <c r="L222" i="2"/>
  <c r="J184" i="2"/>
  <c r="I44" i="5"/>
  <c r="L130" i="2"/>
  <c r="G26" i="6"/>
  <c r="G190" i="2"/>
  <c r="G16" i="6"/>
  <c r="G10" i="6"/>
  <c r="G24" i="2"/>
  <c r="G25" i="2" s="1"/>
  <c r="G26" i="2" s="1"/>
  <c r="L65" i="9"/>
  <c r="L13" i="9"/>
  <c r="L68" i="9" s="1"/>
  <c r="J14" i="5"/>
  <c r="J15" i="5"/>
  <c r="J17" i="5"/>
  <c r="J18" i="5"/>
  <c r="J10" i="5"/>
  <c r="J21" i="5"/>
  <c r="J13" i="5"/>
  <c r="M5" i="2"/>
  <c r="E45" i="7"/>
  <c r="M39" i="2" l="1"/>
  <c r="I49" i="5"/>
  <c r="L131" i="2"/>
  <c r="L182" i="2" s="1"/>
  <c r="L28" i="2"/>
  <c r="L59" i="2" s="1"/>
  <c r="I16" i="5"/>
  <c r="I47" i="5" s="1"/>
  <c r="L138" i="2"/>
  <c r="L154" i="2" s="1"/>
  <c r="L132" i="2"/>
  <c r="L165" i="2" s="1"/>
  <c r="J30" i="5"/>
  <c r="I46" i="5"/>
  <c r="L141" i="2"/>
  <c r="T13" i="1" s="1"/>
  <c r="L9" i="2"/>
  <c r="L5" i="5"/>
  <c r="O36" i="2" s="1"/>
  <c r="O53" i="2" s="1"/>
  <c r="K9" i="5"/>
  <c r="K17" i="5" s="1"/>
  <c r="L29" i="5"/>
  <c r="L8" i="5"/>
  <c r="O33" i="2" s="1"/>
  <c r="K216" i="2"/>
  <c r="I28" i="6"/>
  <c r="J10" i="6"/>
  <c r="J28" i="6" s="1"/>
  <c r="F53" i="7"/>
  <c r="G41" i="5"/>
  <c r="G53" i="5"/>
  <c r="F56" i="7"/>
  <c r="O229" i="2"/>
  <c r="K16" i="7"/>
  <c r="K78" i="7" s="1"/>
  <c r="K13" i="7"/>
  <c r="K75" i="7" s="1"/>
  <c r="K7" i="7"/>
  <c r="K12" i="7"/>
  <c r="K14" i="7"/>
  <c r="K76" i="7" s="1"/>
  <c r="K10" i="7"/>
  <c r="N55" i="2"/>
  <c r="D74" i="7"/>
  <c r="D52" i="7"/>
  <c r="P21" i="5"/>
  <c r="K209" i="2"/>
  <c r="J46" i="5"/>
  <c r="M132" i="2"/>
  <c r="G28" i="6"/>
  <c r="G11" i="6"/>
  <c r="N8" i="9"/>
  <c r="P229" i="2" s="1"/>
  <c r="G15" i="5"/>
  <c r="H46" i="5" s="1"/>
  <c r="F10" i="7"/>
  <c r="F219" i="2"/>
  <c r="F232" i="2" s="1"/>
  <c r="J74" i="7"/>
  <c r="E49" i="5"/>
  <c r="E37" i="5"/>
  <c r="P35" i="2"/>
  <c r="H54" i="7"/>
  <c r="H194" i="2"/>
  <c r="H224" i="2"/>
  <c r="H206" i="2"/>
  <c r="D56" i="7"/>
  <c r="D78" i="7"/>
  <c r="L81" i="7"/>
  <c r="L27" i="7"/>
  <c r="F36" i="5"/>
  <c r="F16" i="5"/>
  <c r="H36" i="5"/>
  <c r="H16" i="5"/>
  <c r="M20" i="11"/>
  <c r="K23" i="11"/>
  <c r="C10" i="7"/>
  <c r="C219" i="2"/>
  <c r="C232" i="2" s="1"/>
  <c r="L42" i="7"/>
  <c r="L5" i="7" s="1"/>
  <c r="M39" i="7"/>
  <c r="M20" i="7"/>
  <c r="P184" i="2"/>
  <c r="P222" i="2" s="1"/>
  <c r="G52" i="5"/>
  <c r="G40" i="5"/>
  <c r="J26" i="6"/>
  <c r="J4" i="6"/>
  <c r="J27" i="6" s="1"/>
  <c r="M24" i="2"/>
  <c r="M114" i="2" s="1"/>
  <c r="P20" i="5"/>
  <c r="K208" i="2"/>
  <c r="H10" i="7"/>
  <c r="G215" i="2"/>
  <c r="G13" i="7" s="1"/>
  <c r="G198" i="2"/>
  <c r="G217" i="2"/>
  <c r="G15" i="7" s="1"/>
  <c r="G214" i="2"/>
  <c r="G12" i="7" s="1"/>
  <c r="G218" i="2"/>
  <c r="G16" i="7" s="1"/>
  <c r="M56" i="2"/>
  <c r="M43" i="2"/>
  <c r="M44" i="2"/>
  <c r="M45" i="2"/>
  <c r="F55" i="7"/>
  <c r="E15" i="5"/>
  <c r="F46" i="5" s="1"/>
  <c r="M47" i="2"/>
  <c r="E28" i="2"/>
  <c r="J16" i="5"/>
  <c r="J44" i="5"/>
  <c r="M130" i="2"/>
  <c r="J45" i="5"/>
  <c r="M131" i="2"/>
  <c r="S116" i="1"/>
  <c r="S115" i="1" s="1"/>
  <c r="S96" i="1"/>
  <c r="M54" i="2"/>
  <c r="M46" i="2"/>
  <c r="K28" i="2"/>
  <c r="X11" i="2"/>
  <c r="X10" i="2"/>
  <c r="X12" i="2"/>
  <c r="F54" i="7"/>
  <c r="M14" i="2"/>
  <c r="M28" i="2" s="1"/>
  <c r="J48" i="7"/>
  <c r="J46" i="7"/>
  <c r="J45" i="7"/>
  <c r="J47" i="7"/>
  <c r="E206" i="2"/>
  <c r="E18" i="5" s="1"/>
  <c r="E9" i="2" s="1"/>
  <c r="I194" i="2"/>
  <c r="I206" i="2"/>
  <c r="I224" i="2"/>
  <c r="I228" i="2" s="1"/>
  <c r="L155" i="2"/>
  <c r="L171" i="2"/>
  <c r="I215" i="2"/>
  <c r="H217" i="2"/>
  <c r="H15" i="7" s="1"/>
  <c r="H218" i="2"/>
  <c r="H16" i="7" s="1"/>
  <c r="H214" i="2"/>
  <c r="H12" i="7" s="1"/>
  <c r="H215" i="2"/>
  <c r="H13" i="7" s="1"/>
  <c r="J53" i="5"/>
  <c r="M141" i="2"/>
  <c r="M25" i="7"/>
  <c r="M84" i="7" s="1"/>
  <c r="M22" i="7"/>
  <c r="M24" i="7"/>
  <c r="M83" i="7" s="1"/>
  <c r="M23" i="7"/>
  <c r="M82" i="7" s="1"/>
  <c r="M26" i="7"/>
  <c r="M85" i="7" s="1"/>
  <c r="P34" i="2"/>
  <c r="H30" i="5"/>
  <c r="H31" i="5" s="1"/>
  <c r="G51" i="5"/>
  <c r="G39" i="5"/>
  <c r="M113" i="2"/>
  <c r="M179" i="2" s="1"/>
  <c r="E39" i="5"/>
  <c r="F30" i="5"/>
  <c r="F31" i="5" s="1"/>
  <c r="E51" i="5"/>
  <c r="T9" i="1"/>
  <c r="I76" i="7"/>
  <c r="F28" i="6"/>
  <c r="F11" i="6"/>
  <c r="D77" i="7"/>
  <c r="D55" i="7"/>
  <c r="J25" i="6"/>
  <c r="M139" i="2"/>
  <c r="J50" i="5"/>
  <c r="M136" i="2"/>
  <c r="L3" i="6"/>
  <c r="K8" i="6"/>
  <c r="K7" i="6"/>
  <c r="K6" i="6"/>
  <c r="K9" i="6"/>
  <c r="N23" i="2"/>
  <c r="N37" i="2"/>
  <c r="J30" i="7"/>
  <c r="J72" i="7"/>
  <c r="J49" i="5"/>
  <c r="M135" i="2"/>
  <c r="J183" i="2"/>
  <c r="J222" i="2"/>
  <c r="K184" i="2"/>
  <c r="P42" i="1"/>
  <c r="P27" i="1"/>
  <c r="P21" i="1"/>
  <c r="P25" i="1" s="1"/>
  <c r="F52" i="7"/>
  <c r="F17" i="7"/>
  <c r="F31" i="7" s="1"/>
  <c r="F18" i="2" s="1"/>
  <c r="O52" i="2"/>
  <c r="N7" i="9"/>
  <c r="G37" i="5"/>
  <c r="G49" i="5"/>
  <c r="D46" i="5"/>
  <c r="D36" i="5"/>
  <c r="D16" i="5"/>
  <c r="N50" i="2"/>
  <c r="M41" i="7"/>
  <c r="O38" i="2"/>
  <c r="G194" i="2"/>
  <c r="G224" i="2"/>
  <c r="M42" i="2"/>
  <c r="G206" i="2"/>
  <c r="G18" i="5" s="1"/>
  <c r="G9" i="2" s="1"/>
  <c r="I132" i="2"/>
  <c r="I149" i="2" s="1"/>
  <c r="I204" i="2"/>
  <c r="I213" i="2"/>
  <c r="E218" i="2"/>
  <c r="E16" i="7" s="1"/>
  <c r="E214" i="2"/>
  <c r="E12" i="7" s="1"/>
  <c r="E215" i="2"/>
  <c r="E13" i="7" s="1"/>
  <c r="F75" i="7" s="1"/>
  <c r="E216" i="2"/>
  <c r="E14" i="7" s="1"/>
  <c r="F76" i="7" s="1"/>
  <c r="E213" i="2"/>
  <c r="E217" i="2"/>
  <c r="E15" i="7" s="1"/>
  <c r="F77" i="7" s="1"/>
  <c r="D28" i="6"/>
  <c r="D11" i="6"/>
  <c r="L181" i="2"/>
  <c r="L163" i="2"/>
  <c r="L147" i="2"/>
  <c r="L148" i="2"/>
  <c r="E52" i="5"/>
  <c r="E40" i="5"/>
  <c r="C36" i="5"/>
  <c r="C16" i="5"/>
  <c r="I14" i="6"/>
  <c r="L123" i="2"/>
  <c r="L118" i="2"/>
  <c r="L115" i="2"/>
  <c r="C52" i="7"/>
  <c r="C17" i="7"/>
  <c r="C31" i="7" s="1"/>
  <c r="C18" i="2" s="1"/>
  <c r="J48" i="1"/>
  <c r="J87" i="1"/>
  <c r="K217" i="2"/>
  <c r="L179" i="2"/>
  <c r="L56" i="2"/>
  <c r="L43" i="2"/>
  <c r="L44" i="2"/>
  <c r="L45" i="2"/>
  <c r="L47" i="2"/>
  <c r="L42" i="2"/>
  <c r="M49" i="9"/>
  <c r="N50" i="9"/>
  <c r="M56" i="9"/>
  <c r="M57" i="9" s="1"/>
  <c r="D10" i="7"/>
  <c r="M5" i="5"/>
  <c r="P36" i="2" s="1"/>
  <c r="M8" i="5"/>
  <c r="M29" i="5"/>
  <c r="E53" i="5"/>
  <c r="E41" i="5"/>
  <c r="L124" i="2"/>
  <c r="L119" i="2"/>
  <c r="L25" i="2"/>
  <c r="L26" i="2" s="1"/>
  <c r="L20" i="7"/>
  <c r="O184" i="2"/>
  <c r="O222" i="2" s="1"/>
  <c r="M7" i="9"/>
  <c r="M10" i="9" s="1"/>
  <c r="C194" i="2"/>
  <c r="C206" i="2"/>
  <c r="H28" i="6"/>
  <c r="H11" i="6"/>
  <c r="F194" i="2"/>
  <c r="F206" i="2"/>
  <c r="O51" i="2"/>
  <c r="D194" i="2"/>
  <c r="D206" i="2"/>
  <c r="D76" i="7"/>
  <c r="D54" i="7"/>
  <c r="L15" i="2"/>
  <c r="L16" i="2" s="1"/>
  <c r="E28" i="6"/>
  <c r="E11" i="6"/>
  <c r="K24" i="2"/>
  <c r="H25" i="2"/>
  <c r="H26" i="2" s="1"/>
  <c r="L189" i="2"/>
  <c r="L151" i="2"/>
  <c r="L167" i="2"/>
  <c r="K190" i="2"/>
  <c r="K194" i="2" s="1"/>
  <c r="J194" i="2"/>
  <c r="J206" i="2"/>
  <c r="J224" i="2"/>
  <c r="K224" i="2" s="1"/>
  <c r="D215" i="2"/>
  <c r="D13" i="7" s="1"/>
  <c r="D17" i="7" s="1"/>
  <c r="D31" i="7" s="1"/>
  <c r="D18" i="2" s="1"/>
  <c r="H53" i="5"/>
  <c r="K214" i="2" l="1"/>
  <c r="L63" i="2"/>
  <c r="L78" i="2" s="1"/>
  <c r="L164" i="2"/>
  <c r="N10" i="9"/>
  <c r="J39" i="5"/>
  <c r="J19" i="5" s="1"/>
  <c r="I22" i="5"/>
  <c r="I23" i="5" s="1"/>
  <c r="I24" i="5" s="1"/>
  <c r="L60" i="2"/>
  <c r="L75" i="2" s="1"/>
  <c r="L62" i="2"/>
  <c r="L77" i="2" s="1"/>
  <c r="L61" i="2"/>
  <c r="L76" i="2" s="1"/>
  <c r="L6" i="2"/>
  <c r="T10" i="1" s="1"/>
  <c r="T37" i="1" s="1"/>
  <c r="L170" i="2"/>
  <c r="L137" i="2"/>
  <c r="L153" i="2" s="1"/>
  <c r="L191" i="2"/>
  <c r="L157" i="2"/>
  <c r="L183" i="2"/>
  <c r="L149" i="2"/>
  <c r="N5" i="2"/>
  <c r="L173" i="2"/>
  <c r="L193" i="2"/>
  <c r="K21" i="5"/>
  <c r="N141" i="2" s="1"/>
  <c r="K15" i="5"/>
  <c r="K46" i="5" s="1"/>
  <c r="K13" i="5"/>
  <c r="K14" i="5"/>
  <c r="N131" i="2" s="1"/>
  <c r="K10" i="5"/>
  <c r="K18" i="5"/>
  <c r="K50" i="5" s="1"/>
  <c r="L9" i="5"/>
  <c r="L21" i="5" s="1"/>
  <c r="L28" i="7"/>
  <c r="J40" i="5"/>
  <c r="J20" i="5" s="1"/>
  <c r="I18" i="2"/>
  <c r="M25" i="2"/>
  <c r="M26" i="2" s="1"/>
  <c r="L185" i="2"/>
  <c r="L186" i="2" s="1"/>
  <c r="J11" i="6"/>
  <c r="U9" i="1"/>
  <c r="M6" i="19" s="1"/>
  <c r="K10" i="6"/>
  <c r="K11" i="6" s="1"/>
  <c r="M201" i="2"/>
  <c r="M200" i="2"/>
  <c r="M197" i="2"/>
  <c r="M198" i="2"/>
  <c r="L17" i="2"/>
  <c r="D50" i="7"/>
  <c r="D72" i="7"/>
  <c r="D30" i="7"/>
  <c r="D18" i="7"/>
  <c r="L9" i="6"/>
  <c r="L7" i="6"/>
  <c r="L8" i="6"/>
  <c r="L6" i="6"/>
  <c r="O37" i="2"/>
  <c r="O23" i="2"/>
  <c r="T36" i="1"/>
  <c r="K18" i="18"/>
  <c r="K23" i="18" s="1"/>
  <c r="T15" i="1"/>
  <c r="K12" i="18" s="1"/>
  <c r="L6" i="19"/>
  <c r="E3" i="10"/>
  <c r="E4" i="10" s="1"/>
  <c r="M81" i="7"/>
  <c r="M27" i="7"/>
  <c r="M28" i="7" s="1"/>
  <c r="G77" i="7"/>
  <c r="G55" i="7"/>
  <c r="F18" i="5"/>
  <c r="F210" i="2"/>
  <c r="P53" i="2"/>
  <c r="D219" i="2"/>
  <c r="D232" i="2" s="1"/>
  <c r="L125" i="2"/>
  <c r="L120" i="2"/>
  <c r="E74" i="7"/>
  <c r="E52" i="7"/>
  <c r="E17" i="7"/>
  <c r="E31" i="7" s="1"/>
  <c r="E18" i="2" s="1"/>
  <c r="I219" i="2"/>
  <c r="I15" i="2"/>
  <c r="I16" i="2" s="1"/>
  <c r="G31" i="5"/>
  <c r="M15" i="2"/>
  <c r="M16" i="2" s="1"/>
  <c r="H55" i="7"/>
  <c r="H77" i="7"/>
  <c r="E38" i="5"/>
  <c r="G216" i="2"/>
  <c r="G14" i="7" s="1"/>
  <c r="G213" i="2"/>
  <c r="M124" i="2"/>
  <c r="M119" i="2"/>
  <c r="L13" i="7"/>
  <c r="L75" i="7" s="1"/>
  <c r="L7" i="7"/>
  <c r="L12" i="7"/>
  <c r="L14" i="7"/>
  <c r="L76" i="7" s="1"/>
  <c r="L10" i="7"/>
  <c r="L16" i="7"/>
  <c r="L78" i="7" s="1"/>
  <c r="M9" i="5"/>
  <c r="P33" i="2"/>
  <c r="E78" i="7"/>
  <c r="E56" i="7"/>
  <c r="K215" i="2"/>
  <c r="G53" i="7"/>
  <c r="G75" i="7"/>
  <c r="H18" i="5"/>
  <c r="H22" i="5" s="1"/>
  <c r="H210" i="2"/>
  <c r="P52" i="2"/>
  <c r="M149" i="2"/>
  <c r="M183" i="2"/>
  <c r="M165" i="2"/>
  <c r="N14" i="2"/>
  <c r="K46" i="7"/>
  <c r="K48" i="7"/>
  <c r="K45" i="7"/>
  <c r="K47" i="7"/>
  <c r="F78" i="7"/>
  <c r="N49" i="9"/>
  <c r="N56" i="9"/>
  <c r="N57" i="9" s="1"/>
  <c r="L201" i="2"/>
  <c r="L197" i="2"/>
  <c r="L200" i="2"/>
  <c r="L198" i="2"/>
  <c r="F74" i="7"/>
  <c r="J228" i="2"/>
  <c r="K222" i="2"/>
  <c r="N113" i="2"/>
  <c r="P51" i="2"/>
  <c r="M182" i="2"/>
  <c r="M148" i="2"/>
  <c r="M164" i="2"/>
  <c r="H219" i="2"/>
  <c r="F22" i="5"/>
  <c r="F6" i="2"/>
  <c r="F7" i="2" s="1"/>
  <c r="H23" i="7"/>
  <c r="H228" i="2"/>
  <c r="H230" i="2" s="1"/>
  <c r="F72" i="7"/>
  <c r="F30" i="7"/>
  <c r="F50" i="7"/>
  <c r="F18" i="7"/>
  <c r="O15" i="5"/>
  <c r="O16" i="5" s="1"/>
  <c r="I210" i="2"/>
  <c r="I6" i="2"/>
  <c r="I7" i="2" s="1"/>
  <c r="N54" i="2"/>
  <c r="M171" i="2"/>
  <c r="M155" i="2"/>
  <c r="C30" i="7"/>
  <c r="C50" i="7"/>
  <c r="C18" i="7"/>
  <c r="G210" i="2"/>
  <c r="P38" i="2"/>
  <c r="P18" i="5"/>
  <c r="S18" i="5" s="1"/>
  <c r="K206" i="2"/>
  <c r="J9" i="2"/>
  <c r="K49" i="5"/>
  <c r="N135" i="2"/>
  <c r="N65" i="9"/>
  <c r="N13" i="9"/>
  <c r="N68" i="9" s="1"/>
  <c r="Q4" i="6"/>
  <c r="Q6" i="6" s="1"/>
  <c r="Q16" i="6" s="1"/>
  <c r="K25" i="2"/>
  <c r="Q10" i="6" s="1"/>
  <c r="Q11" i="6" s="1"/>
  <c r="C18" i="5"/>
  <c r="C210" i="2"/>
  <c r="C6" i="2"/>
  <c r="C7" i="2" s="1"/>
  <c r="E77" i="7"/>
  <c r="E55" i="7"/>
  <c r="N39" i="2"/>
  <c r="N46" i="2" s="1"/>
  <c r="K26" i="6"/>
  <c r="K4" i="6"/>
  <c r="K27" i="6" s="1"/>
  <c r="N24" i="2"/>
  <c r="N114" i="2" s="1"/>
  <c r="M61" i="2"/>
  <c r="M59" i="2"/>
  <c r="M63" i="2"/>
  <c r="M78" i="2" s="1"/>
  <c r="M60" i="2"/>
  <c r="M75" i="2" s="1"/>
  <c r="M62" i="2"/>
  <c r="M181" i="2"/>
  <c r="M163" i="2"/>
  <c r="M147" i="2"/>
  <c r="E210" i="2"/>
  <c r="G46" i="5"/>
  <c r="G36" i="5"/>
  <c r="G16" i="5"/>
  <c r="H47" i="5" s="1"/>
  <c r="S21" i="5"/>
  <c r="Q21" i="5"/>
  <c r="D18" i="5"/>
  <c r="D210" i="2"/>
  <c r="M193" i="2"/>
  <c r="M157" i="2"/>
  <c r="M173" i="2"/>
  <c r="U13" i="1"/>
  <c r="E10" i="7"/>
  <c r="E219" i="2"/>
  <c r="E232" i="2" s="1"/>
  <c r="G23" i="7"/>
  <c r="G228" i="2"/>
  <c r="G230" i="2" s="1"/>
  <c r="D47" i="5"/>
  <c r="D6" i="2"/>
  <c r="D7" i="2" s="1"/>
  <c r="P33" i="1"/>
  <c r="P91" i="1"/>
  <c r="P95" i="1" s="1"/>
  <c r="P96" i="1" s="1"/>
  <c r="J96" i="1" s="1"/>
  <c r="P30" i="1"/>
  <c r="P41" i="1"/>
  <c r="K7" i="19"/>
  <c r="K15" i="19" s="1"/>
  <c r="M189" i="2"/>
  <c r="M167" i="2"/>
  <c r="M151" i="2"/>
  <c r="K25" i="6"/>
  <c r="N139" i="2"/>
  <c r="L128" i="2"/>
  <c r="K218" i="2"/>
  <c r="J14" i="6"/>
  <c r="M123" i="2"/>
  <c r="M118" i="2"/>
  <c r="M115" i="2"/>
  <c r="H53" i="7"/>
  <c r="H75" i="7"/>
  <c r="O18" i="5"/>
  <c r="I9" i="2"/>
  <c r="E46" i="5"/>
  <c r="E36" i="5"/>
  <c r="S37" i="5" s="1"/>
  <c r="E16" i="5"/>
  <c r="F47" i="5" s="1"/>
  <c r="G56" i="7"/>
  <c r="G78" i="7"/>
  <c r="S20" i="5"/>
  <c r="Q20" i="5"/>
  <c r="M23" i="11"/>
  <c r="N20" i="11" s="1"/>
  <c r="O20" i="11" s="1"/>
  <c r="K30" i="7"/>
  <c r="K72" i="7"/>
  <c r="L74" i="2"/>
  <c r="D53" i="7"/>
  <c r="D75" i="7"/>
  <c r="M190" i="2"/>
  <c r="M152" i="2"/>
  <c r="G50" i="5"/>
  <c r="G38" i="5"/>
  <c r="J132" i="2"/>
  <c r="K183" i="2"/>
  <c r="J204" i="2"/>
  <c r="J213" i="2"/>
  <c r="H30" i="7"/>
  <c r="H50" i="7"/>
  <c r="I72" i="7"/>
  <c r="M65" i="9"/>
  <c r="M13" i="9"/>
  <c r="M68" i="9" s="1"/>
  <c r="K40" i="5"/>
  <c r="K20" i="5" s="1"/>
  <c r="E76" i="7"/>
  <c r="E54" i="7"/>
  <c r="J18" i="2"/>
  <c r="R37" i="5"/>
  <c r="H17" i="7"/>
  <c r="H18" i="7" s="1"/>
  <c r="H74" i="7"/>
  <c r="H52" i="7"/>
  <c r="I74" i="7"/>
  <c r="J47" i="5"/>
  <c r="M6" i="2"/>
  <c r="G17" i="7"/>
  <c r="G52" i="7"/>
  <c r="G74" i="7"/>
  <c r="O50" i="2"/>
  <c r="H6" i="2"/>
  <c r="E53" i="7"/>
  <c r="E75" i="7"/>
  <c r="O55" i="2"/>
  <c r="I42" i="5"/>
  <c r="H56" i="7"/>
  <c r="H78" i="7"/>
  <c r="I78" i="7"/>
  <c r="M42" i="7"/>
  <c r="M5" i="7" s="1"/>
  <c r="K74" i="7"/>
  <c r="K39" i="5" l="1"/>
  <c r="L7" i="2"/>
  <c r="L64" i="2"/>
  <c r="L79" i="2" s="1"/>
  <c r="M77" i="2"/>
  <c r="L169" i="2"/>
  <c r="M76" i="2"/>
  <c r="K45" i="5"/>
  <c r="K53" i="5"/>
  <c r="N136" i="2"/>
  <c r="N190" i="2" s="1"/>
  <c r="I55" i="7"/>
  <c r="I15" i="7" s="1"/>
  <c r="L140" i="2" s="1"/>
  <c r="N28" i="2"/>
  <c r="N61" i="2" s="1"/>
  <c r="N76" i="2" s="1"/>
  <c r="N132" i="2"/>
  <c r="N149" i="2" s="1"/>
  <c r="K16" i="5"/>
  <c r="K47" i="5" s="1"/>
  <c r="N130" i="2"/>
  <c r="N181" i="2" s="1"/>
  <c r="K44" i="5"/>
  <c r="L17" i="5"/>
  <c r="O135" i="2" s="1"/>
  <c r="L18" i="5"/>
  <c r="O136" i="2" s="1"/>
  <c r="O5" i="2"/>
  <c r="L14" i="5"/>
  <c r="O131" i="2" s="1"/>
  <c r="L10" i="5"/>
  <c r="L13" i="5"/>
  <c r="L44" i="5" s="1"/>
  <c r="L15" i="5"/>
  <c r="O132" i="2" s="1"/>
  <c r="K228" i="2"/>
  <c r="H232" i="2"/>
  <c r="F3" i="10"/>
  <c r="F4" i="10" s="1"/>
  <c r="U15" i="1"/>
  <c r="L12" i="18" s="1"/>
  <c r="U36" i="1"/>
  <c r="L18" i="18"/>
  <c r="J22" i="5"/>
  <c r="J42" i="5" s="1"/>
  <c r="K28" i="6"/>
  <c r="V9" i="1"/>
  <c r="N6" i="19" s="1"/>
  <c r="C32" i="7"/>
  <c r="C34" i="7" s="1"/>
  <c r="C35" i="7" s="1"/>
  <c r="C15" i="2"/>
  <c r="C16" i="2" s="1"/>
  <c r="D32" i="7"/>
  <c r="D34" i="7" s="1"/>
  <c r="D35" i="7" s="1"/>
  <c r="D15" i="2"/>
  <c r="D16" i="2" s="1"/>
  <c r="I53" i="7"/>
  <c r="I13" i="7" s="1"/>
  <c r="N21" i="11"/>
  <c r="O21" i="11" s="1"/>
  <c r="N19" i="11"/>
  <c r="O19" i="11" s="1"/>
  <c r="N18" i="11"/>
  <c r="O18" i="11" s="1"/>
  <c r="G47" i="5"/>
  <c r="G22" i="5"/>
  <c r="G6" i="2"/>
  <c r="G7" i="2" s="1"/>
  <c r="O22" i="5"/>
  <c r="O23" i="5" s="1"/>
  <c r="F42" i="5"/>
  <c r="F23" i="5"/>
  <c r="F24" i="5" s="1"/>
  <c r="N25" i="2"/>
  <c r="N26" i="2" s="1"/>
  <c r="H50" i="5"/>
  <c r="H38" i="5"/>
  <c r="Q18" i="5"/>
  <c r="H9" i="2"/>
  <c r="K9" i="2" s="1"/>
  <c r="I50" i="5"/>
  <c r="F50" i="5"/>
  <c r="F38" i="5"/>
  <c r="F9" i="2"/>
  <c r="L39" i="5"/>
  <c r="K19" i="5"/>
  <c r="M213" i="2"/>
  <c r="O113" i="2"/>
  <c r="O54" i="2"/>
  <c r="P54" i="2"/>
  <c r="M7" i="7"/>
  <c r="M12" i="7"/>
  <c r="M14" i="7"/>
  <c r="M76" i="7" s="1"/>
  <c r="M10" i="7"/>
  <c r="M13" i="7"/>
  <c r="M75" i="7" s="1"/>
  <c r="M16" i="7"/>
  <c r="M78" i="7" s="1"/>
  <c r="F32" i="7"/>
  <c r="F34" i="7" s="1"/>
  <c r="F35" i="7" s="1"/>
  <c r="F15" i="2"/>
  <c r="F16" i="2" s="1"/>
  <c r="L218" i="2"/>
  <c r="L214" i="2"/>
  <c r="G10" i="7"/>
  <c r="G219" i="2"/>
  <c r="G232" i="2" s="1"/>
  <c r="L26" i="6"/>
  <c r="L4" i="6"/>
  <c r="O24" i="2"/>
  <c r="O114" i="2" s="1"/>
  <c r="M26" i="6"/>
  <c r="J165" i="2"/>
  <c r="J149" i="2"/>
  <c r="K132" i="2"/>
  <c r="K149" i="2" s="1"/>
  <c r="G61" i="7"/>
  <c r="G65" i="7" s="1"/>
  <c r="G27" i="7"/>
  <c r="G28" i="7" s="1"/>
  <c r="C38" i="5"/>
  <c r="C9" i="2"/>
  <c r="C10" i="2" s="1"/>
  <c r="N193" i="2"/>
  <c r="N157" i="2"/>
  <c r="N173" i="2"/>
  <c r="V13" i="1"/>
  <c r="L216" i="2"/>
  <c r="L213" i="2"/>
  <c r="L10" i="2"/>
  <c r="L8" i="2"/>
  <c r="N124" i="2"/>
  <c r="N119" i="2"/>
  <c r="P55" i="2"/>
  <c r="L74" i="7"/>
  <c r="G76" i="7"/>
  <c r="G54" i="7"/>
  <c r="H76" i="7"/>
  <c r="T11" i="1"/>
  <c r="M227" i="2"/>
  <c r="M224" i="2"/>
  <c r="M223" i="2"/>
  <c r="M128" i="2"/>
  <c r="U10" i="1"/>
  <c r="M7" i="2"/>
  <c r="M17" i="2"/>
  <c r="M12" i="19"/>
  <c r="M9" i="19"/>
  <c r="F11" i="10" s="1"/>
  <c r="M11" i="19"/>
  <c r="D8" i="2"/>
  <c r="D50" i="5"/>
  <c r="D38" i="5"/>
  <c r="D9" i="2"/>
  <c r="D10" i="2" s="1"/>
  <c r="L227" i="2"/>
  <c r="L223" i="2"/>
  <c r="I17" i="2"/>
  <c r="I19" i="2"/>
  <c r="I20" i="2" s="1"/>
  <c r="L12" i="19"/>
  <c r="L9" i="19"/>
  <c r="E11" i="10" s="1"/>
  <c r="L11" i="19"/>
  <c r="L25" i="6"/>
  <c r="O139" i="2"/>
  <c r="M25" i="6"/>
  <c r="H42" i="5"/>
  <c r="H23" i="5"/>
  <c r="H24" i="5" s="1"/>
  <c r="N62" i="2"/>
  <c r="N77" i="2" s="1"/>
  <c r="N63" i="2"/>
  <c r="N78" i="2" s="1"/>
  <c r="M74" i="2"/>
  <c r="M64" i="2"/>
  <c r="L72" i="7"/>
  <c r="L30" i="7"/>
  <c r="M218" i="2"/>
  <c r="M214" i="2"/>
  <c r="M215" i="2"/>
  <c r="O39" i="2"/>
  <c r="O46" i="2" s="1"/>
  <c r="K52" i="5"/>
  <c r="K213" i="2"/>
  <c r="J219" i="2"/>
  <c r="K219" i="2" s="1"/>
  <c r="J15" i="2"/>
  <c r="J16" i="2" s="1"/>
  <c r="N15" i="2"/>
  <c r="N16" i="2" s="1"/>
  <c r="L162" i="2"/>
  <c r="L146" i="2"/>
  <c r="D22" i="5"/>
  <c r="E72" i="7"/>
  <c r="E30" i="7"/>
  <c r="E50" i="7"/>
  <c r="E18" i="7"/>
  <c r="M185" i="2"/>
  <c r="M186" i="2" s="1"/>
  <c r="C8" i="2"/>
  <c r="I8" i="2"/>
  <c r="I10" i="2"/>
  <c r="I11" i="2" s="1"/>
  <c r="H82" i="7"/>
  <c r="H61" i="7"/>
  <c r="H65" i="7" s="1"/>
  <c r="I82" i="7"/>
  <c r="H27" i="7"/>
  <c r="H28" i="7" s="1"/>
  <c r="P39" i="2"/>
  <c r="P42" i="2" s="1"/>
  <c r="P50" i="2"/>
  <c r="O14" i="2"/>
  <c r="L46" i="7"/>
  <c r="L48" i="7"/>
  <c r="L45" i="7"/>
  <c r="L47" i="7"/>
  <c r="E50" i="5"/>
  <c r="L40" i="5"/>
  <c r="L20" i="5" s="1"/>
  <c r="N164" i="2"/>
  <c r="N182" i="2"/>
  <c r="N148" i="2"/>
  <c r="K14" i="6"/>
  <c r="N123" i="2"/>
  <c r="N118" i="2"/>
  <c r="N115" i="2"/>
  <c r="I77" i="7"/>
  <c r="H15" i="2"/>
  <c r="H7" i="2"/>
  <c r="G31" i="7"/>
  <c r="G18" i="2" s="1"/>
  <c r="P15" i="5"/>
  <c r="J210" i="2"/>
  <c r="K204" i="2"/>
  <c r="K210" i="2" s="1"/>
  <c r="J6" i="2"/>
  <c r="J7" i="2" s="1"/>
  <c r="E47" i="5"/>
  <c r="E22" i="5"/>
  <c r="E6" i="2"/>
  <c r="E7" i="2" s="1"/>
  <c r="M125" i="2"/>
  <c r="M120" i="2"/>
  <c r="N171" i="2"/>
  <c r="N155" i="2"/>
  <c r="M40" i="5"/>
  <c r="M20" i="5" s="1"/>
  <c r="N179" i="2"/>
  <c r="N56" i="2"/>
  <c r="N44" i="2"/>
  <c r="N45" i="2"/>
  <c r="N43" i="2"/>
  <c r="N42" i="2"/>
  <c r="N47" i="2"/>
  <c r="C22" i="5"/>
  <c r="N189" i="2"/>
  <c r="N167" i="2"/>
  <c r="N151" i="2"/>
  <c r="F8" i="2"/>
  <c r="F10" i="2"/>
  <c r="M17" i="5"/>
  <c r="M18" i="5"/>
  <c r="M10" i="5"/>
  <c r="M21" i="5"/>
  <c r="M13" i="5"/>
  <c r="M14" i="5"/>
  <c r="M15" i="5"/>
  <c r="P5" i="2"/>
  <c r="L53" i="5"/>
  <c r="O141" i="2"/>
  <c r="J51" i="5"/>
  <c r="K30" i="5"/>
  <c r="M138" i="2"/>
  <c r="M9" i="2"/>
  <c r="K24" i="18"/>
  <c r="K25" i="18"/>
  <c r="K26" i="18"/>
  <c r="L26" i="18" s="1"/>
  <c r="M26" i="18" s="1"/>
  <c r="N26" i="18" s="1"/>
  <c r="O26" i="18" s="1"/>
  <c r="L10" i="6"/>
  <c r="J52" i="5"/>
  <c r="M79" i="2" l="1"/>
  <c r="N152" i="2"/>
  <c r="N6" i="2"/>
  <c r="N128" i="2" s="1"/>
  <c r="N168" i="2"/>
  <c r="N59" i="2"/>
  <c r="N74" i="2" s="1"/>
  <c r="L49" i="5"/>
  <c r="N183" i="2"/>
  <c r="N185" i="2" s="1"/>
  <c r="N186" i="2" s="1"/>
  <c r="N60" i="2"/>
  <c r="N75" i="2" s="1"/>
  <c r="N165" i="2"/>
  <c r="O28" i="2"/>
  <c r="O59" i="2" s="1"/>
  <c r="N163" i="2"/>
  <c r="N147" i="2"/>
  <c r="K22" i="5"/>
  <c r="K42" i="5" s="1"/>
  <c r="H31" i="7"/>
  <c r="H18" i="2" s="1"/>
  <c r="K18" i="2" s="1"/>
  <c r="J55" i="7"/>
  <c r="L50" i="5"/>
  <c r="L45" i="5"/>
  <c r="L16" i="5"/>
  <c r="L47" i="5" s="1"/>
  <c r="O130" i="2"/>
  <c r="O181" i="2" s="1"/>
  <c r="L46" i="5"/>
  <c r="L7" i="18"/>
  <c r="L6" i="18"/>
  <c r="L8" i="18"/>
  <c r="J23" i="5"/>
  <c r="J24" i="5" s="1"/>
  <c r="M18" i="18"/>
  <c r="V15" i="1"/>
  <c r="M12" i="18" s="1"/>
  <c r="G3" i="10"/>
  <c r="G4" i="10" s="1"/>
  <c r="L9" i="18"/>
  <c r="V36" i="1"/>
  <c r="D11" i="2"/>
  <c r="C11" i="2"/>
  <c r="N17" i="2"/>
  <c r="M52" i="5"/>
  <c r="O183" i="2"/>
  <c r="O149" i="2"/>
  <c r="O165" i="2"/>
  <c r="L11" i="2"/>
  <c r="L14" i="6"/>
  <c r="O123" i="2"/>
  <c r="O118" i="2"/>
  <c r="O115" i="2"/>
  <c r="P118" i="2"/>
  <c r="I75" i="7"/>
  <c r="I17" i="7"/>
  <c r="L136" i="2"/>
  <c r="J75" i="7"/>
  <c r="M50" i="5"/>
  <c r="P136" i="2"/>
  <c r="H8" i="2"/>
  <c r="H10" i="2"/>
  <c r="O171" i="2"/>
  <c r="O155" i="2"/>
  <c r="P171" i="2"/>
  <c r="L27" i="6"/>
  <c r="M27" i="6"/>
  <c r="G8" i="2"/>
  <c r="G10" i="2"/>
  <c r="D19" i="2"/>
  <c r="D20" i="2" s="1"/>
  <c r="D17" i="2"/>
  <c r="E10" i="2"/>
  <c r="E8" i="2"/>
  <c r="G72" i="7"/>
  <c r="G30" i="7"/>
  <c r="G50" i="7"/>
  <c r="G18" i="7"/>
  <c r="H72" i="7"/>
  <c r="M191" i="2"/>
  <c r="M154" i="2"/>
  <c r="M137" i="2"/>
  <c r="M170" i="2"/>
  <c r="E42" i="5"/>
  <c r="E23" i="5"/>
  <c r="E24" i="5" s="1"/>
  <c r="M46" i="5"/>
  <c r="P132" i="2"/>
  <c r="M49" i="5"/>
  <c r="P135" i="2"/>
  <c r="N201" i="2"/>
  <c r="N197" i="2"/>
  <c r="N200" i="2"/>
  <c r="N198" i="2"/>
  <c r="K6" i="2"/>
  <c r="K7" i="2" s="1"/>
  <c r="L192" i="2"/>
  <c r="L172" i="2"/>
  <c r="L156" i="2"/>
  <c r="E32" i="7"/>
  <c r="E34" i="7" s="1"/>
  <c r="E35" i="7" s="1"/>
  <c r="E15" i="2"/>
  <c r="E16" i="2" s="1"/>
  <c r="J17" i="2"/>
  <c r="J19" i="2"/>
  <c r="J20" i="2" s="1"/>
  <c r="L30" i="5"/>
  <c r="K51" i="5"/>
  <c r="N138" i="2"/>
  <c r="N9" i="2"/>
  <c r="G42" i="5"/>
  <c r="G23" i="5"/>
  <c r="G24" i="5" s="1"/>
  <c r="M45" i="5"/>
  <c r="P131" i="2"/>
  <c r="C42" i="5"/>
  <c r="C23" i="5"/>
  <c r="C24" i="5" s="1"/>
  <c r="J8" i="2"/>
  <c r="J10" i="2"/>
  <c r="J11" i="2" s="1"/>
  <c r="L52" i="5"/>
  <c r="P179" i="2"/>
  <c r="P198" i="2" s="1"/>
  <c r="P56" i="2"/>
  <c r="P46" i="2"/>
  <c r="P155" i="2"/>
  <c r="P124" i="2"/>
  <c r="M14" i="6"/>
  <c r="P123" i="2"/>
  <c r="P125" i="2"/>
  <c r="P45" i="2"/>
  <c r="P43" i="2"/>
  <c r="P44" i="2"/>
  <c r="L13" i="19"/>
  <c r="E12" i="10" s="1"/>
  <c r="M13" i="19"/>
  <c r="F12" i="10" s="1"/>
  <c r="E5" i="10"/>
  <c r="E6" i="10" s="1"/>
  <c r="N7" i="2"/>
  <c r="O190" i="2"/>
  <c r="O152" i="2"/>
  <c r="O168" i="2"/>
  <c r="M39" i="5"/>
  <c r="M19" i="5" s="1"/>
  <c r="L19" i="5"/>
  <c r="K15" i="2"/>
  <c r="H16" i="2"/>
  <c r="M44" i="5"/>
  <c r="M16" i="5"/>
  <c r="P130" i="2"/>
  <c r="N125" i="2"/>
  <c r="N120" i="2"/>
  <c r="D42" i="5"/>
  <c r="D23" i="5"/>
  <c r="D24" i="5" s="1"/>
  <c r="M10" i="2"/>
  <c r="M8" i="2"/>
  <c r="M72" i="7"/>
  <c r="M30" i="7"/>
  <c r="O23" i="11"/>
  <c r="C28" i="11" s="1"/>
  <c r="C31" i="11" s="1"/>
  <c r="C8" i="11" s="1"/>
  <c r="C15" i="11" s="1"/>
  <c r="C17" i="10" s="1"/>
  <c r="O119" i="2"/>
  <c r="O124" i="2"/>
  <c r="P119" i="2"/>
  <c r="P14" i="2"/>
  <c r="X9" i="1" s="1"/>
  <c r="M46" i="7"/>
  <c r="M48" i="7"/>
  <c r="M47" i="7"/>
  <c r="M45" i="7"/>
  <c r="O15" i="2"/>
  <c r="O16" i="2" s="1"/>
  <c r="U37" i="1"/>
  <c r="U11" i="1"/>
  <c r="O167" i="2"/>
  <c r="O151" i="2"/>
  <c r="O189" i="2"/>
  <c r="O182" i="2"/>
  <c r="O164" i="2"/>
  <c r="O148" i="2"/>
  <c r="F19" i="2"/>
  <c r="F20" i="2" s="1"/>
  <c r="F17" i="2"/>
  <c r="N11" i="19"/>
  <c r="N12" i="19"/>
  <c r="N9" i="19"/>
  <c r="G11" i="10" s="1"/>
  <c r="C19" i="2"/>
  <c r="C20" i="2" s="1"/>
  <c r="C17" i="2"/>
  <c r="O179" i="2"/>
  <c r="O56" i="2"/>
  <c r="O43" i="2"/>
  <c r="O45" i="2"/>
  <c r="O44" i="2"/>
  <c r="O47" i="2"/>
  <c r="O42" i="2"/>
  <c r="L28" i="6"/>
  <c r="L11" i="6"/>
  <c r="M28" i="6"/>
  <c r="O173" i="2"/>
  <c r="O157" i="2"/>
  <c r="O193" i="2"/>
  <c r="W13" i="1"/>
  <c r="F29" i="2"/>
  <c r="F30" i="2" s="1"/>
  <c r="F11" i="2"/>
  <c r="M53" i="5"/>
  <c r="P141" i="2"/>
  <c r="S15" i="5"/>
  <c r="P16" i="5"/>
  <c r="Q15" i="5"/>
  <c r="Q16" i="5" s="1"/>
  <c r="Q22" i="5" s="1"/>
  <c r="Q23" i="5" s="1"/>
  <c r="O147" i="2"/>
  <c r="M162" i="2"/>
  <c r="M146" i="2"/>
  <c r="P47" i="2"/>
  <c r="W9" i="1"/>
  <c r="M74" i="7"/>
  <c r="O25" i="2"/>
  <c r="O26" i="2" s="1"/>
  <c r="V10" i="1" l="1"/>
  <c r="H32" i="7"/>
  <c r="H34" i="7" s="1"/>
  <c r="H35" i="7" s="1"/>
  <c r="O163" i="2"/>
  <c r="N64" i="2"/>
  <c r="N79" i="2" s="1"/>
  <c r="O62" i="2"/>
  <c r="O77" i="2" s="1"/>
  <c r="O63" i="2"/>
  <c r="O78" i="2" s="1"/>
  <c r="O60" i="2"/>
  <c r="O75" i="2" s="1"/>
  <c r="O61" i="2"/>
  <c r="O76" i="2" s="1"/>
  <c r="K23" i="5"/>
  <c r="K24" i="5" s="1"/>
  <c r="O6" i="2"/>
  <c r="O7" i="2" s="1"/>
  <c r="J15" i="7"/>
  <c r="K55" i="7"/>
  <c r="L22" i="5"/>
  <c r="L23" i="5" s="1"/>
  <c r="L24" i="5" s="1"/>
  <c r="E10" i="10"/>
  <c r="K16" i="18"/>
  <c r="K14" i="18"/>
  <c r="M9" i="18"/>
  <c r="L10" i="18"/>
  <c r="M6" i="18"/>
  <c r="M8" i="18"/>
  <c r="M7" i="18"/>
  <c r="O185" i="2"/>
  <c r="O186" i="2" s="1"/>
  <c r="M51" i="5"/>
  <c r="P138" i="2"/>
  <c r="N13" i="19"/>
  <c r="G12" i="10" s="1"/>
  <c r="M47" i="5"/>
  <c r="M22" i="5"/>
  <c r="P6" i="2"/>
  <c r="N224" i="2"/>
  <c r="N223" i="2"/>
  <c r="N227" i="2"/>
  <c r="G11" i="2"/>
  <c r="D29" i="2"/>
  <c r="D30" i="2" s="1"/>
  <c r="O128" i="2"/>
  <c r="F19" i="10"/>
  <c r="E19" i="10"/>
  <c r="D31" i="10"/>
  <c r="H19" i="10"/>
  <c r="I19" i="10"/>
  <c r="G19" i="10"/>
  <c r="H11" i="2"/>
  <c r="L190" i="2"/>
  <c r="L168" i="2"/>
  <c r="L152" i="2"/>
  <c r="T12" i="1"/>
  <c r="L142" i="2"/>
  <c r="M168" i="2"/>
  <c r="E19" i="2"/>
  <c r="E20" i="2" s="1"/>
  <c r="E17" i="2"/>
  <c r="X36" i="1"/>
  <c r="I3" i="10"/>
  <c r="P6" i="19"/>
  <c r="O18" i="18"/>
  <c r="X15" i="1"/>
  <c r="O12" i="18" s="1"/>
  <c r="O201" i="2"/>
  <c r="O200" i="2"/>
  <c r="O197" i="2"/>
  <c r="O198" i="2"/>
  <c r="F5" i="10"/>
  <c r="F6" i="10" s="1"/>
  <c r="P182" i="2"/>
  <c r="P148" i="2"/>
  <c r="P164" i="2"/>
  <c r="P157" i="2"/>
  <c r="P193" i="2"/>
  <c r="P173" i="2"/>
  <c r="X13" i="1"/>
  <c r="V37" i="1"/>
  <c r="V11" i="1"/>
  <c r="P201" i="2"/>
  <c r="P197" i="2"/>
  <c r="P200" i="2"/>
  <c r="K10" i="2"/>
  <c r="K11" i="2" s="1"/>
  <c r="K8" i="2"/>
  <c r="P167" i="2"/>
  <c r="P151" i="2"/>
  <c r="P189" i="2"/>
  <c r="W36" i="1"/>
  <c r="W15" i="1"/>
  <c r="N12" i="18" s="1"/>
  <c r="H3" i="10"/>
  <c r="H4" i="10" s="1"/>
  <c r="O6" i="19"/>
  <c r="N18" i="18"/>
  <c r="P22" i="5"/>
  <c r="P23" i="5" s="1"/>
  <c r="S16" i="5"/>
  <c r="S22" i="5" s="1"/>
  <c r="S23" i="5" s="1"/>
  <c r="H17" i="2"/>
  <c r="K16" i="2"/>
  <c r="H19" i="2"/>
  <c r="H20" i="2" s="1"/>
  <c r="I31" i="7"/>
  <c r="I18" i="7"/>
  <c r="N10" i="2"/>
  <c r="N8" i="2"/>
  <c r="L226" i="2"/>
  <c r="L217" i="2"/>
  <c r="M153" i="2"/>
  <c r="M169" i="2"/>
  <c r="P190" i="2"/>
  <c r="P152" i="2"/>
  <c r="P168" i="2"/>
  <c r="O17" i="2"/>
  <c r="N146" i="2"/>
  <c r="N162" i="2"/>
  <c r="N213" i="2"/>
  <c r="M216" i="2"/>
  <c r="E29" i="2"/>
  <c r="E30" i="2" s="1"/>
  <c r="E11" i="2"/>
  <c r="O125" i="2"/>
  <c r="O120" i="2"/>
  <c r="P120" i="2"/>
  <c r="O74" i="2"/>
  <c r="P163" i="2"/>
  <c r="P147" i="2"/>
  <c r="P181" i="2"/>
  <c r="P15" i="2"/>
  <c r="P16" i="2" s="1"/>
  <c r="N191" i="2"/>
  <c r="N154" i="2"/>
  <c r="N137" i="2"/>
  <c r="N170" i="2"/>
  <c r="G32" i="7"/>
  <c r="G34" i="7" s="1"/>
  <c r="G35" i="7" s="1"/>
  <c r="G15" i="2"/>
  <c r="G16" i="2" s="1"/>
  <c r="P28" i="2"/>
  <c r="P9" i="2"/>
  <c r="M30" i="5"/>
  <c r="L51" i="5"/>
  <c r="O138" i="2"/>
  <c r="O9" i="2"/>
  <c r="N215" i="2"/>
  <c r="N214" i="2"/>
  <c r="N218" i="2"/>
  <c r="P165" i="2"/>
  <c r="P183" i="2"/>
  <c r="P213" i="2" s="1"/>
  <c r="P149" i="2"/>
  <c r="C29" i="2"/>
  <c r="C30" i="2" s="1"/>
  <c r="M11" i="2"/>
  <c r="W10" i="1" l="1"/>
  <c r="W37" i="1" s="1"/>
  <c r="O64" i="2"/>
  <c r="O79" i="2" s="1"/>
  <c r="L42" i="5"/>
  <c r="H29" i="2"/>
  <c r="K15" i="7"/>
  <c r="L55" i="7"/>
  <c r="L15" i="7" s="1"/>
  <c r="J77" i="7"/>
  <c r="M140" i="2"/>
  <c r="J17" i="7"/>
  <c r="L13" i="18"/>
  <c r="F10" i="10" s="1"/>
  <c r="Q4" i="10"/>
  <c r="R4" i="10" s="1"/>
  <c r="O4" i="10"/>
  <c r="N4" i="10" s="1"/>
  <c r="M10" i="18"/>
  <c r="P17" i="2"/>
  <c r="N169" i="2"/>
  <c r="N153" i="2"/>
  <c r="P185" i="2"/>
  <c r="P186" i="2" s="1"/>
  <c r="K19" i="2"/>
  <c r="K20" i="2" s="1"/>
  <c r="K17" i="2"/>
  <c r="O8" i="2"/>
  <c r="O10" i="2"/>
  <c r="O146" i="2"/>
  <c r="O162" i="2"/>
  <c r="P218" i="2"/>
  <c r="P214" i="2"/>
  <c r="P215" i="2"/>
  <c r="P11" i="19"/>
  <c r="P12" i="19"/>
  <c r="P9" i="19"/>
  <c r="I11" i="10" s="1"/>
  <c r="L158" i="2"/>
  <c r="L174" i="2"/>
  <c r="L143" i="2"/>
  <c r="M42" i="5"/>
  <c r="M23" i="5"/>
  <c r="M24" i="5" s="1"/>
  <c r="P128" i="2"/>
  <c r="X10" i="1"/>
  <c r="P7" i="2"/>
  <c r="P59" i="2"/>
  <c r="P62" i="2"/>
  <c r="P77" i="2" s="1"/>
  <c r="P60" i="2"/>
  <c r="P75" i="2" s="1"/>
  <c r="P61" i="2"/>
  <c r="P76" i="2" s="1"/>
  <c r="P63" i="2"/>
  <c r="P78" i="2" s="1"/>
  <c r="O191" i="2"/>
  <c r="O154" i="2"/>
  <c r="O137" i="2"/>
  <c r="O170" i="2"/>
  <c r="N11" i="2"/>
  <c r="O213" i="2"/>
  <c r="T38" i="1"/>
  <c r="T14" i="1"/>
  <c r="H30" i="2"/>
  <c r="K29" i="2"/>
  <c r="K30" i="2" s="1"/>
  <c r="O6" i="18"/>
  <c r="O8" i="18"/>
  <c r="O7" i="18"/>
  <c r="O9" i="18"/>
  <c r="G17" i="2"/>
  <c r="G19" i="2"/>
  <c r="P224" i="2"/>
  <c r="P223" i="2"/>
  <c r="P227" i="2"/>
  <c r="I4" i="10"/>
  <c r="J3" i="10"/>
  <c r="N216" i="2"/>
  <c r="L18" i="2"/>
  <c r="L19" i="2" s="1"/>
  <c r="I32" i="7"/>
  <c r="I34" i="7" s="1"/>
  <c r="I35" i="7" s="1"/>
  <c r="N9" i="18"/>
  <c r="N7" i="18"/>
  <c r="N6" i="18"/>
  <c r="N8" i="18"/>
  <c r="O215" i="2"/>
  <c r="O218" i="2"/>
  <c r="O214" i="2"/>
  <c r="P191" i="2"/>
  <c r="P216" i="2" s="1"/>
  <c r="P170" i="2"/>
  <c r="P154" i="2"/>
  <c r="P137" i="2"/>
  <c r="O11" i="19"/>
  <c r="O12" i="19"/>
  <c r="O9" i="19"/>
  <c r="H11" i="10" s="1"/>
  <c r="G5" i="10"/>
  <c r="G6" i="10" s="1"/>
  <c r="O224" i="2"/>
  <c r="O223" i="2"/>
  <c r="O227" i="2"/>
  <c r="L194" i="2"/>
  <c r="L215" i="2"/>
  <c r="L219" i="2" s="1"/>
  <c r="L224" i="2"/>
  <c r="L228" i="2" s="1"/>
  <c r="L230" i="2" s="1"/>
  <c r="W11" i="1" l="1"/>
  <c r="J31" i="7"/>
  <c r="J18" i="7"/>
  <c r="M172" i="2"/>
  <c r="M192" i="2"/>
  <c r="M156" i="2"/>
  <c r="M142" i="2"/>
  <c r="U12" i="1"/>
  <c r="O140" i="2"/>
  <c r="W12" i="1" s="1"/>
  <c r="W38" i="1" s="1"/>
  <c r="L77" i="7"/>
  <c r="L17" i="7"/>
  <c r="M55" i="7"/>
  <c r="M15" i="7" s="1"/>
  <c r="N140" i="2"/>
  <c r="K77" i="7"/>
  <c r="K17" i="7"/>
  <c r="M13" i="18"/>
  <c r="L14" i="18"/>
  <c r="L16" i="18"/>
  <c r="O10" i="18"/>
  <c r="P146" i="2"/>
  <c r="P162" i="2"/>
  <c r="H5" i="10"/>
  <c r="H6" i="10" s="1"/>
  <c r="P153" i="2"/>
  <c r="P169" i="2"/>
  <c r="O216" i="2"/>
  <c r="P13" i="19"/>
  <c r="I12" i="10" s="1"/>
  <c r="N10" i="18"/>
  <c r="P74" i="2"/>
  <c r="P64" i="2"/>
  <c r="P79" i="2" s="1"/>
  <c r="O13" i="19"/>
  <c r="H12" i="10" s="1"/>
  <c r="G20" i="2"/>
  <c r="G29" i="2"/>
  <c r="G30" i="2" s="1"/>
  <c r="O169" i="2"/>
  <c r="O153" i="2"/>
  <c r="P8" i="2"/>
  <c r="P10" i="2"/>
  <c r="L159" i="2"/>
  <c r="L175" i="2"/>
  <c r="O11" i="2"/>
  <c r="L20" i="2"/>
  <c r="L29" i="2"/>
  <c r="L30" i="2" s="1"/>
  <c r="E7" i="10"/>
  <c r="T16" i="1"/>
  <c r="T19" i="1" s="1"/>
  <c r="X37" i="1"/>
  <c r="X11" i="1"/>
  <c r="O142" i="2" l="1"/>
  <c r="O143" i="2" s="1"/>
  <c r="K18" i="7"/>
  <c r="K31" i="7"/>
  <c r="U38" i="1"/>
  <c r="U14" i="1"/>
  <c r="M143" i="2"/>
  <c r="M174" i="2"/>
  <c r="M158" i="2"/>
  <c r="M17" i="7"/>
  <c r="P140" i="2"/>
  <c r="M77" i="7"/>
  <c r="M217" i="2"/>
  <c r="M219" i="2" s="1"/>
  <c r="M194" i="2"/>
  <c r="M226" i="2"/>
  <c r="M228" i="2" s="1"/>
  <c r="M230" i="2" s="1"/>
  <c r="L31" i="7"/>
  <c r="L18" i="7"/>
  <c r="N172" i="2"/>
  <c r="N156" i="2"/>
  <c r="N192" i="2"/>
  <c r="V12" i="1"/>
  <c r="N142" i="2"/>
  <c r="O172" i="2"/>
  <c r="O156" i="2"/>
  <c r="O192" i="2"/>
  <c r="J32" i="7"/>
  <c r="J34" i="7" s="1"/>
  <c r="J35" i="7" s="1"/>
  <c r="M18" i="2"/>
  <c r="M19" i="2" s="1"/>
  <c r="M14" i="18"/>
  <c r="O13" i="18"/>
  <c r="O16" i="18" s="1"/>
  <c r="N13" i="18"/>
  <c r="N16" i="18" s="1"/>
  <c r="G10" i="10"/>
  <c r="M16" i="18"/>
  <c r="I5" i="10"/>
  <c r="O158" i="2"/>
  <c r="T21" i="1"/>
  <c r="T22" i="1"/>
  <c r="E8" i="10"/>
  <c r="P11" i="2"/>
  <c r="W14" i="1"/>
  <c r="O174" i="2" l="1"/>
  <c r="L32" i="7"/>
  <c r="L34" i="7" s="1"/>
  <c r="L35" i="7" s="1"/>
  <c r="O18" i="2"/>
  <c r="O19" i="2" s="1"/>
  <c r="M175" i="2"/>
  <c r="M159" i="2"/>
  <c r="F7" i="10"/>
  <c r="F8" i="10" s="1"/>
  <c r="U16" i="1"/>
  <c r="U19" i="1" s="1"/>
  <c r="O226" i="2"/>
  <c r="O228" i="2" s="1"/>
  <c r="O230" i="2" s="1"/>
  <c r="O217" i="2"/>
  <c r="O219" i="2" s="1"/>
  <c r="O194" i="2"/>
  <c r="N226" i="2"/>
  <c r="N228" i="2" s="1"/>
  <c r="N230" i="2" s="1"/>
  <c r="N217" i="2"/>
  <c r="N219" i="2" s="1"/>
  <c r="N194" i="2"/>
  <c r="N18" i="2"/>
  <c r="N19" i="2" s="1"/>
  <c r="K32" i="7"/>
  <c r="K34" i="7" s="1"/>
  <c r="K35" i="7" s="1"/>
  <c r="V38" i="1"/>
  <c r="V14" i="1"/>
  <c r="M20" i="2"/>
  <c r="M29" i="2"/>
  <c r="M30" i="2" s="1"/>
  <c r="P192" i="2"/>
  <c r="P156" i="2"/>
  <c r="P172" i="2"/>
  <c r="P142" i="2"/>
  <c r="X12" i="1"/>
  <c r="N158" i="2"/>
  <c r="N143" i="2"/>
  <c r="O175" i="2" s="1"/>
  <c r="N174" i="2"/>
  <c r="M31" i="7"/>
  <c r="M18" i="7"/>
  <c r="H10" i="10"/>
  <c r="N14" i="18"/>
  <c r="I10" i="10"/>
  <c r="O14" i="18"/>
  <c r="W16" i="1"/>
  <c r="W19" i="1" s="1"/>
  <c r="H7" i="10"/>
  <c r="J5" i="10"/>
  <c r="I6" i="10"/>
  <c r="T27" i="1"/>
  <c r="E13" i="10"/>
  <c r="E15" i="10" s="1"/>
  <c r="T25" i="1"/>
  <c r="O159" i="2"/>
  <c r="V16" i="1" l="1"/>
  <c r="V19" i="1" s="1"/>
  <c r="G7" i="10"/>
  <c r="G8" i="10" s="1"/>
  <c r="X38" i="1"/>
  <c r="X14" i="1"/>
  <c r="P143" i="2"/>
  <c r="P174" i="2"/>
  <c r="P158" i="2"/>
  <c r="U22" i="1"/>
  <c r="U21" i="1"/>
  <c r="N20" i="2"/>
  <c r="N29" i="2"/>
  <c r="N30" i="2" s="1"/>
  <c r="P217" i="2"/>
  <c r="P219" i="2" s="1"/>
  <c r="P226" i="2"/>
  <c r="P228" i="2" s="1"/>
  <c r="P230" i="2" s="1"/>
  <c r="P194" i="2"/>
  <c r="M32" i="7"/>
  <c r="M34" i="7" s="1"/>
  <c r="M35" i="7" s="1"/>
  <c r="P18" i="2"/>
  <c r="P19" i="2" s="1"/>
  <c r="O20" i="2"/>
  <c r="O29" i="2"/>
  <c r="O30" i="2" s="1"/>
  <c r="N175" i="2"/>
  <c r="N159" i="2"/>
  <c r="E16" i="10"/>
  <c r="E20" i="10"/>
  <c r="H8" i="10"/>
  <c r="W22" i="1"/>
  <c r="W21" i="1"/>
  <c r="T41" i="1"/>
  <c r="T30" i="1"/>
  <c r="L7" i="19"/>
  <c r="L15" i="19" s="1"/>
  <c r="T33" i="1"/>
  <c r="P20" i="2" l="1"/>
  <c r="P29" i="2"/>
  <c r="P30" i="2" s="1"/>
  <c r="U27" i="1"/>
  <c r="F13" i="10"/>
  <c r="F15" i="10" s="1"/>
  <c r="P159" i="2"/>
  <c r="P175" i="2"/>
  <c r="X16" i="1"/>
  <c r="X19" i="1" s="1"/>
  <c r="I7" i="10"/>
  <c r="U25" i="1"/>
  <c r="V21" i="1"/>
  <c r="V22" i="1"/>
  <c r="W25" i="1"/>
  <c r="W41" i="1" s="1"/>
  <c r="W27" i="1"/>
  <c r="H13" i="10"/>
  <c r="H15" i="10" s="1"/>
  <c r="V25" i="1" l="1"/>
  <c r="N7" i="19" s="1"/>
  <c r="N15" i="19" s="1"/>
  <c r="F20" i="10"/>
  <c r="F16" i="10"/>
  <c r="X21" i="1"/>
  <c r="X22" i="1"/>
  <c r="I8" i="10"/>
  <c r="J7" i="10"/>
  <c r="G13" i="10"/>
  <c r="G15" i="10" s="1"/>
  <c r="H16" i="10" s="1"/>
  <c r="V27" i="1"/>
  <c r="U41" i="1"/>
  <c r="M7" i="19"/>
  <c r="M15" i="19" s="1"/>
  <c r="U33" i="1"/>
  <c r="U30" i="1"/>
  <c r="O7" i="19"/>
  <c r="O15" i="19" s="1"/>
  <c r="W33" i="1"/>
  <c r="W30" i="1"/>
  <c r="H20" i="10"/>
  <c r="V41" i="1" l="1"/>
  <c r="V30" i="1"/>
  <c r="V33" i="1"/>
  <c r="I13" i="10"/>
  <c r="I15" i="10" s="1"/>
  <c r="X27" i="1"/>
  <c r="X25" i="1"/>
  <c r="G16" i="10"/>
  <c r="G20" i="10"/>
  <c r="P7" i="19" l="1"/>
  <c r="P15" i="19" s="1"/>
  <c r="X33" i="1"/>
  <c r="X30" i="1"/>
  <c r="X41" i="1"/>
  <c r="J16" i="10"/>
  <c r="D28" i="10" s="1"/>
  <c r="I16" i="10"/>
  <c r="D26" i="10"/>
  <c r="J15" i="10"/>
  <c r="I20" i="10"/>
  <c r="J20" i="10" s="1"/>
  <c r="D30" i="10" l="1"/>
  <c r="D32" i="10" s="1"/>
  <c r="D24" i="10"/>
  <c r="D34" i="10" l="1"/>
  <c r="D49" i="10" l="1"/>
  <c r="D36" i="10"/>
  <c r="D41" i="10" s="1"/>
  <c r="D45" i="10" s="1"/>
  <c r="D48" i="10" l="1"/>
  <c r="M4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Joey Zhou</author>
  </authors>
  <commentList>
    <comment ref="B33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Joey Zhou:</t>
        </r>
        <r>
          <rPr>
            <sz val="9"/>
            <color indexed="81"/>
            <rFont val="Tahoma"/>
            <family val="2"/>
          </rPr>
          <t xml:space="preserve">
The core business revenues of Amazon which includes sales of all items listed as well as all subscription based digital media 
</t>
        </r>
      </text>
    </comment>
    <comment ref="B34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 xml:space="preserve">Joey Zhou:
</t>
        </r>
        <r>
          <rPr>
            <sz val="9"/>
            <color indexed="81"/>
            <rFont val="Tahoma"/>
            <family val="2"/>
          </rPr>
          <t xml:space="preserve">Physical items sold in stores 
</t>
        </r>
      </text>
    </comment>
    <comment ref="B35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Joey Zhou:</t>
        </r>
        <r>
          <rPr>
            <sz val="9"/>
            <color indexed="81"/>
            <rFont val="Tahoma"/>
            <family val="2"/>
          </rPr>
          <t xml:space="preserve">
Commissions, related fulfillment and shipping fees, and other third-party seller services </t>
        </r>
      </text>
    </comment>
    <comment ref="B36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Joey Zhou:</t>
        </r>
        <r>
          <rPr>
            <sz val="9"/>
            <color indexed="81"/>
            <rFont val="Tahoma"/>
            <family val="2"/>
          </rPr>
          <t xml:space="preserve">
All subcription based revenue 
</t>
        </r>
      </text>
    </comment>
    <comment ref="B37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Joey Zhou:</t>
        </r>
        <r>
          <rPr>
            <sz val="9"/>
            <color indexed="81"/>
            <rFont val="Tahoma"/>
            <family val="2"/>
          </rPr>
          <t xml:space="preserve">
includes compute, storage, database, and other service offerings for startups, enterprises, gov agencies, and academic institutions. 
</t>
        </r>
      </text>
    </comment>
    <comment ref="B38" authorId="0" shapeId="0" xr:uid="{00000000-0006-0000-0600-000006000000}">
      <text>
        <r>
          <rPr>
            <b/>
            <sz val="9"/>
            <color rgb="FF000000"/>
            <rFont val="Tahoma"/>
            <family val="2"/>
          </rPr>
          <t>Joey Zhou: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sales that are otherwise included above</t>
        </r>
      </text>
    </comment>
    <comment ref="B137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Joey Zhou:</t>
        </r>
        <r>
          <rPr>
            <sz val="9"/>
            <color indexed="81"/>
            <rFont val="Tahoma"/>
            <family val="2"/>
          </rPr>
          <t xml:space="preserve">
Includes both advertisement and promotional costs and wages associated with people in this service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Joey Zhou</author>
  </authors>
  <commentList>
    <comment ref="B6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Joey Zhou:</t>
        </r>
        <r>
          <rPr>
            <sz val="9"/>
            <color indexed="81"/>
            <rFont val="Tahoma"/>
            <family val="2"/>
          </rPr>
          <t xml:space="preserve">
This is the difference in spending levels between Prime and Non-Prime Memebers 
</t>
        </r>
      </text>
    </comment>
  </commentList>
</comments>
</file>

<file path=xl/sharedStrings.xml><?xml version="1.0" encoding="utf-8"?>
<sst xmlns="http://schemas.openxmlformats.org/spreadsheetml/2006/main" count="1053" uniqueCount="618">
  <si>
    <t>Operating Scenario</t>
  </si>
  <si>
    <t>CAGR</t>
  </si>
  <si>
    <t>Sales</t>
  </si>
  <si>
    <t xml:space="preserve">   % growth</t>
  </si>
  <si>
    <t>Gross Profit</t>
  </si>
  <si>
    <t xml:space="preserve">   % margin</t>
  </si>
  <si>
    <t>EBITDA</t>
  </si>
  <si>
    <t>Unlevered Free Cash Flow</t>
  </si>
  <si>
    <t xml:space="preserve">   WACC</t>
  </si>
  <si>
    <t xml:space="preserve">   Discount Period</t>
  </si>
  <si>
    <t xml:space="preserve">   Discount Factor</t>
  </si>
  <si>
    <t>Present Value of Free Cash Flow</t>
  </si>
  <si>
    <t>Enterprise Value - Perpetual Growth Method</t>
  </si>
  <si>
    <t>Cumulative Present Value FCF</t>
  </si>
  <si>
    <t>Year 5 FCF</t>
  </si>
  <si>
    <t>Terminal Growth Rate</t>
  </si>
  <si>
    <t>Terminal Value</t>
  </si>
  <si>
    <t>Discount Factor</t>
  </si>
  <si>
    <t>Present Value of Terminal</t>
  </si>
  <si>
    <t>Enterprise Value</t>
  </si>
  <si>
    <t>Less: Total Debt</t>
  </si>
  <si>
    <t>Less: Preferred Stock</t>
  </si>
  <si>
    <t>Less: Noncontrolling Interest</t>
  </si>
  <si>
    <t>Plus: Cash and Cash Equivalents</t>
  </si>
  <si>
    <t>Implied Equity Value</t>
  </si>
  <si>
    <t>Fully Diluted Shares Outstanding</t>
  </si>
  <si>
    <t>Full Diluted Shares Outstanding</t>
  </si>
  <si>
    <t>Implied Share Price</t>
  </si>
  <si>
    <t>Best Case</t>
  </si>
  <si>
    <t>Worst Case</t>
  </si>
  <si>
    <t>Sanity Checks</t>
  </si>
  <si>
    <t>Implied Trailing P/E</t>
  </si>
  <si>
    <t>Implied Trailing EV/EBITDA</t>
  </si>
  <si>
    <t>Prime Forecasts</t>
  </si>
  <si>
    <t>Prime Member Growth Rate</t>
  </si>
  <si>
    <t xml:space="preserve">Scenario: Prime Revenues </t>
  </si>
  <si>
    <t>Scenario: Prime Costs</t>
  </si>
  <si>
    <t>Revenues</t>
  </si>
  <si>
    <t xml:space="preserve">Upside Case </t>
  </si>
  <si>
    <t>Up Side Case</t>
  </si>
  <si>
    <t>Prime</t>
  </si>
  <si>
    <t xml:space="preserve">Base Case </t>
  </si>
  <si>
    <t xml:space="preserve">Downside Case </t>
  </si>
  <si>
    <t xml:space="preserve">Down Side Case </t>
  </si>
  <si>
    <t xml:space="preserve">Selected Case </t>
  </si>
  <si>
    <t>Scenario: Retail Revenues</t>
  </si>
  <si>
    <t>Scenario: Retail Costs</t>
  </si>
  <si>
    <t>Shipping Expense % Sales</t>
  </si>
  <si>
    <t>Retail</t>
  </si>
  <si>
    <t>Scenario: AWS Revenues</t>
  </si>
  <si>
    <t>Scenario: AWS Costs</t>
  </si>
  <si>
    <t>AWS</t>
  </si>
  <si>
    <t>Fulfillment Expense % Sales</t>
  </si>
  <si>
    <t>Scenario: Shares Outstanding</t>
  </si>
  <si>
    <t>Scenario: Taxation</t>
  </si>
  <si>
    <t>Share Buybacks</t>
  </si>
  <si>
    <t>Republican Sweep</t>
  </si>
  <si>
    <t>Operating Income</t>
  </si>
  <si>
    <t xml:space="preserve">Constant </t>
  </si>
  <si>
    <t>Split Government</t>
  </si>
  <si>
    <t>Issuing New Equity</t>
  </si>
  <si>
    <t>Democrat Sweep</t>
  </si>
  <si>
    <t>Retail Forecasts</t>
  </si>
  <si>
    <t>Online Store Revenues*</t>
  </si>
  <si>
    <t>Third Party Revenues*</t>
  </si>
  <si>
    <t>Advertisement Revenues*</t>
  </si>
  <si>
    <t>Operating Margin</t>
  </si>
  <si>
    <t xml:space="preserve">* These are growth rates not common sizes </t>
  </si>
  <si>
    <t>AWS Forecasts</t>
  </si>
  <si>
    <t xml:space="preserve">Revenue as a % of Global Market Share </t>
  </si>
  <si>
    <t>Tech &amp; Content % Sales</t>
  </si>
  <si>
    <t>Taxation Forecasts</t>
  </si>
  <si>
    <t>Tax Expense % EBT</t>
  </si>
  <si>
    <t>Shares Outstanding</t>
  </si>
  <si>
    <t>Share Buyback Program</t>
  </si>
  <si>
    <t xml:space="preserve">Share Price </t>
  </si>
  <si>
    <t xml:space="preserve">Shares Outstanding </t>
  </si>
  <si>
    <t xml:space="preserve">Market Cap of Equity </t>
  </si>
  <si>
    <t xml:space="preserve">Cost of Equity </t>
  </si>
  <si>
    <t xml:space="preserve">Cost of Debt </t>
  </si>
  <si>
    <t xml:space="preserve">Debt/Capital </t>
  </si>
  <si>
    <t xml:space="preserve">Equity/Capital </t>
  </si>
  <si>
    <t>WACC</t>
  </si>
  <si>
    <t xml:space="preserve">Revenues By Location </t>
  </si>
  <si>
    <t>Weight</t>
  </si>
  <si>
    <t>CRP</t>
  </si>
  <si>
    <t>Weighted Average
Cost of Equity</t>
  </si>
  <si>
    <t>Sector</t>
  </si>
  <si>
    <t>Segment</t>
  </si>
  <si>
    <t xml:space="preserve">Beta </t>
  </si>
  <si>
    <t>EV/Sales</t>
  </si>
  <si>
    <t>Segment Value</t>
  </si>
  <si>
    <t>Weighted Average Beta</t>
  </si>
  <si>
    <t>U.S</t>
  </si>
  <si>
    <t xml:space="preserve">Retail (online) </t>
  </si>
  <si>
    <t xml:space="preserve">Prime </t>
  </si>
  <si>
    <t xml:space="preserve">Germany </t>
  </si>
  <si>
    <t xml:space="preserve">Software (Applications) </t>
  </si>
  <si>
    <t xml:space="preserve">United Kingdom </t>
  </si>
  <si>
    <t xml:space="preserve">Japan </t>
  </si>
  <si>
    <t xml:space="preserve">Retail (grocery) </t>
  </si>
  <si>
    <t xml:space="preserve">Whole Foods </t>
  </si>
  <si>
    <t xml:space="preserve">Rest of the World </t>
  </si>
  <si>
    <t xml:space="preserve">Total </t>
  </si>
  <si>
    <t>Equity Risk Premium</t>
  </si>
  <si>
    <t>Unlevered Beta</t>
  </si>
  <si>
    <t>Risk-Free</t>
  </si>
  <si>
    <t xml:space="preserve">COE </t>
  </si>
  <si>
    <t>Interest Coverage Ratio</t>
  </si>
  <si>
    <t xml:space="preserve">Rating with this ICR </t>
  </si>
  <si>
    <t>AAA</t>
  </si>
  <si>
    <t xml:space="preserve">Default Spread </t>
  </si>
  <si>
    <t xml:space="preserve">Current rf </t>
  </si>
  <si>
    <t>Pre tax Cost of Debt:</t>
  </si>
  <si>
    <t xml:space="preserve">After Tax Cost of Debt: </t>
  </si>
  <si>
    <t>Debt</t>
  </si>
  <si>
    <t>Notes</t>
  </si>
  <si>
    <t>Years</t>
  </si>
  <si>
    <t>Thereafter</t>
  </si>
  <si>
    <t>Total PV or Lease commitments</t>
  </si>
  <si>
    <t>Weighted Average Maturity</t>
  </si>
  <si>
    <t xml:space="preserve">Operating Lease Liabilities </t>
  </si>
  <si>
    <t>Total Amount of Debt</t>
  </si>
  <si>
    <t>Fair Value of Debt</t>
  </si>
  <si>
    <t>PV of Lease</t>
  </si>
  <si>
    <t xml:space="preserve">&lt;-- Basically treating the terminal year as a cupon bond </t>
  </si>
  <si>
    <t>CapEx Forecast</t>
  </si>
  <si>
    <t xml:space="preserve"> </t>
  </si>
  <si>
    <t>Cash Purchases of PPE</t>
  </si>
  <si>
    <t>Cash Sale of PPE</t>
  </si>
  <si>
    <t>Cash Acquisitions</t>
  </si>
  <si>
    <t>Cash Repayments of Capital leases</t>
  </si>
  <si>
    <t>Net Cash PPE</t>
  </si>
  <si>
    <t>Depreciation &amp; Amortization</t>
  </si>
  <si>
    <t xml:space="preserve">Total CapEx </t>
  </si>
  <si>
    <t>D&amp;A % CapEx</t>
  </si>
  <si>
    <t>Net CapEx</t>
  </si>
  <si>
    <t>Total</t>
  </si>
  <si>
    <t>Metrics</t>
  </si>
  <si>
    <t>Acquisitions</t>
  </si>
  <si>
    <t>Working Capital</t>
  </si>
  <si>
    <t>Net Income</t>
  </si>
  <si>
    <t xml:space="preserve">Change in Net Working Capital </t>
  </si>
  <si>
    <t>Stock Based Compensation</t>
  </si>
  <si>
    <t>Other Operating Expenses</t>
  </si>
  <si>
    <t>Total Non Cash Adjustments</t>
  </si>
  <si>
    <t>OCF without D&amp;A</t>
  </si>
  <si>
    <t>Working Capital % Revenues</t>
  </si>
  <si>
    <t>Amazon</t>
  </si>
  <si>
    <t xml:space="preserve">Standardized Income Statement </t>
  </si>
  <si>
    <t xml:space="preserve">USD in Millions </t>
  </si>
  <si>
    <t>Historical</t>
  </si>
  <si>
    <t>Forecast</t>
  </si>
  <si>
    <t xml:space="preserve">Fiscal Year </t>
  </si>
  <si>
    <t>Prior Stub</t>
  </si>
  <si>
    <t>Current Stub</t>
  </si>
  <si>
    <t>LTM</t>
  </si>
  <si>
    <t>Fiscal Year End Date</t>
  </si>
  <si>
    <t>Q2 2019</t>
  </si>
  <si>
    <t>Q2 2020</t>
  </si>
  <si>
    <t>Accounting Method</t>
  </si>
  <si>
    <t>GAAP</t>
  </si>
  <si>
    <t>Net Revenue</t>
  </si>
  <si>
    <t xml:space="preserve">- Cost of Goods Sold </t>
  </si>
  <si>
    <t xml:space="preserve">Gross Profit </t>
  </si>
  <si>
    <t xml:space="preserve">- SG&amp;A </t>
  </si>
  <si>
    <t>- Other Operating Expense</t>
  </si>
  <si>
    <t>EBITADA</t>
  </si>
  <si>
    <t>- Depreciation &amp; Amortization</t>
  </si>
  <si>
    <t>Operating Income (EBIT)</t>
  </si>
  <si>
    <t xml:space="preserve">- Interest Expense </t>
  </si>
  <si>
    <t>- Other Expenses (Income)</t>
  </si>
  <si>
    <t>Earnings Before Taxes (EBT)</t>
  </si>
  <si>
    <t xml:space="preserve">- Tax Expenses </t>
  </si>
  <si>
    <t>Net Income from Continuing Operations</t>
  </si>
  <si>
    <t xml:space="preserve">- Provision for Income Taxes </t>
  </si>
  <si>
    <t xml:space="preserve">- Equity Method Investmnet Activity,  Net of Taxes </t>
  </si>
  <si>
    <t xml:space="preserve">- Non-Controlling Interest </t>
  </si>
  <si>
    <t>Net Income Attributed to Equity Holders</t>
  </si>
  <si>
    <t xml:space="preserve">Marginal Tax Rate </t>
  </si>
  <si>
    <t>Provision Tax Rate</t>
  </si>
  <si>
    <t>Basic Weighted Average Shares Outstanding</t>
  </si>
  <si>
    <t xml:space="preserve">Basic EPS </t>
  </si>
  <si>
    <t xml:space="preserve">Diluted Weighted Average Shares Outstanding </t>
  </si>
  <si>
    <t xml:space="preserve">Dilulted EPS </t>
  </si>
  <si>
    <t>Forcast Drivers</t>
  </si>
  <si>
    <t xml:space="preserve">Revenues Growth YoY% </t>
  </si>
  <si>
    <t xml:space="preserve">COGS % </t>
  </si>
  <si>
    <t xml:space="preserve">SG&amp;A % </t>
  </si>
  <si>
    <t xml:space="preserve">Depreciation % </t>
  </si>
  <si>
    <t xml:space="preserve">Other Expense (Income) % </t>
  </si>
  <si>
    <t xml:space="preserve">Tax Expense % </t>
  </si>
  <si>
    <t>Standardized Blanace Sheet</t>
  </si>
  <si>
    <t>Assets</t>
  </si>
  <si>
    <t>+ Cash and Cash Equivalents</t>
  </si>
  <si>
    <t>+ Short-Term Investments</t>
  </si>
  <si>
    <t xml:space="preserve">+ Accounts &amp; Notes Receivables </t>
  </si>
  <si>
    <t>+ Inventories</t>
  </si>
  <si>
    <t xml:space="preserve">Total Current Assets </t>
  </si>
  <si>
    <t xml:space="preserve">- Gross PP&amp;E </t>
  </si>
  <si>
    <t xml:space="preserve">- Accumulated Depreciation </t>
  </si>
  <si>
    <t>Net PP&amp;E</t>
  </si>
  <si>
    <t xml:space="preserve">- Goodwill </t>
  </si>
  <si>
    <t xml:space="preserve">- Operating Lease </t>
  </si>
  <si>
    <t xml:space="preserve">- Other Long-Term Assets </t>
  </si>
  <si>
    <t xml:space="preserve">Total Non-Current Assets </t>
  </si>
  <si>
    <t>Total Assets</t>
  </si>
  <si>
    <t>Liabilities and Shareholders' Equity</t>
  </si>
  <si>
    <t xml:space="preserve">- Accounts Payable </t>
  </si>
  <si>
    <t xml:space="preserve">- Accrued Liabilities </t>
  </si>
  <si>
    <t>- Unearned Revenue</t>
  </si>
  <si>
    <t xml:space="preserve">Total Current Liablities </t>
  </si>
  <si>
    <t xml:space="preserve">- Long-Term Debt </t>
  </si>
  <si>
    <t xml:space="preserve">- Long Term Lease Liabilities </t>
  </si>
  <si>
    <t xml:space="preserve">- Other Long Term-Liaibilities </t>
  </si>
  <si>
    <t xml:space="preserve">Total Non-Current Liabilities </t>
  </si>
  <si>
    <t xml:space="preserve">Total Liabilities </t>
  </si>
  <si>
    <t xml:space="preserve">- Retained Earnings </t>
  </si>
  <si>
    <t xml:space="preserve">- Share Capital &amp; APIC </t>
  </si>
  <si>
    <t xml:space="preserve">- Other Equity </t>
  </si>
  <si>
    <t>Total Equity</t>
  </si>
  <si>
    <t xml:space="preserve">Total Liability &amp; Shareholders' Equity </t>
  </si>
  <si>
    <t>Check</t>
  </si>
  <si>
    <t>Standardized Cash Flow Statement</t>
  </si>
  <si>
    <t xml:space="preserve">Operating Cash Flow </t>
  </si>
  <si>
    <t xml:space="preserve">+ Net Income </t>
  </si>
  <si>
    <t>+ Deprecaition &amp; Amortization</t>
  </si>
  <si>
    <t xml:space="preserve">+ Other Non-Cash Adjustments </t>
  </si>
  <si>
    <t xml:space="preserve">+ Changes in Non-Cash Working Capital </t>
  </si>
  <si>
    <t xml:space="preserve">Cash from Operating Activities </t>
  </si>
  <si>
    <t xml:space="preserve">Investment Cash Flow </t>
  </si>
  <si>
    <t>+ Sale of Capital</t>
  </si>
  <si>
    <t xml:space="preserve">- Capital Expenditure </t>
  </si>
  <si>
    <t>- Purchasesof Marketable Securities</t>
  </si>
  <si>
    <t>+ Sale of Marketable Securities</t>
  </si>
  <si>
    <t>+ Net Marketable Securities</t>
  </si>
  <si>
    <t xml:space="preserve">- Acquisition, Net Cash Acquired, and other </t>
  </si>
  <si>
    <t xml:space="preserve">Cash from Investment Activities </t>
  </si>
  <si>
    <t>Financing Cash Flow</t>
  </si>
  <si>
    <t xml:space="preserve">+ Excess Tax Benefits from Stock-Based Compensation </t>
  </si>
  <si>
    <t>+ Increase in Long-Term Borrowings</t>
  </si>
  <si>
    <t>- Decrease in Long-Term Borrowings</t>
  </si>
  <si>
    <t xml:space="preserve">- Principal Repayments of Finance Leases </t>
  </si>
  <si>
    <t xml:space="preserve">- Principal Repayments of Financing Activities </t>
  </si>
  <si>
    <t xml:space="preserve">Cash from Financing Activities </t>
  </si>
  <si>
    <t xml:space="preserve">Foreign Currenecy Effect on Cash, Cash Equiv.. </t>
  </si>
  <si>
    <t xml:space="preserve">Cash &amp; Cash Equivalents - Beginning Balance </t>
  </si>
  <si>
    <t xml:space="preserve">Cash &amp; Cash Equivalents - Ending Balance </t>
  </si>
  <si>
    <t xml:space="preserve">Net Change in Cash </t>
  </si>
  <si>
    <t xml:space="preserve">Change in Working Capital </t>
  </si>
  <si>
    <t>+ Change in Inventory</t>
  </si>
  <si>
    <t>+ Change in Receivables</t>
  </si>
  <si>
    <t>Total Change in Current Assets</t>
  </si>
  <si>
    <t>- Change in Payables</t>
  </si>
  <si>
    <t>- Change in Accrued Expenses</t>
  </si>
  <si>
    <t>- Change in Unearned Revenue</t>
  </si>
  <si>
    <t>- Amortization of Previously Unearned Revenue</t>
  </si>
  <si>
    <t>Total Change in Current Liabilities</t>
  </si>
  <si>
    <t xml:space="preserve">Operating Margin </t>
  </si>
  <si>
    <t xml:space="preserve">Historical </t>
  </si>
  <si>
    <t xml:space="preserve">Forecast </t>
  </si>
  <si>
    <t>Consolidated Core Segments</t>
  </si>
  <si>
    <t xml:space="preserve">Q2 2019 </t>
  </si>
  <si>
    <t xml:space="preserve">LTM </t>
  </si>
  <si>
    <t>Hypothetical...</t>
  </si>
  <si>
    <t>Q1 &amp; Q2</t>
  </si>
  <si>
    <t>Q3 2019</t>
  </si>
  <si>
    <t>Q4 2019</t>
  </si>
  <si>
    <t>2020 Total</t>
  </si>
  <si>
    <t xml:space="preserve">  Revenues</t>
  </si>
  <si>
    <t xml:space="preserve">  COGS </t>
  </si>
  <si>
    <t xml:space="preserve">  Gross Profit </t>
  </si>
  <si>
    <t xml:space="preserve">    Gross Profit Margin </t>
  </si>
  <si>
    <t xml:space="preserve">  Operating Expenses </t>
  </si>
  <si>
    <t xml:space="preserve">  Operating Income </t>
  </si>
  <si>
    <t>&lt;- Lower revenue Target</t>
  </si>
  <si>
    <t>&lt;- Base Case</t>
  </si>
  <si>
    <t>&lt;- Higher revenue target</t>
  </si>
  <si>
    <t xml:space="preserve">Retail </t>
  </si>
  <si>
    <t xml:space="preserve">AWS </t>
  </si>
  <si>
    <t xml:space="preserve">  Expenses</t>
  </si>
  <si>
    <t xml:space="preserve">Total Net Revenue </t>
  </si>
  <si>
    <t xml:space="preserve">Total Operating Income </t>
  </si>
  <si>
    <t>Operating %</t>
  </si>
  <si>
    <t xml:space="preserve">Product Revenue Segment </t>
  </si>
  <si>
    <t>Online Stores</t>
  </si>
  <si>
    <t xml:space="preserve">Physical Stores </t>
  </si>
  <si>
    <t xml:space="preserve">Third Party Seller Services </t>
  </si>
  <si>
    <t xml:space="preserve">Subscription Services </t>
  </si>
  <si>
    <t xml:space="preserve">Other </t>
  </si>
  <si>
    <t>Retail has to change</t>
  </si>
  <si>
    <t xml:space="preserve">Commom Size </t>
  </si>
  <si>
    <t xml:space="preserve">Trends: Q1 priorities on essential products </t>
  </si>
  <si>
    <t>Essential products assumed zero costs</t>
  </si>
  <si>
    <t>Amazon normalized its product mix around May, which lead to profits</t>
  </si>
  <si>
    <t>1-2 day shipping recovered in some regions</t>
  </si>
  <si>
    <t>Grocery sales trippled QoQ</t>
  </si>
  <si>
    <t>How are the high growth markets going? (India, Brazil, Mexico)</t>
  </si>
  <si>
    <t>Growth Rate</t>
  </si>
  <si>
    <t>Increased capacity in Q3, Q4 (revenue to be 25% higher QoQ)</t>
  </si>
  <si>
    <t>Marketing expenses went down to compensate for other costs</t>
  </si>
  <si>
    <t>G&amp;A costs lower because of less travel/interactions</t>
  </si>
  <si>
    <t>Accelerated capacity that was supposed to come in 2021 (available now)</t>
  </si>
  <si>
    <t>Plan on expanding digital benefits of prime to new regions</t>
  </si>
  <si>
    <t>What investments were shelved? How are international segments going to increase profitability?</t>
  </si>
  <si>
    <t xml:space="preserve">Geographic Revenues </t>
  </si>
  <si>
    <t xml:space="preserve">Common Size </t>
  </si>
  <si>
    <t>Surge in international demand</t>
  </si>
  <si>
    <t xml:space="preserve">Operating Segment </t>
  </si>
  <si>
    <t>North America</t>
  </si>
  <si>
    <t xml:space="preserve">Prime users are buying more </t>
  </si>
  <si>
    <t xml:space="preserve">Net Sales </t>
  </si>
  <si>
    <t>Prime retention has increased and userbase has grown</t>
  </si>
  <si>
    <t xml:space="preserve">Operating Expenses </t>
  </si>
  <si>
    <t xml:space="preserve">Operating Income </t>
  </si>
  <si>
    <t>Slowdown in AWS?</t>
  </si>
  <si>
    <t>AWS backlog grew 65% YoY</t>
  </si>
  <si>
    <t xml:space="preserve">Growth </t>
  </si>
  <si>
    <t>21% QoQ</t>
  </si>
  <si>
    <t>Amazon says this is healthy?</t>
  </si>
  <si>
    <t>Average contract length is 3 years</t>
  </si>
  <si>
    <t>Contract volume and negotiations are strong and maintained strength</t>
  </si>
  <si>
    <t>Zoox? no comment</t>
  </si>
  <si>
    <t xml:space="preserve">International </t>
  </si>
  <si>
    <t>Operating Expenses</t>
  </si>
  <si>
    <t xml:space="preserve">Cost of Goods Sold </t>
  </si>
  <si>
    <t>Cost of sales</t>
  </si>
  <si>
    <t>Primarily consists of the purchase price of consumer</t>
  </si>
  <si>
    <t>Cost of Goods Sold Breakdown</t>
  </si>
  <si>
    <t>products, inbound and outbound shipping costs, digital</t>
  </si>
  <si>
    <t>Shipping</t>
  </si>
  <si>
    <t>media costs</t>
  </si>
  <si>
    <t>Video &amp; music</t>
  </si>
  <si>
    <t>Purchases &amp; Other</t>
  </si>
  <si>
    <t>Fulfillment</t>
  </si>
  <si>
    <t>Primarily consists of costs incurred in operating and staffing</t>
  </si>
  <si>
    <t>the fulfillment centers, physical stores and customer service</t>
  </si>
  <si>
    <t xml:space="preserve">SG&amp;A: </t>
  </si>
  <si>
    <t>AWS payment processing and transaction costs are included</t>
  </si>
  <si>
    <t xml:space="preserve">Fulfillment </t>
  </si>
  <si>
    <t>in fulfillment.</t>
  </si>
  <si>
    <t xml:space="preserve">Technology and Content </t>
  </si>
  <si>
    <t>Total Marketing Expense:</t>
  </si>
  <si>
    <t>AWS costs are primarily classified under "technology &amp; content"</t>
  </si>
  <si>
    <t xml:space="preserve">Advertisement </t>
  </si>
  <si>
    <t>Marketing Wages/Other</t>
  </si>
  <si>
    <t xml:space="preserve">General and Administrative </t>
  </si>
  <si>
    <t>Other Operating Expense</t>
  </si>
  <si>
    <t xml:space="preserve">Total SG&amp;A </t>
  </si>
  <si>
    <t xml:space="preserve">Total Operating Expense </t>
  </si>
  <si>
    <t>Purchases</t>
  </si>
  <si>
    <t xml:space="preserve">Growth Rate </t>
  </si>
  <si>
    <t xml:space="preserve">Excluding AWS &amp; Whole Foods </t>
  </si>
  <si>
    <t xml:space="preserve">COGS </t>
  </si>
  <si>
    <t xml:space="preserve">  Shipping </t>
  </si>
  <si>
    <t xml:space="preserve">  Video &amp; Music </t>
  </si>
  <si>
    <t xml:space="preserve">  Purchases</t>
  </si>
  <si>
    <t xml:space="preserve">  Whole Foods </t>
  </si>
  <si>
    <t>Total COGS</t>
  </si>
  <si>
    <t xml:space="preserve">SG&amp;A </t>
  </si>
  <si>
    <t>Total SG&amp;A</t>
  </si>
  <si>
    <t>Common Size of Revenues:</t>
  </si>
  <si>
    <t xml:space="preserve">Retail &amp; Media </t>
  </si>
  <si>
    <t>Whole Foods</t>
  </si>
  <si>
    <t>Prime Expenses:</t>
  </si>
  <si>
    <t>Total Prime Expenses</t>
  </si>
  <si>
    <t>Retail Expenses:</t>
  </si>
  <si>
    <t>Total Retail Expenses</t>
  </si>
  <si>
    <t>Whole Foods:</t>
  </si>
  <si>
    <t>Total Whole Foods Expenses</t>
  </si>
  <si>
    <t>Actual Whole Foods Expense</t>
  </si>
  <si>
    <t>Delta</t>
  </si>
  <si>
    <t>Total Retail &amp; Media Expense</t>
  </si>
  <si>
    <t>Prime Revenues Breakdown</t>
  </si>
  <si>
    <t>Prime Members (millions)</t>
  </si>
  <si>
    <t>Price of Prime (dollars)</t>
  </si>
  <si>
    <t>Revenue From Prime Subscription</t>
  </si>
  <si>
    <t xml:space="preserve">Prime Members Spending Surplus </t>
  </si>
  <si>
    <t xml:space="preserve">Spending Growth </t>
  </si>
  <si>
    <t xml:space="preserve">Added on Revenue from Prime </t>
  </si>
  <si>
    <t xml:space="preserve">Total Revenues from Prime </t>
  </si>
  <si>
    <t>Prime Expenses Breakdown</t>
  </si>
  <si>
    <t xml:space="preserve">Shipping Expense </t>
  </si>
  <si>
    <t xml:space="preserve">Video &amp; Media </t>
  </si>
  <si>
    <t>Purchase Price of Consumer Product</t>
  </si>
  <si>
    <t xml:space="preserve">COGS of Prime </t>
  </si>
  <si>
    <t>Total Expenses</t>
  </si>
  <si>
    <t>%</t>
  </si>
  <si>
    <t xml:space="preserve">Prime Member Metrics </t>
  </si>
  <si>
    <t xml:space="preserve">Prime Member Growth </t>
  </si>
  <si>
    <t xml:space="preserve">New member Growth </t>
  </si>
  <si>
    <t xml:space="preserve">Cost to Aquire a New member </t>
  </si>
  <si>
    <t xml:space="preserve">Growth of Cost of Aquistion </t>
  </si>
  <si>
    <t>Retention of Prime Members</t>
  </si>
  <si>
    <t>Video and Media</t>
  </si>
  <si>
    <t>Growth Rates</t>
  </si>
  <si>
    <t>Assumptions</t>
  </si>
  <si>
    <t xml:space="preserve">Since we know the price of prime each year and how much they </t>
  </si>
  <si>
    <t xml:space="preserve">received in subscriptions, we can get an idea how much prime </t>
  </si>
  <si>
    <t xml:space="preserve">members Amazon currenty has. </t>
  </si>
  <si>
    <t xml:space="preserve">Check: In press release of Q1 2018, they annouced that they had surpassed 100 million </t>
  </si>
  <si>
    <t xml:space="preserve">users, and in Q4 2019 press release, they had announced they had more than 150 </t>
  </si>
  <si>
    <t xml:space="preserve">Prime member renewal rate is assumed to be around 96% and we steadily decreased it at 3.5% YOY </t>
  </si>
  <si>
    <t xml:space="preserve">Prime member spending surplus is the additional spending that prime members spend </t>
  </si>
  <si>
    <t xml:space="preserve">over non-prime members </t>
  </si>
  <si>
    <t>Check: Taken from Statstica and are then kept constant for the forecast period</t>
  </si>
  <si>
    <t>How covid can slow down deliveries</t>
  </si>
  <si>
    <t>a) delivery times slowed down (no same day, 1 day deliveries)</t>
  </si>
  <si>
    <t>b) 3rd party sellers not getting their inventories fulfilled</t>
  </si>
  <si>
    <t>c) Backlog in china, less supply, Amazon punishes sellers for not having inventory</t>
  </si>
  <si>
    <t>d) EU head of operations stepped down</t>
  </si>
  <si>
    <t>e) $500m in increased wages for 2020</t>
  </si>
  <si>
    <t>Tech &amp; Content</t>
  </si>
  <si>
    <t>Marketing/Wages</t>
  </si>
  <si>
    <t>G&amp;A</t>
  </si>
  <si>
    <t xml:space="preserve">Other expenses </t>
  </si>
  <si>
    <t>Operating Profit</t>
  </si>
  <si>
    <t>Commonsized</t>
  </si>
  <si>
    <t xml:space="preserve">Revenues % Total </t>
  </si>
  <si>
    <t xml:space="preserve">Other Expenses </t>
  </si>
  <si>
    <t>Global Cloud Computing Industry</t>
  </si>
  <si>
    <t>Global Market Share</t>
  </si>
  <si>
    <t>Global Revenues</t>
  </si>
  <si>
    <t>https://www.marketsandmarkets.com/Market-Reports/cloud-computing-market-234.html</t>
  </si>
  <si>
    <t>AWS Revenues</t>
  </si>
  <si>
    <t xml:space="preserve">Computing Service: </t>
  </si>
  <si>
    <t>Where you have a server to run your code</t>
  </si>
  <si>
    <t>AWS Market Share</t>
  </si>
  <si>
    <t xml:space="preserve">Amazon EC2: </t>
  </si>
  <si>
    <t>Where you can create your own virtual instance of a computer in the cloud (EaaS)</t>
  </si>
  <si>
    <t xml:space="preserve">Amazon S3: </t>
  </si>
  <si>
    <t>A service that creates storage space in the cloud and is used to store all types of files (IaaS)</t>
  </si>
  <si>
    <t xml:space="preserve">EC2 Auto Scaling: </t>
  </si>
  <si>
    <t xml:space="preserve">depending on the traffic you can spin up more EC2 service to handle the more traffic </t>
  </si>
  <si>
    <t>Amazon Lightsail:</t>
  </si>
  <si>
    <t xml:space="preserve"> more customer friendly version with EC2 </t>
  </si>
  <si>
    <t xml:space="preserve">AWS Elastic Beanstalk: </t>
  </si>
  <si>
    <t xml:space="preserve">It is essentially a meta service where it configures </t>
  </si>
  <si>
    <t>https://www.youtube.com/watch?v=1pBuwKwaHp0</t>
  </si>
  <si>
    <t>IaaS</t>
  </si>
  <si>
    <t>Infrastructure as a service</t>
  </si>
  <si>
    <t>EaaS</t>
  </si>
  <si>
    <t>Electricity as a service</t>
  </si>
  <si>
    <t>R&amp;D payroll</t>
  </si>
  <si>
    <t>SaaS</t>
  </si>
  <si>
    <t>Software as a service</t>
  </si>
  <si>
    <t>Development</t>
  </si>
  <si>
    <t>PaaS</t>
  </si>
  <si>
    <t>Platform as a service</t>
  </si>
  <si>
    <t>Elastic Beanstalk, Heroku, Google App Engine</t>
  </si>
  <si>
    <t>Maintenance in stores</t>
  </si>
  <si>
    <t>BaaS</t>
  </si>
  <si>
    <t>Backend as a service</t>
  </si>
  <si>
    <t>Infrastructure costs</t>
  </si>
  <si>
    <t>Servers</t>
  </si>
  <si>
    <t>https://www.youtube.com/watch?v=H3_ZqnqLyVo</t>
  </si>
  <si>
    <t>Super truck</t>
  </si>
  <si>
    <t>Networking equipment</t>
  </si>
  <si>
    <t xml:space="preserve">Data center </t>
  </si>
  <si>
    <t>Depreciation</t>
  </si>
  <si>
    <t>Rent</t>
  </si>
  <si>
    <t>Utilities</t>
  </si>
  <si>
    <t>Other AWS expenses</t>
  </si>
  <si>
    <t>CapEx</t>
  </si>
  <si>
    <t>Buildings &amp; Land</t>
  </si>
  <si>
    <t>Networking Equipment</t>
  </si>
  <si>
    <t>Fufillment Equipment</t>
  </si>
  <si>
    <t xml:space="preserve">Retail and media is a segment of Amazon's business that includes Amazon Basics, Wholes Foods, and other Amazon physical retail stores. </t>
  </si>
  <si>
    <t xml:space="preserve">Revenues </t>
  </si>
  <si>
    <t xml:space="preserve">We assume that the Online stores section is being canabalised </t>
  </si>
  <si>
    <t xml:space="preserve">   Retail</t>
  </si>
  <si>
    <t>by Prime, and as Prime grows in users, the amount of sales</t>
  </si>
  <si>
    <t xml:space="preserve">   Whole Foods</t>
  </si>
  <si>
    <t>for Retail's Online Store revenues will decline.</t>
  </si>
  <si>
    <t>Total Revenues</t>
  </si>
  <si>
    <t>Expenses</t>
  </si>
  <si>
    <t>Retail Expenses</t>
  </si>
  <si>
    <t>Retail Operating Income</t>
  </si>
  <si>
    <t>Whole Foods COGS</t>
  </si>
  <si>
    <t>Whole Foods Expenses</t>
  </si>
  <si>
    <t>Whole Foods Operating Income</t>
  </si>
  <si>
    <t xml:space="preserve">Total COGS </t>
  </si>
  <si>
    <t xml:space="preserve">Total Operating Expenses </t>
  </si>
  <si>
    <t>Retail Revenues</t>
  </si>
  <si>
    <t>Third Party</t>
  </si>
  <si>
    <t>http://assets.wholefoodsmarket.com/www/company-info/investor-relations/annual-reports/2015-WFM-Annual-Report.pdf</t>
  </si>
  <si>
    <t>https://sec.report/Document/0000865436-17-000238/</t>
  </si>
  <si>
    <t>Balance Sheet</t>
  </si>
  <si>
    <t>Cash</t>
  </si>
  <si>
    <t>Investments</t>
  </si>
  <si>
    <t>Accounts Recievables</t>
  </si>
  <si>
    <t>Inventories</t>
  </si>
  <si>
    <t>Other</t>
  </si>
  <si>
    <t>ST Assets</t>
  </si>
  <si>
    <t>PPE Net</t>
  </si>
  <si>
    <t>Goodwill</t>
  </si>
  <si>
    <t>Intangible Assets</t>
  </si>
  <si>
    <t>LT Assets</t>
  </si>
  <si>
    <t xml:space="preserve">Current Liabilities </t>
  </si>
  <si>
    <t>Other Liabilities</t>
  </si>
  <si>
    <t>Total Liabilities</t>
  </si>
  <si>
    <t>Income Statement</t>
  </si>
  <si>
    <t>Cost of Goods Sold</t>
  </si>
  <si>
    <t xml:space="preserve">Advertisment Expense </t>
  </si>
  <si>
    <t>Interest Expense (Gain)</t>
  </si>
  <si>
    <t>Income Tax</t>
  </si>
  <si>
    <t>Cash Flows</t>
  </si>
  <si>
    <t>Cash from Operations</t>
  </si>
  <si>
    <t>Cash from Investing</t>
  </si>
  <si>
    <t>Cash from Financing</t>
  </si>
  <si>
    <t xml:space="preserve">Net Cash </t>
  </si>
  <si>
    <t xml:space="preserve">Amazon Book Store </t>
  </si>
  <si>
    <t>D&amp;A</t>
  </si>
  <si>
    <t xml:space="preserve">Coming Soon </t>
  </si>
  <si>
    <t>Amazon 4-Star</t>
  </si>
  <si>
    <t>Stores Added</t>
  </si>
  <si>
    <t xml:space="preserve">Amazon GO </t>
  </si>
  <si>
    <t>Other Information</t>
  </si>
  <si>
    <t xml:space="preserve">Amazon Pop Up </t>
  </si>
  <si>
    <t>Number of Stores</t>
  </si>
  <si>
    <t xml:space="preserve">  USA</t>
  </si>
  <si>
    <t xml:space="preserve">COming Soon </t>
  </si>
  <si>
    <t xml:space="preserve">  Canada</t>
  </si>
  <si>
    <t xml:space="preserve">  UK</t>
  </si>
  <si>
    <t>https://www.wholefoodsmarket.com/company-info/stores-in-development</t>
  </si>
  <si>
    <t>Revenue Per Store</t>
  </si>
  <si>
    <t>Revenue Growth</t>
  </si>
  <si>
    <t>COGS</t>
  </si>
  <si>
    <t>Interest</t>
  </si>
  <si>
    <t>Taxes</t>
  </si>
  <si>
    <t xml:space="preserve">Net Income </t>
  </si>
  <si>
    <t xml:space="preserve">How Selling on Amazon Works </t>
  </si>
  <si>
    <t xml:space="preserve">Pricing for Third Party Sellers </t>
  </si>
  <si>
    <t xml:space="preserve">1. Indvidual </t>
  </si>
  <si>
    <t xml:space="preserve">2. Professional </t>
  </si>
  <si>
    <t xml:space="preserve">Plan for selling fewer than 40 units per month </t>
  </si>
  <si>
    <t xml:space="preserve">Plan on selling more than 40 units per month </t>
  </si>
  <si>
    <t xml:space="preserve">No monthly subscription </t>
  </si>
  <si>
    <t xml:space="preserve">39.99 monthly sunbscription </t>
  </si>
  <si>
    <t xml:space="preserve">0.99c per item + Referral fees and variable closing fees* </t>
  </si>
  <si>
    <t xml:space="preserve">Referral fees and variable closing fee (no per item fee) </t>
  </si>
  <si>
    <t xml:space="preserve">* Referral Fee is a % of your total item price (+ Gift wraping) that amazon collects </t>
  </si>
  <si>
    <t xml:space="preserve">* Variable Closing Fee are fixed for media products and vary for non-Media products. These fees pertain to the shipping details of your product sold </t>
  </si>
  <si>
    <t xml:space="preserve">Example of a seller selling a book </t>
  </si>
  <si>
    <t xml:space="preserve">Different Amazon Shipping and Fullfilment Options </t>
  </si>
  <si>
    <t xml:space="preserve">FBA: Fulfillment by Amazon </t>
  </si>
  <si>
    <t xml:space="preserve">This is where Amazon stores, packs and ships, and handles customer service for the products you sell on Amazon. This allows you to sell products with Prime </t>
  </si>
  <si>
    <t xml:space="preserve">Fees with FBA: </t>
  </si>
  <si>
    <t xml:space="preserve">The variable fees associated with being a FBA seller is </t>
  </si>
  <si>
    <t>1. Item weight</t>
  </si>
  <si>
    <t xml:space="preserve">2. Handling fees </t>
  </si>
  <si>
    <t xml:space="preserve">3. Pick and Pack </t>
  </si>
  <si>
    <t>4. Storage Costs/ Sq ft.</t>
  </si>
  <si>
    <t xml:space="preserve">FBM: Fulfillment by Merchant </t>
  </si>
  <si>
    <t xml:space="preserve">Where the seller is in charge the logistics of their product plus added rules with selling on prime ( answering customer service requests within 24 hours, </t>
  </si>
  <si>
    <t xml:space="preserve">provide tracking info, and ship within the stated time frame). If this is picked, you cannot be apart of the prime programe unless you are associated with SFP* </t>
  </si>
  <si>
    <t xml:space="preserve">SFP: Seller fulfilled Prime </t>
  </si>
  <si>
    <t xml:space="preserve">This is a hybrid of FBA and FBM where you as a seller can list your product for prime status but handle all of the logistics by yourself. </t>
  </si>
  <si>
    <t xml:space="preserve">You have to qulify for this program </t>
  </si>
  <si>
    <t xml:space="preserve">1. trial period is 300 orders </t>
  </si>
  <si>
    <t xml:space="preserve">2. During the trial period, you'll have to satisfy a cancellation rate of less than 1%, an on-time shipement rating of at least 99%, and use buy shipping services for a </t>
  </si>
  <si>
    <t xml:space="preserve">minimum of 95% of the orders </t>
  </si>
  <si>
    <t>Acquisitions, Goodwill and Intangible Assets</t>
  </si>
  <si>
    <t>Year</t>
  </si>
  <si>
    <t>Acquisition</t>
  </si>
  <si>
    <t>Amount</t>
  </si>
  <si>
    <t xml:space="preserve">Souq Group Ltd. </t>
  </si>
  <si>
    <t>583 million</t>
  </si>
  <si>
    <t>This was an e-commerce group</t>
  </si>
  <si>
    <t>13.2 billion</t>
  </si>
  <si>
    <t>Grocery retailer with physical stores</t>
  </si>
  <si>
    <t>Ring</t>
  </si>
  <si>
    <t>839 million</t>
  </si>
  <si>
    <t>Technology company that makes camera doorbells</t>
  </si>
  <si>
    <t>PillPack</t>
  </si>
  <si>
    <t>753 million</t>
  </si>
  <si>
    <t>PillPack was a pharmaceutical disrtributor</t>
  </si>
  <si>
    <t>576 million</t>
  </si>
  <si>
    <t>Future Amortization Expense</t>
  </si>
  <si>
    <t>Marketing-related</t>
  </si>
  <si>
    <t>Contract-based</t>
  </si>
  <si>
    <t>Technology-based</t>
  </si>
  <si>
    <t>Customer-related</t>
  </si>
  <si>
    <t>After</t>
  </si>
  <si>
    <t>International</t>
  </si>
  <si>
    <t>Rate</t>
  </si>
  <si>
    <t>Maturity</t>
  </si>
  <si>
    <t>Months Remain</t>
  </si>
  <si>
    <t>% Total</t>
  </si>
  <si>
    <t>Credit Facility</t>
  </si>
  <si>
    <t>Other LT debt</t>
  </si>
  <si>
    <t>Total Debt</t>
  </si>
  <si>
    <t>WA Maturity</t>
  </si>
  <si>
    <t>WA Rate</t>
  </si>
  <si>
    <t>Interest Payment</t>
  </si>
  <si>
    <t>Commitments &amp; Contingencies</t>
  </si>
  <si>
    <t>Debt principal &amp; Interest</t>
  </si>
  <si>
    <t>Operating lease liabilities</t>
  </si>
  <si>
    <t>Finance lease liabilities</t>
  </si>
  <si>
    <t>Financing obligations</t>
  </si>
  <si>
    <t>Unconditional purchases</t>
  </si>
  <si>
    <t>Other commitments</t>
  </si>
  <si>
    <t>Third party is going to really grow</t>
  </si>
  <si>
    <t>Net Income %</t>
  </si>
  <si>
    <t xml:space="preserve">    Operating Margin of AWS</t>
  </si>
  <si>
    <t xml:space="preserve">    Operating Margin of Prime</t>
  </si>
  <si>
    <t xml:space="preserve">    Operating Margin of Retail</t>
  </si>
  <si>
    <t>Bars</t>
  </si>
  <si>
    <t>Line</t>
  </si>
  <si>
    <t>x</t>
  </si>
  <si>
    <t>Cost of Equity = Risk free rate + Beta x Market Risk Premium</t>
  </si>
  <si>
    <t>(-) Capital Expenditures</t>
  </si>
  <si>
    <t>(-)  Tax Expense</t>
  </si>
  <si>
    <t>(+) Decrease in Net Working Capital</t>
  </si>
  <si>
    <t>(+) Other Non-Cash Adjustments</t>
  </si>
  <si>
    <t>Perpetual Growth v WACC</t>
  </si>
  <si>
    <t>Sensitivity Analysis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</si>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</sst>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_(#,##0.0_)_%;\(#,##0.0\)_%;_(&quot;–&quot;_)_%;_(@_)_%"/>
    <numFmt numFmtId="168" formatCode="0.0%"/>
    <numFmt numFmtId="169" formatCode="#,##0.0"/>
    <numFmt numFmtId="170" formatCode="#.#\x"/>
    <numFmt numFmtId="171" formatCode="_(#,##0_)_%;\(#,##0\)_%;_(&quot;–&quot;_)_%;_(@_)_%"/>
    <numFmt numFmtId="172" formatCode="_(* #,##0.0_);_(* \(#,##0.0\);_(* &quot;-&quot;??_);_(@_)"/>
    <numFmt numFmtId="173" formatCode="_(* #,##0_);_(* \(#,##0\);_(* &quot;-&quot;??_);_(@_)"/>
    <numFmt numFmtId="174" formatCode="_-* #,##0_-;\-* #,##0_-;_-* &quot;-&quot;??_-;_-@_-"/>
    <numFmt numFmtId="175" formatCode="0.0"/>
    <numFmt numFmtId="176" formatCode="_(* #,##0_);_(* \(#,##0\);_(* &quot;-&quot;?_);_(@_)"/>
    <numFmt numFmtId="177" formatCode="_-* #,##0.0_-;\-* #,##0.0_-;_-* &quot;-&quot;?_-;_-@_-"/>
    <numFmt numFmtId="178" formatCode="_-* #,##0_-;\-* #,##0_-;_-* &quot;-&quot;?_-;_-@_-"/>
    <numFmt numFmtId="179" formatCode="_(#,##0.0%_);\(#,##0.0%\);_(&quot;–&quot;_)_%;_(@_)_%"/>
    <numFmt numFmtId="180" formatCode="_(&quot;$&quot;#,##0_)_%;\(&quot;$&quot;#,##0\)_%;_(&quot;–&quot;_)_%;_(@_)_%"/>
    <numFmt numFmtId="183" formatCode="0.0\x"/>
    <numFmt numFmtId="185" formatCode="&quot;$&quot;#,##0.0;[Red]\-&quot;$&quot;#,##0.0"/>
    <numFmt numFmtId="186" formatCode="0.000\x"/>
    <numFmt numFmtId="190" formatCode="0&quot;E&quot;"/>
    <numFmt numFmtId="191" formatCode="&quot;$&quot;#,##0.00"/>
    <numFmt numFmtId="192" formatCode="0&quot;A&quot;"/>
    <numFmt numFmtId="197" formatCode="yyyy"/>
    <numFmt numFmtId="198" formatCode="yyyy&quot;E&quot;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i/>
      <sz val="10"/>
      <color rgb="FFFFFFFF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singleAccounting"/>
      <sz val="14"/>
      <color rgb="FFFFFFFF"/>
      <name val="Calibri"/>
      <family val="2"/>
      <scheme val="minor"/>
    </font>
    <font>
      <u val="singleAccounting"/>
      <sz val="11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u val="singleAccounting"/>
      <sz val="12"/>
      <name val="Calibri"/>
      <family val="2"/>
      <scheme val="minor"/>
    </font>
    <font>
      <u val="singleAccounting"/>
      <sz val="11"/>
      <name val="Calibri"/>
      <family val="2"/>
      <scheme val="minor"/>
    </font>
    <font>
      <u val="singleAccounting"/>
      <sz val="14"/>
      <name val="Calibri"/>
      <family val="2"/>
      <scheme val="minor"/>
    </font>
    <font>
      <u val="singleAccounting"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name val="Arial"/>
      <family val="2"/>
    </font>
    <font>
      <sz val="11"/>
      <color theme="1" tint="0.3499862666707357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808080"/>
      <name val="Calibri"/>
      <family val="2"/>
      <scheme val="minor"/>
    </font>
    <font>
      <u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0"/>
      <color rgb="FF00800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sz val="9"/>
      <color rgb="FF000000"/>
      <name val="Calibri"/>
      <family val="2"/>
      <scheme val="minor"/>
    </font>
    <font>
      <i/>
      <sz val="10"/>
      <color rgb="FF0000FF"/>
      <name val="Calibri"/>
      <family val="2"/>
      <scheme val="minor"/>
    </font>
    <font>
      <i/>
      <sz val="10"/>
      <color rgb="FF00800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1C4487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2F5F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3254D"/>
        <bgColor rgb="FF000000"/>
      </patternFill>
    </fill>
  </fills>
  <borders count="8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hair">
        <color indexed="64"/>
      </right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hair">
        <color indexed="64"/>
      </right>
      <top style="thin">
        <color rgb="FF000000"/>
      </top>
      <bottom/>
      <diagonal/>
    </border>
    <border>
      <left style="hair">
        <color auto="1"/>
      </left>
      <right style="hair">
        <color auto="1"/>
      </right>
      <top style="thin">
        <color rgb="FF000000"/>
      </top>
      <bottom/>
      <diagonal/>
    </border>
    <border>
      <left style="thin">
        <color rgb="FF000000"/>
      </left>
      <right style="hair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hair">
        <color indexed="64"/>
      </right>
      <top style="thin">
        <color rgb="FF000000"/>
      </top>
      <bottom/>
      <diagonal/>
    </border>
    <border>
      <left style="hair">
        <color auto="1"/>
      </left>
      <right style="hair">
        <color auto="1"/>
      </right>
      <top/>
      <bottom style="thin">
        <color rgb="FF000000"/>
      </bottom>
      <diagonal/>
    </border>
    <border>
      <left style="hair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indexed="64"/>
      </right>
      <top/>
      <bottom style="thin">
        <color rgb="FF000000"/>
      </bottom>
      <diagonal/>
    </border>
    <border>
      <left style="hair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hair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Fill="0" applyBorder="0" applyProtection="0">
      <protection locked="0"/>
    </xf>
    <xf numFmtId="0" fontId="17" fillId="0" borderId="0" applyFill="0" applyBorder="0" applyProtection="0">
      <protection locked="0"/>
    </xf>
    <xf numFmtId="0" fontId="32" fillId="0" borderId="0" applyNumberFormat="0" applyFill="0" applyBorder="0" applyAlignment="0" applyProtection="0"/>
    <xf numFmtId="165" fontId="1" fillId="0" borderId="0" applyFont="0" applyFill="0" applyBorder="0" applyAlignment="0" applyProtection="0"/>
  </cellStyleXfs>
  <cellXfs count="1229">
    <xf numFmtId="0" fontId="0" fillId="0" borderId="0" xfId="0"/>
    <xf numFmtId="0" fontId="0" fillId="3" borderId="0" xfId="0" applyFill="1"/>
    <xf numFmtId="0" fontId="5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6" fillId="4" borderId="4" xfId="0" applyFont="1" applyFill="1" applyBorder="1"/>
    <xf numFmtId="0" fontId="6" fillId="4" borderId="0" xfId="0" applyFont="1" applyFill="1"/>
    <xf numFmtId="0" fontId="6" fillId="4" borderId="5" xfId="0" applyFont="1" applyFill="1" applyBorder="1"/>
    <xf numFmtId="0" fontId="6" fillId="4" borderId="6" xfId="0" applyFont="1" applyFill="1" applyBorder="1"/>
    <xf numFmtId="0" fontId="7" fillId="4" borderId="7" xfId="0" applyFont="1" applyFill="1" applyBorder="1" applyAlignment="1">
      <alignment horizontal="left" indent="1"/>
    </xf>
    <xf numFmtId="0" fontId="6" fillId="4" borderId="7" xfId="0" applyFont="1" applyFill="1" applyBorder="1"/>
    <xf numFmtId="0" fontId="6" fillId="4" borderId="8" xfId="0" applyFont="1" applyFill="1" applyBorder="1"/>
    <xf numFmtId="0" fontId="6" fillId="4" borderId="1" xfId="0" applyFont="1" applyFill="1" applyBorder="1"/>
    <xf numFmtId="0" fontId="6" fillId="4" borderId="2" xfId="0" applyFont="1" applyFill="1" applyBorder="1"/>
    <xf numFmtId="0" fontId="0" fillId="5" borderId="4" xfId="0" applyFill="1" applyBorder="1"/>
    <xf numFmtId="0" fontId="0" fillId="5" borderId="0" xfId="0" applyFill="1"/>
    <xf numFmtId="0" fontId="8" fillId="5" borderId="0" xfId="0" applyFont="1" applyFill="1" applyAlignment="1">
      <alignment horizontal="centerContinuous" vertical="center"/>
    </xf>
    <xf numFmtId="0" fontId="9" fillId="5" borderId="0" xfId="0" applyFont="1" applyFill="1" applyAlignment="1">
      <alignment horizontal="centerContinuous" vertical="center"/>
    </xf>
    <xf numFmtId="0" fontId="8" fillId="5" borderId="5" xfId="0" applyFont="1" applyFill="1" applyBorder="1" applyAlignment="1">
      <alignment horizontal="centerContinuous" vertical="center"/>
    </xf>
    <xf numFmtId="0" fontId="3" fillId="5" borderId="0" xfId="0" applyFont="1" applyFill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5" xfId="0" applyFill="1" applyBorder="1"/>
    <xf numFmtId="0" fontId="0" fillId="5" borderId="6" xfId="0" applyFill="1" applyBorder="1"/>
    <xf numFmtId="0" fontId="12" fillId="5" borderId="7" xfId="0" applyFont="1" applyFill="1" applyBorder="1"/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3" borderId="4" xfId="0" applyFill="1" applyBorder="1"/>
    <xf numFmtId="0" fontId="3" fillId="3" borderId="0" xfId="0" applyFont="1" applyFill="1"/>
    <xf numFmtId="168" fontId="0" fillId="3" borderId="0" xfId="2" applyNumberFormat="1" applyFont="1" applyFill="1" applyBorder="1" applyAlignment="1">
      <alignment horizontal="center"/>
    </xf>
    <xf numFmtId="168" fontId="0" fillId="3" borderId="5" xfId="2" applyNumberFormat="1" applyFont="1" applyFill="1" applyBorder="1" applyAlignment="1">
      <alignment horizontal="center"/>
    </xf>
    <xf numFmtId="0" fontId="0" fillId="3" borderId="0" xfId="0" quotePrefix="1" applyFill="1" applyAlignment="1">
      <alignment horizontal="left" indent="1"/>
    </xf>
    <xf numFmtId="0" fontId="3" fillId="3" borderId="0" xfId="0" applyFont="1" applyFill="1" applyAlignment="1">
      <alignment horizontal="left"/>
    </xf>
    <xf numFmtId="0" fontId="12" fillId="3" borderId="0" xfId="0" applyFont="1" applyFill="1" applyAlignment="1">
      <alignment horizontal="left" indent="1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168" fontId="3" fillId="3" borderId="0" xfId="2" applyNumberFormat="1" applyFont="1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167" fontId="0" fillId="3" borderId="0" xfId="0" applyNumberFormat="1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16" xfId="0" applyFill="1" applyBorder="1"/>
    <xf numFmtId="0" fontId="2" fillId="2" borderId="17" xfId="0" applyFont="1" applyFill="1" applyBorder="1"/>
    <xf numFmtId="0" fontId="0" fillId="2" borderId="17" xfId="0" applyFill="1" applyBorder="1"/>
    <xf numFmtId="0" fontId="0" fillId="2" borderId="2" xfId="0" applyFill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9" fontId="0" fillId="3" borderId="0" xfId="2" applyFont="1" applyFill="1" applyBorder="1" applyAlignment="1">
      <alignment horizontal="center"/>
    </xf>
    <xf numFmtId="0" fontId="3" fillId="3" borderId="0" xfId="0" quotePrefix="1" applyFont="1" applyFill="1" applyAlignment="1">
      <alignment horizontal="left"/>
    </xf>
    <xf numFmtId="167" fontId="3" fillId="3" borderId="0" xfId="0" applyNumberFormat="1" applyFont="1" applyFill="1" applyAlignment="1">
      <alignment horizontal="center"/>
    </xf>
    <xf numFmtId="167" fontId="3" fillId="3" borderId="5" xfId="0" applyNumberFormat="1" applyFont="1" applyFill="1" applyBorder="1" applyAlignment="1">
      <alignment horizontal="center"/>
    </xf>
    <xf numFmtId="0" fontId="0" fillId="3" borderId="12" xfId="0" applyFill="1" applyBorder="1"/>
    <xf numFmtId="0" fontId="0" fillId="2" borderId="18" xfId="0" applyFill="1" applyBorder="1"/>
    <xf numFmtId="9" fontId="3" fillId="3" borderId="7" xfId="2" applyFont="1" applyFill="1" applyBorder="1" applyAlignment="1">
      <alignment horizontal="center"/>
    </xf>
    <xf numFmtId="0" fontId="15" fillId="3" borderId="7" xfId="0" applyFont="1" applyFill="1" applyBorder="1"/>
    <xf numFmtId="0" fontId="6" fillId="3" borderId="0" xfId="0" applyFont="1" applyFill="1"/>
    <xf numFmtId="0" fontId="10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11" fillId="3" borderId="0" xfId="0" applyFont="1" applyFill="1" applyAlignment="1">
      <alignment horizontal="centerContinuous"/>
    </xf>
    <xf numFmtId="0" fontId="12" fillId="5" borderId="0" xfId="0" applyFont="1" applyFill="1"/>
    <xf numFmtId="0" fontId="4" fillId="2" borderId="17" xfId="0" applyFont="1" applyFill="1" applyBorder="1"/>
    <xf numFmtId="0" fontId="16" fillId="3" borderId="0" xfId="0" applyFont="1" applyFill="1"/>
    <xf numFmtId="0" fontId="0" fillId="3" borderId="2" xfId="0" applyFill="1" applyBorder="1"/>
    <xf numFmtId="167" fontId="0" fillId="3" borderId="0" xfId="0" applyNumberFormat="1" applyFill="1"/>
    <xf numFmtId="14" fontId="0" fillId="5" borderId="0" xfId="0" applyNumberFormat="1" applyFill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22" fillId="3" borderId="0" xfId="0" applyFont="1" applyFill="1"/>
    <xf numFmtId="0" fontId="16" fillId="3" borderId="0" xfId="0" applyFont="1" applyFill="1" applyAlignment="1">
      <alignment horizontal="center"/>
    </xf>
    <xf numFmtId="168" fontId="22" fillId="3" borderId="0" xfId="2" applyNumberFormat="1" applyFont="1" applyFill="1" applyBorder="1" applyAlignment="1">
      <alignment horizontal="center"/>
    </xf>
    <xf numFmtId="168" fontId="16" fillId="3" borderId="0" xfId="2" applyNumberFormat="1" applyFont="1" applyFill="1" applyBorder="1" applyAlignment="1">
      <alignment horizontal="center"/>
    </xf>
    <xf numFmtId="10" fontId="22" fillId="3" borderId="0" xfId="2" applyNumberFormat="1" applyFont="1" applyFill="1" applyBorder="1" applyAlignment="1">
      <alignment horizontal="center"/>
    </xf>
    <xf numFmtId="0" fontId="23" fillId="3" borderId="0" xfId="0" applyFont="1" applyFill="1" applyAlignment="1">
      <alignment horizontal="centerContinuous"/>
    </xf>
    <xf numFmtId="0" fontId="22" fillId="3" borderId="0" xfId="0" applyFont="1" applyFill="1" applyAlignment="1">
      <alignment horizontal="centerContinuous"/>
    </xf>
    <xf numFmtId="0" fontId="24" fillId="3" borderId="0" xfId="0" applyFont="1" applyFill="1" applyAlignment="1">
      <alignment horizontal="centerContinuous"/>
    </xf>
    <xf numFmtId="0" fontId="22" fillId="3" borderId="0" xfId="0" quotePrefix="1" applyFont="1" applyFill="1" applyAlignment="1">
      <alignment horizontal="left"/>
    </xf>
    <xf numFmtId="0" fontId="25" fillId="3" borderId="0" xfId="0" applyFont="1" applyFill="1" applyAlignment="1">
      <alignment horizontal="centerContinuous"/>
    </xf>
    <xf numFmtId="9" fontId="22" fillId="3" borderId="0" xfId="2" applyFont="1" applyFill="1" applyBorder="1" applyAlignment="1">
      <alignment horizontal="center"/>
    </xf>
    <xf numFmtId="168" fontId="22" fillId="3" borderId="0" xfId="2" applyNumberFormat="1" applyFont="1" applyFill="1" applyBorder="1"/>
    <xf numFmtId="9" fontId="16" fillId="3" borderId="0" xfId="2" applyFont="1" applyFill="1" applyBorder="1" applyAlignment="1">
      <alignment horizontal="center"/>
    </xf>
    <xf numFmtId="168" fontId="16" fillId="3" borderId="0" xfId="2" applyNumberFormat="1" applyFont="1" applyFill="1" applyBorder="1"/>
    <xf numFmtId="9" fontId="22" fillId="3" borderId="0" xfId="2" applyFont="1" applyFill="1" applyBorder="1" applyAlignment="1">
      <alignment horizontal="centerContinuous"/>
    </xf>
    <xf numFmtId="168" fontId="22" fillId="3" borderId="0" xfId="2" applyNumberFormat="1" applyFont="1" applyFill="1" applyBorder="1" applyAlignment="1">
      <alignment horizontal="centerContinuous"/>
    </xf>
    <xf numFmtId="0" fontId="11" fillId="3" borderId="0" xfId="0" applyFont="1" applyFill="1"/>
    <xf numFmtId="0" fontId="3" fillId="3" borderId="4" xfId="0" applyFont="1" applyFill="1" applyBorder="1"/>
    <xf numFmtId="9" fontId="0" fillId="3" borderId="0" xfId="2" applyFont="1" applyFill="1" applyBorder="1"/>
    <xf numFmtId="9" fontId="0" fillId="3" borderId="5" xfId="2" applyFont="1" applyFill="1" applyBorder="1"/>
    <xf numFmtId="0" fontId="3" fillId="3" borderId="6" xfId="0" applyFont="1" applyFill="1" applyBorder="1"/>
    <xf numFmtId="0" fontId="2" fillId="6" borderId="1" xfId="0" applyFont="1" applyFill="1" applyBorder="1"/>
    <xf numFmtId="0" fontId="2" fillId="6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Continuous" vertical="center"/>
    </xf>
    <xf numFmtId="9" fontId="3" fillId="3" borderId="0" xfId="2" applyFont="1" applyFill="1" applyBorder="1"/>
    <xf numFmtId="0" fontId="4" fillId="6" borderId="2" xfId="0" applyFont="1" applyFill="1" applyBorder="1" applyAlignment="1">
      <alignment horizontal="center"/>
    </xf>
    <xf numFmtId="0" fontId="0" fillId="2" borderId="0" xfId="0" applyFill="1"/>
    <xf numFmtId="0" fontId="1" fillId="2" borderId="0" xfId="2" applyNumberFormat="1" applyFont="1" applyFill="1" applyBorder="1"/>
    <xf numFmtId="167" fontId="4" fillId="2" borderId="0" xfId="0" applyNumberFormat="1" applyFont="1" applyFill="1"/>
    <xf numFmtId="167" fontId="4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2" fillId="2" borderId="4" xfId="0" applyFont="1" applyFill="1" applyBorder="1"/>
    <xf numFmtId="167" fontId="0" fillId="3" borderId="5" xfId="0" applyNumberFormat="1" applyFill="1" applyBorder="1"/>
    <xf numFmtId="0" fontId="1" fillId="2" borderId="5" xfId="2" applyNumberFormat="1" applyFont="1" applyFill="1" applyBorder="1"/>
    <xf numFmtId="167" fontId="4" fillId="2" borderId="5" xfId="0" applyNumberFormat="1" applyFont="1" applyFill="1" applyBorder="1" applyAlignment="1">
      <alignment horizontal="center"/>
    </xf>
    <xf numFmtId="167" fontId="2" fillId="2" borderId="5" xfId="0" applyNumberFormat="1" applyFont="1" applyFill="1" applyBorder="1" applyAlignment="1">
      <alignment horizontal="center"/>
    </xf>
    <xf numFmtId="0" fontId="27" fillId="7" borderId="2" xfId="0" applyFont="1" applyFill="1" applyBorder="1"/>
    <xf numFmtId="0" fontId="27" fillId="7" borderId="0" xfId="0" applyFont="1" applyFill="1"/>
    <xf numFmtId="0" fontId="28" fillId="7" borderId="0" xfId="0" applyFont="1" applyFill="1"/>
    <xf numFmtId="0" fontId="27" fillId="7" borderId="0" xfId="0" quotePrefix="1" applyFont="1" applyFill="1"/>
    <xf numFmtId="0" fontId="22" fillId="3" borderId="0" xfId="0" quotePrefix="1" applyFont="1" applyFill="1"/>
    <xf numFmtId="167" fontId="3" fillId="3" borderId="0" xfId="1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7" fontId="3" fillId="3" borderId="0" xfId="2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71" fontId="0" fillId="3" borderId="0" xfId="0" applyNumberFormat="1" applyFill="1" applyAlignment="1">
      <alignment horizontal="center"/>
    </xf>
    <xf numFmtId="171" fontId="0" fillId="3" borderId="0" xfId="1" applyNumberFormat="1" applyFont="1" applyFill="1" applyBorder="1" applyAlignment="1">
      <alignment horizontal="center"/>
    </xf>
    <xf numFmtId="171" fontId="3" fillId="3" borderId="0" xfId="0" applyNumberFormat="1" applyFont="1" applyFill="1" applyAlignment="1">
      <alignment horizontal="center"/>
    </xf>
    <xf numFmtId="171" fontId="3" fillId="3" borderId="0" xfId="2" applyNumberFormat="1" applyFont="1" applyFill="1" applyBorder="1" applyAlignment="1">
      <alignment horizontal="center"/>
    </xf>
    <xf numFmtId="43" fontId="0" fillId="0" borderId="0" xfId="0" applyNumberFormat="1"/>
    <xf numFmtId="172" fontId="0" fillId="0" borderId="0" xfId="0" applyNumberFormat="1"/>
    <xf numFmtId="173" fontId="0" fillId="0" borderId="0" xfId="0" applyNumberFormat="1"/>
    <xf numFmtId="173" fontId="3" fillId="0" borderId="0" xfId="0" applyNumberFormat="1" applyFont="1"/>
    <xf numFmtId="0" fontId="0" fillId="0" borderId="0" xfId="0" applyAlignment="1">
      <alignment horizontal="right"/>
    </xf>
    <xf numFmtId="10" fontId="0" fillId="0" borderId="0" xfId="0" applyNumberFormat="1"/>
    <xf numFmtId="168" fontId="0" fillId="0" borderId="0" xfId="0" applyNumberFormat="1"/>
    <xf numFmtId="0" fontId="3" fillId="0" borderId="0" xfId="0" applyFont="1"/>
    <xf numFmtId="14" fontId="0" fillId="0" borderId="0" xfId="0" applyNumberFormat="1"/>
    <xf numFmtId="14" fontId="3" fillId="0" borderId="0" xfId="0" applyNumberFormat="1" applyFont="1"/>
    <xf numFmtId="10" fontId="3" fillId="0" borderId="0" xfId="0" applyNumberFormat="1" applyFont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0" xfId="0" applyFill="1" applyBorder="1"/>
    <xf numFmtId="0" fontId="0" fillId="3" borderId="24" xfId="0" applyFill="1" applyBorder="1"/>
    <xf numFmtId="0" fontId="2" fillId="6" borderId="25" xfId="0" applyFont="1" applyFill="1" applyBorder="1"/>
    <xf numFmtId="0" fontId="4" fillId="6" borderId="26" xfId="0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10" fontId="0" fillId="3" borderId="0" xfId="0" applyNumberFormat="1" applyFill="1"/>
    <xf numFmtId="0" fontId="3" fillId="0" borderId="20" xfId="0" applyFont="1" applyBorder="1"/>
    <xf numFmtId="171" fontId="0" fillId="3" borderId="21" xfId="1" applyNumberFormat="1" applyFont="1" applyFill="1" applyBorder="1" applyAlignment="1">
      <alignment horizontal="center"/>
    </xf>
    <xf numFmtId="168" fontId="0" fillId="3" borderId="21" xfId="2" applyNumberFormat="1" applyFont="1" applyFill="1" applyBorder="1" applyAlignment="1">
      <alignment horizontal="center"/>
    </xf>
    <xf numFmtId="171" fontId="0" fillId="3" borderId="0" xfId="1" applyNumberFormat="1" applyFont="1" applyFill="1" applyAlignment="1">
      <alignment horizontal="center"/>
    </xf>
    <xf numFmtId="9" fontId="3" fillId="3" borderId="20" xfId="2" applyFont="1" applyFill="1" applyBorder="1" applyAlignment="1">
      <alignment horizontal="center"/>
    </xf>
    <xf numFmtId="0" fontId="15" fillId="0" borderId="0" xfId="0" applyFont="1"/>
    <xf numFmtId="0" fontId="0" fillId="8" borderId="0" xfId="0" applyFill="1"/>
    <xf numFmtId="0" fontId="0" fillId="8" borderId="0" xfId="0" quotePrefix="1" applyFill="1"/>
    <xf numFmtId="0" fontId="0" fillId="8" borderId="28" xfId="0" quotePrefix="1" applyFill="1" applyBorder="1"/>
    <xf numFmtId="0" fontId="0" fillId="8" borderId="29" xfId="0" applyFill="1" applyBorder="1"/>
    <xf numFmtId="0" fontId="0" fillId="8" borderId="3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0" fontId="0" fillId="8" borderId="20" xfId="0" applyFill="1" applyBorder="1"/>
    <xf numFmtId="0" fontId="0" fillId="8" borderId="24" xfId="0" applyFill="1" applyBorder="1"/>
    <xf numFmtId="0" fontId="3" fillId="8" borderId="0" xfId="0" applyFont="1" applyFill="1"/>
    <xf numFmtId="0" fontId="4" fillId="6" borderId="28" xfId="0" applyFont="1" applyFill="1" applyBorder="1"/>
    <xf numFmtId="0" fontId="26" fillId="6" borderId="29" xfId="0" applyFont="1" applyFill="1" applyBorder="1" applyAlignment="1">
      <alignment horizontal="centerContinuous"/>
    </xf>
    <xf numFmtId="0" fontId="0" fillId="6" borderId="29" xfId="0" applyFill="1" applyBorder="1" applyAlignment="1">
      <alignment horizontal="centerContinuous"/>
    </xf>
    <xf numFmtId="0" fontId="26" fillId="6" borderId="30" xfId="0" applyFont="1" applyFill="1" applyBorder="1" applyAlignment="1">
      <alignment horizontal="centerContinuous"/>
    </xf>
    <xf numFmtId="0" fontId="0" fillId="3" borderId="22" xfId="0" applyFill="1" applyBorder="1" applyAlignment="1">
      <alignment horizontal="center"/>
    </xf>
    <xf numFmtId="171" fontId="0" fillId="3" borderId="22" xfId="0" applyNumberFormat="1" applyFill="1" applyBorder="1" applyAlignment="1">
      <alignment horizontal="center"/>
    </xf>
    <xf numFmtId="173" fontId="0" fillId="0" borderId="0" xfId="0" applyNumberFormat="1" applyAlignment="1">
      <alignment horizontal="center"/>
    </xf>
    <xf numFmtId="173" fontId="3" fillId="0" borderId="20" xfId="0" applyNumberFormat="1" applyFont="1" applyBorder="1" applyAlignment="1">
      <alignment horizontal="center"/>
    </xf>
    <xf numFmtId="0" fontId="29" fillId="9" borderId="0" xfId="0" applyFont="1" applyFill="1"/>
    <xf numFmtId="0" fontId="29" fillId="9" borderId="0" xfId="0" applyFont="1" applyFill="1" applyAlignment="1">
      <alignment horizontal="center"/>
    </xf>
    <xf numFmtId="176" fontId="0" fillId="3" borderId="0" xfId="0" applyNumberFormat="1" applyFill="1"/>
    <xf numFmtId="10" fontId="0" fillId="8" borderId="0" xfId="0" applyNumberFormat="1" applyFill="1"/>
    <xf numFmtId="168" fontId="0" fillId="3" borderId="22" xfId="2" applyNumberFormat="1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168" fontId="12" fillId="8" borderId="0" xfId="0" applyNumberFormat="1" applyFont="1" applyFill="1" applyAlignment="1">
      <alignment horizontal="center"/>
    </xf>
    <xf numFmtId="173" fontId="3" fillId="0" borderId="20" xfId="0" applyNumberFormat="1" applyFont="1" applyBorder="1"/>
    <xf numFmtId="168" fontId="0" fillId="0" borderId="0" xfId="2" applyNumberFormat="1" applyFont="1" applyAlignment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173" fontId="0" fillId="0" borderId="0" xfId="1" applyNumberFormat="1" applyFont="1" applyBorder="1" applyAlignment="1"/>
    <xf numFmtId="174" fontId="0" fillId="0" borderId="0" xfId="0" applyNumberFormat="1"/>
    <xf numFmtId="168" fontId="0" fillId="0" borderId="0" xfId="2" applyNumberFormat="1" applyFont="1" applyBorder="1" applyAlignment="1"/>
    <xf numFmtId="10" fontId="0" fillId="0" borderId="0" xfId="2" applyNumberFormat="1" applyFont="1" applyBorder="1" applyAlignment="1"/>
    <xf numFmtId="0" fontId="29" fillId="9" borderId="29" xfId="0" applyFont="1" applyFill="1" applyBorder="1"/>
    <xf numFmtId="173" fontId="0" fillId="0" borderId="21" xfId="0" applyNumberFormat="1" applyBorder="1"/>
    <xf numFmtId="173" fontId="0" fillId="0" borderId="22" xfId="0" applyNumberFormat="1" applyBorder="1"/>
    <xf numFmtId="173" fontId="3" fillId="0" borderId="21" xfId="0" applyNumberFormat="1" applyFont="1" applyBorder="1"/>
    <xf numFmtId="173" fontId="3" fillId="0" borderId="22" xfId="0" applyNumberFormat="1" applyFont="1" applyBorder="1"/>
    <xf numFmtId="173" fontId="3" fillId="0" borderId="23" xfId="0" applyNumberFormat="1" applyFont="1" applyBorder="1"/>
    <xf numFmtId="173" fontId="3" fillId="0" borderId="24" xfId="0" applyNumberFormat="1" applyFont="1" applyBorder="1"/>
    <xf numFmtId="168" fontId="0" fillId="0" borderId="21" xfId="0" applyNumberFormat="1" applyBorder="1"/>
    <xf numFmtId="168" fontId="0" fillId="0" borderId="22" xfId="0" applyNumberFormat="1" applyBorder="1"/>
    <xf numFmtId="176" fontId="0" fillId="0" borderId="28" xfId="0" applyNumberFormat="1" applyBorder="1"/>
    <xf numFmtId="176" fontId="0" fillId="0" borderId="29" xfId="0" applyNumberFormat="1" applyBorder="1"/>
    <xf numFmtId="176" fontId="0" fillId="0" borderId="30" xfId="0" applyNumberFormat="1" applyBorder="1"/>
    <xf numFmtId="173" fontId="0" fillId="0" borderId="29" xfId="0" applyNumberFormat="1" applyBorder="1"/>
    <xf numFmtId="173" fontId="0" fillId="0" borderId="30" xfId="0" applyNumberFormat="1" applyBorder="1"/>
    <xf numFmtId="0" fontId="3" fillId="0" borderId="21" xfId="0" applyFont="1" applyBorder="1"/>
    <xf numFmtId="173" fontId="30" fillId="0" borderId="0" xfId="0" applyNumberFormat="1" applyFont="1"/>
    <xf numFmtId="0" fontId="3" fillId="0" borderId="28" xfId="0" applyFont="1" applyBorder="1"/>
    <xf numFmtId="173" fontId="3" fillId="0" borderId="29" xfId="0" applyNumberFormat="1" applyFont="1" applyBorder="1"/>
    <xf numFmtId="173" fontId="3" fillId="0" borderId="30" xfId="0" applyNumberFormat="1" applyFont="1" applyBorder="1"/>
    <xf numFmtId="0" fontId="15" fillId="0" borderId="21" xfId="0" applyFont="1" applyBorder="1"/>
    <xf numFmtId="173" fontId="3" fillId="0" borderId="28" xfId="0" applyNumberFormat="1" applyFont="1" applyBorder="1"/>
    <xf numFmtId="9" fontId="3" fillId="0" borderId="0" xfId="2" applyFont="1"/>
    <xf numFmtId="0" fontId="32" fillId="0" borderId="0" xfId="5"/>
    <xf numFmtId="14" fontId="0" fillId="0" borderId="0" xfId="0" applyNumberFormat="1" applyAlignment="1">
      <alignment horizontal="center"/>
    </xf>
    <xf numFmtId="0" fontId="3" fillId="0" borderId="23" xfId="0" applyFont="1" applyBorder="1"/>
    <xf numFmtId="173" fontId="0" fillId="0" borderId="20" xfId="0" applyNumberFormat="1" applyBorder="1"/>
    <xf numFmtId="168" fontId="3" fillId="0" borderId="0" xfId="0" applyNumberFormat="1" applyFont="1"/>
    <xf numFmtId="0" fontId="29" fillId="10" borderId="25" xfId="0" applyFont="1" applyFill="1" applyBorder="1"/>
    <xf numFmtId="0" fontId="3" fillId="10" borderId="26" xfId="0" applyFont="1" applyFill="1" applyBorder="1"/>
    <xf numFmtId="173" fontId="0" fillId="10" borderId="26" xfId="0" applyNumberFormat="1" applyFill="1" applyBorder="1"/>
    <xf numFmtId="0" fontId="0" fillId="10" borderId="26" xfId="0" applyFill="1" applyBorder="1"/>
    <xf numFmtId="14" fontId="0" fillId="10" borderId="26" xfId="0" applyNumberFormat="1" applyFill="1" applyBorder="1"/>
    <xf numFmtId="0" fontId="0" fillId="10" borderId="29" xfId="0" applyFill="1" applyBorder="1"/>
    <xf numFmtId="0" fontId="0" fillId="10" borderId="30" xfId="0" applyFill="1" applyBorder="1"/>
    <xf numFmtId="0" fontId="12" fillId="0" borderId="21" xfId="0" applyFont="1" applyBorder="1"/>
    <xf numFmtId="10" fontId="15" fillId="0" borderId="0" xfId="0" applyNumberFormat="1" applyFont="1"/>
    <xf numFmtId="168" fontId="15" fillId="0" borderId="0" xfId="0" applyNumberFormat="1" applyFont="1"/>
    <xf numFmtId="168" fontId="15" fillId="0" borderId="22" xfId="0" applyNumberFormat="1" applyFont="1" applyBorder="1"/>
    <xf numFmtId="10" fontId="0" fillId="0" borderId="21" xfId="0" applyNumberFormat="1" applyBorder="1"/>
    <xf numFmtId="10" fontId="0" fillId="0" borderId="22" xfId="0" applyNumberFormat="1" applyBorder="1"/>
    <xf numFmtId="172" fontId="0" fillId="0" borderId="22" xfId="0" applyNumberFormat="1" applyBorder="1"/>
    <xf numFmtId="173" fontId="0" fillId="0" borderId="28" xfId="0" applyNumberFormat="1" applyBorder="1"/>
    <xf numFmtId="168" fontId="3" fillId="0" borderId="21" xfId="0" applyNumberFormat="1" applyFont="1" applyBorder="1"/>
    <xf numFmtId="168" fontId="3" fillId="0" borderId="22" xfId="0" applyNumberFormat="1" applyFont="1" applyBorder="1"/>
    <xf numFmtId="0" fontId="0" fillId="11" borderId="0" xfId="0" applyFill="1"/>
    <xf numFmtId="0" fontId="15" fillId="11" borderId="0" xfId="0" applyFont="1" applyFill="1"/>
    <xf numFmtId="1" fontId="3" fillId="0" borderId="21" xfId="0" applyNumberFormat="1" applyFont="1" applyBorder="1"/>
    <xf numFmtId="178" fontId="0" fillId="0" borderId="0" xfId="0" applyNumberFormat="1"/>
    <xf numFmtId="178" fontId="0" fillId="0" borderId="22" xfId="0" applyNumberFormat="1" applyBorder="1"/>
    <xf numFmtId="176" fontId="33" fillId="3" borderId="0" xfId="0" applyNumberFormat="1" applyFont="1" applyFill="1"/>
    <xf numFmtId="176" fontId="0" fillId="8" borderId="0" xfId="0" applyNumberFormat="1" applyFill="1"/>
    <xf numFmtId="176" fontId="33" fillId="8" borderId="0" xfId="0" applyNumberFormat="1" applyFont="1" applyFill="1"/>
    <xf numFmtId="0" fontId="0" fillId="3" borderId="21" xfId="0" applyFill="1" applyBorder="1" applyAlignment="1">
      <alignment horizontal="left" indent="1"/>
    </xf>
    <xf numFmtId="0" fontId="0" fillId="0" borderId="21" xfId="0" applyBorder="1" applyAlignment="1">
      <alignment horizontal="left" indent="1"/>
    </xf>
    <xf numFmtId="0" fontId="15" fillId="3" borderId="28" xfId="0" applyFont="1" applyFill="1" applyBorder="1"/>
    <xf numFmtId="0" fontId="0" fillId="3" borderId="29" xfId="0" applyFill="1" applyBorder="1"/>
    <xf numFmtId="0" fontId="0" fillId="3" borderId="30" xfId="0" applyFill="1" applyBorder="1"/>
    <xf numFmtId="168" fontId="0" fillId="3" borderId="0" xfId="0" applyNumberFormat="1" applyFill="1"/>
    <xf numFmtId="168" fontId="0" fillId="3" borderId="20" xfId="0" applyNumberFormat="1" applyFill="1" applyBorder="1"/>
    <xf numFmtId="0" fontId="3" fillId="3" borderId="21" xfId="0" applyFont="1" applyFill="1" applyBorder="1"/>
    <xf numFmtId="0" fontId="0" fillId="3" borderId="21" xfId="0" quotePrefix="1" applyFill="1" applyBorder="1"/>
    <xf numFmtId="173" fontId="0" fillId="3" borderId="0" xfId="0" applyNumberFormat="1" applyFill="1"/>
    <xf numFmtId="0" fontId="0" fillId="3" borderId="21" xfId="0" quotePrefix="1" applyFill="1" applyBorder="1" applyAlignment="1">
      <alignment horizontal="left"/>
    </xf>
    <xf numFmtId="0" fontId="3" fillId="3" borderId="21" xfId="0" quotePrefix="1" applyFont="1" applyFill="1" applyBorder="1" applyAlignment="1">
      <alignment horizontal="left"/>
    </xf>
    <xf numFmtId="173" fontId="3" fillId="3" borderId="0" xfId="0" applyNumberFormat="1" applyFont="1" applyFill="1"/>
    <xf numFmtId="173" fontId="0" fillId="3" borderId="20" xfId="0" applyNumberFormat="1" applyFill="1" applyBorder="1"/>
    <xf numFmtId="176" fontId="3" fillId="3" borderId="0" xfId="0" applyNumberFormat="1" applyFont="1" applyFill="1"/>
    <xf numFmtId="176" fontId="27" fillId="3" borderId="0" xfId="0" applyNumberFormat="1" applyFont="1" applyFill="1"/>
    <xf numFmtId="0" fontId="15" fillId="3" borderId="21" xfId="0" applyFont="1" applyFill="1" applyBorder="1"/>
    <xf numFmtId="176" fontId="0" fillId="3" borderId="22" xfId="0" applyNumberFormat="1" applyFill="1" applyBorder="1"/>
    <xf numFmtId="176" fontId="28" fillId="3" borderId="0" xfId="0" applyNumberFormat="1" applyFont="1" applyFill="1"/>
    <xf numFmtId="0" fontId="27" fillId="3" borderId="0" xfId="0" applyFont="1" applyFill="1"/>
    <xf numFmtId="176" fontId="27" fillId="8" borderId="0" xfId="0" applyNumberFormat="1" applyFont="1" applyFill="1"/>
    <xf numFmtId="173" fontId="28" fillId="3" borderId="0" xfId="0" applyNumberFormat="1" applyFont="1" applyFill="1"/>
    <xf numFmtId="173" fontId="34" fillId="3" borderId="0" xfId="0" applyNumberFormat="1" applyFont="1" applyFill="1"/>
    <xf numFmtId="173" fontId="0" fillId="0" borderId="21" xfId="0" applyNumberFormat="1" applyBorder="1" applyAlignment="1">
      <alignment horizontal="center"/>
    </xf>
    <xf numFmtId="173" fontId="0" fillId="0" borderId="22" xfId="0" applyNumberFormat="1" applyBorder="1" applyAlignment="1">
      <alignment horizontal="center"/>
    </xf>
    <xf numFmtId="174" fontId="3" fillId="0" borderId="0" xfId="0" applyNumberFormat="1" applyFont="1"/>
    <xf numFmtId="173" fontId="0" fillId="0" borderId="22" xfId="1" applyNumberFormat="1" applyFont="1" applyBorder="1" applyAlignment="1"/>
    <xf numFmtId="174" fontId="3" fillId="0" borderId="22" xfId="0" applyNumberFormat="1" applyFont="1" applyBorder="1"/>
    <xf numFmtId="0" fontId="15" fillId="0" borderId="23" xfId="0" applyFont="1" applyBorder="1"/>
    <xf numFmtId="10" fontId="15" fillId="0" borderId="20" xfId="0" applyNumberFormat="1" applyFont="1" applyBorder="1"/>
    <xf numFmtId="10" fontId="15" fillId="0" borderId="24" xfId="0" applyNumberFormat="1" applyFont="1" applyBorder="1"/>
    <xf numFmtId="10" fontId="15" fillId="0" borderId="23" xfId="0" applyNumberFormat="1" applyFont="1" applyBorder="1"/>
    <xf numFmtId="171" fontId="3" fillId="3" borderId="0" xfId="1" applyNumberFormat="1" applyFont="1" applyFill="1" applyAlignment="1">
      <alignment horizontal="center"/>
    </xf>
    <xf numFmtId="171" fontId="0" fillId="3" borderId="21" xfId="0" applyNumberFormat="1" applyFill="1" applyBorder="1" applyAlignment="1">
      <alignment horizontal="center"/>
    </xf>
    <xf numFmtId="171" fontId="0" fillId="3" borderId="22" xfId="1" applyNumberFormat="1" applyFont="1" applyFill="1" applyBorder="1" applyAlignment="1">
      <alignment horizontal="center"/>
    </xf>
    <xf numFmtId="171" fontId="0" fillId="3" borderId="29" xfId="1" applyNumberFormat="1" applyFont="1" applyFill="1" applyBorder="1" applyAlignment="1">
      <alignment horizontal="center"/>
    </xf>
    <xf numFmtId="171" fontId="0" fillId="3" borderId="30" xfId="1" applyNumberFormat="1" applyFont="1" applyFill="1" applyBorder="1" applyAlignment="1">
      <alignment horizontal="center"/>
    </xf>
    <xf numFmtId="171" fontId="3" fillId="3" borderId="21" xfId="0" applyNumberFormat="1" applyFont="1" applyFill="1" applyBorder="1" applyAlignment="1">
      <alignment horizontal="center"/>
    </xf>
    <xf numFmtId="171" fontId="3" fillId="3" borderId="22" xfId="1" applyNumberFormat="1" applyFont="1" applyFill="1" applyBorder="1" applyAlignment="1">
      <alignment horizontal="center"/>
    </xf>
    <xf numFmtId="168" fontId="0" fillId="3" borderId="24" xfId="0" applyNumberFormat="1" applyFill="1" applyBorder="1"/>
    <xf numFmtId="168" fontId="0" fillId="0" borderId="20" xfId="0" applyNumberFormat="1" applyBorder="1"/>
    <xf numFmtId="168" fontId="0" fillId="0" borderId="0" xfId="2" applyNumberFormat="1" applyFont="1" applyBorder="1"/>
    <xf numFmtId="0" fontId="35" fillId="9" borderId="25" xfId="0" applyFont="1" applyFill="1" applyBorder="1"/>
    <xf numFmtId="0" fontId="29" fillId="9" borderId="26" xfId="0" applyFont="1" applyFill="1" applyBorder="1"/>
    <xf numFmtId="10" fontId="29" fillId="9" borderId="26" xfId="0" applyNumberFormat="1" applyFont="1" applyFill="1" applyBorder="1"/>
    <xf numFmtId="0" fontId="29" fillId="9" borderId="27" xfId="0" applyFont="1" applyFill="1" applyBorder="1"/>
    <xf numFmtId="0" fontId="29" fillId="9" borderId="28" xfId="0" applyFont="1" applyFill="1" applyBorder="1"/>
    <xf numFmtId="0" fontId="2" fillId="6" borderId="26" xfId="0" applyFont="1" applyFill="1" applyBorder="1" applyAlignment="1">
      <alignment horizontal="center"/>
    </xf>
    <xf numFmtId="173" fontId="3" fillId="3" borderId="22" xfId="0" applyNumberFormat="1" applyFont="1" applyFill="1" applyBorder="1"/>
    <xf numFmtId="0" fontId="2" fillId="6" borderId="27" xfId="0" applyFont="1" applyFill="1" applyBorder="1" applyAlignment="1">
      <alignment horizontal="center"/>
    </xf>
    <xf numFmtId="173" fontId="0" fillId="3" borderId="22" xfId="0" applyNumberFormat="1" applyFill="1" applyBorder="1"/>
    <xf numFmtId="173" fontId="0" fillId="3" borderId="24" xfId="0" applyNumberFormat="1" applyFill="1" applyBorder="1"/>
    <xf numFmtId="176" fontId="3" fillId="3" borderId="22" xfId="0" applyNumberFormat="1" applyFont="1" applyFill="1" applyBorder="1"/>
    <xf numFmtId="176" fontId="27" fillId="3" borderId="22" xfId="0" applyNumberFormat="1" applyFont="1" applyFill="1" applyBorder="1"/>
    <xf numFmtId="176" fontId="28" fillId="3" borderId="22" xfId="0" applyNumberFormat="1" applyFont="1" applyFill="1" applyBorder="1"/>
    <xf numFmtId="0" fontId="27" fillId="3" borderId="22" xfId="0" applyFont="1" applyFill="1" applyBorder="1"/>
    <xf numFmtId="176" fontId="27" fillId="8" borderId="22" xfId="0" applyNumberFormat="1" applyFont="1" applyFill="1" applyBorder="1"/>
    <xf numFmtId="173" fontId="28" fillId="3" borderId="22" xfId="0" applyNumberFormat="1" applyFont="1" applyFill="1" applyBorder="1"/>
    <xf numFmtId="173" fontId="34" fillId="3" borderId="22" xfId="0" applyNumberFormat="1" applyFont="1" applyFill="1" applyBorder="1"/>
    <xf numFmtId="10" fontId="0" fillId="0" borderId="20" xfId="0" applyNumberFormat="1" applyBorder="1"/>
    <xf numFmtId="168" fontId="15" fillId="0" borderId="20" xfId="0" applyNumberFormat="1" applyFont="1" applyBorder="1"/>
    <xf numFmtId="168" fontId="15" fillId="0" borderId="23" xfId="0" applyNumberFormat="1" applyFont="1" applyBorder="1"/>
    <xf numFmtId="168" fontId="15" fillId="0" borderId="24" xfId="0" applyNumberFormat="1" applyFont="1" applyBorder="1"/>
    <xf numFmtId="168" fontId="0" fillId="0" borderId="23" xfId="0" applyNumberFormat="1" applyBorder="1"/>
    <xf numFmtId="168" fontId="0" fillId="0" borderId="24" xfId="0" applyNumberFormat="1" applyBorder="1"/>
    <xf numFmtId="0" fontId="0" fillId="0" borderId="21" xfId="0" applyBorder="1" applyAlignment="1">
      <alignment horizontal="left"/>
    </xf>
    <xf numFmtId="1" fontId="3" fillId="0" borderId="0" xfId="0" applyNumberFormat="1" applyFont="1"/>
    <xf numFmtId="177" fontId="0" fillId="0" borderId="20" xfId="0" applyNumberFormat="1" applyBorder="1"/>
    <xf numFmtId="168" fontId="3" fillId="0" borderId="20" xfId="0" applyNumberFormat="1" applyFont="1" applyBorder="1"/>
    <xf numFmtId="168" fontId="3" fillId="0" borderId="23" xfId="0" applyNumberFormat="1" applyFont="1" applyBorder="1"/>
    <xf numFmtId="168" fontId="3" fillId="0" borderId="24" xfId="0" applyNumberFormat="1" applyFont="1" applyBorder="1"/>
    <xf numFmtId="0" fontId="3" fillId="8" borderId="28" xfId="0" applyFont="1" applyFill="1" applyBorder="1"/>
    <xf numFmtId="0" fontId="27" fillId="8" borderId="21" xfId="0" quotePrefix="1" applyFont="1" applyFill="1" applyBorder="1" applyAlignment="1">
      <alignment horizontal="left"/>
    </xf>
    <xf numFmtId="0" fontId="28" fillId="8" borderId="21" xfId="0" quotePrefix="1" applyFont="1" applyFill="1" applyBorder="1" applyAlignment="1">
      <alignment horizontal="left"/>
    </xf>
    <xf numFmtId="0" fontId="31" fillId="8" borderId="21" xfId="0" quotePrefix="1" applyFont="1" applyFill="1" applyBorder="1" applyAlignment="1">
      <alignment horizontal="left"/>
    </xf>
    <xf numFmtId="0" fontId="27" fillId="8" borderId="21" xfId="0" applyFont="1" applyFill="1" applyBorder="1" applyAlignment="1">
      <alignment horizontal="left"/>
    </xf>
    <xf numFmtId="0" fontId="28" fillId="8" borderId="21" xfId="0" applyFont="1" applyFill="1" applyBorder="1" applyAlignment="1">
      <alignment horizontal="left"/>
    </xf>
    <xf numFmtId="168" fontId="12" fillId="8" borderId="22" xfId="0" applyNumberFormat="1" applyFont="1" applyFill="1" applyBorder="1" applyAlignment="1">
      <alignment horizontal="center"/>
    </xf>
    <xf numFmtId="0" fontId="27" fillId="8" borderId="23" xfId="0" quotePrefix="1" applyFont="1" applyFill="1" applyBorder="1"/>
    <xf numFmtId="0" fontId="0" fillId="8" borderId="28" xfId="0" applyFill="1" applyBorder="1"/>
    <xf numFmtId="168" fontId="12" fillId="8" borderId="21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168" fontId="0" fillId="3" borderId="0" xfId="2" applyNumberFormat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4" borderId="31" xfId="0" applyFont="1" applyFill="1" applyBorder="1"/>
    <xf numFmtId="0" fontId="6" fillId="4" borderId="22" xfId="0" applyFont="1" applyFill="1" applyBorder="1"/>
    <xf numFmtId="0" fontId="6" fillId="4" borderId="32" xfId="0" applyFont="1" applyFill="1" applyBorder="1"/>
    <xf numFmtId="0" fontId="9" fillId="5" borderId="31" xfId="0" applyFont="1" applyFill="1" applyBorder="1" applyAlignment="1">
      <alignment horizontal="centerContinuous" vertical="center"/>
    </xf>
    <xf numFmtId="0" fontId="3" fillId="5" borderId="22" xfId="0" applyFont="1" applyFill="1" applyBorder="1" applyAlignment="1">
      <alignment horizontal="center"/>
    </xf>
    <xf numFmtId="0" fontId="0" fillId="5" borderId="22" xfId="0" applyFill="1" applyBorder="1"/>
    <xf numFmtId="0" fontId="4" fillId="6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6" borderId="30" xfId="0" applyFont="1" applyFill="1" applyBorder="1" applyAlignment="1">
      <alignment horizontal="center"/>
    </xf>
    <xf numFmtId="0" fontId="0" fillId="2" borderId="21" xfId="0" applyFill="1" applyBorder="1"/>
    <xf numFmtId="0" fontId="0" fillId="2" borderId="22" xfId="0" applyFill="1" applyBorder="1"/>
    <xf numFmtId="167" fontId="0" fillId="3" borderId="21" xfId="0" applyNumberFormat="1" applyFill="1" applyBorder="1"/>
    <xf numFmtId="167" fontId="0" fillId="3" borderId="22" xfId="0" applyNumberFormat="1" applyFill="1" applyBorder="1"/>
    <xf numFmtId="167" fontId="4" fillId="2" borderId="21" xfId="0" applyNumberFormat="1" applyFont="1" applyFill="1" applyBorder="1"/>
    <xf numFmtId="167" fontId="4" fillId="2" borderId="22" xfId="0" applyNumberFormat="1" applyFont="1" applyFill="1" applyBorder="1"/>
    <xf numFmtId="171" fontId="3" fillId="3" borderId="22" xfId="0" applyNumberFormat="1" applyFont="1" applyFill="1" applyBorder="1" applyAlignment="1">
      <alignment horizontal="center"/>
    </xf>
    <xf numFmtId="168" fontId="3" fillId="3" borderId="21" xfId="2" applyNumberFormat="1" applyFont="1" applyFill="1" applyBorder="1" applyAlignment="1">
      <alignment horizontal="center"/>
    </xf>
    <xf numFmtId="168" fontId="3" fillId="3" borderId="22" xfId="2" applyNumberFormat="1" applyFont="1" applyFill="1" applyBorder="1" applyAlignment="1">
      <alignment horizontal="center"/>
    </xf>
    <xf numFmtId="168" fontId="3" fillId="3" borderId="23" xfId="2" applyNumberFormat="1" applyFont="1" applyFill="1" applyBorder="1" applyAlignment="1">
      <alignment horizontal="center"/>
    </xf>
    <xf numFmtId="168" fontId="3" fillId="3" borderId="24" xfId="2" applyNumberFormat="1" applyFont="1" applyFill="1" applyBorder="1" applyAlignment="1">
      <alignment horizontal="center"/>
    </xf>
    <xf numFmtId="0" fontId="4" fillId="6" borderId="25" xfId="0" applyFont="1" applyFill="1" applyBorder="1" applyAlignment="1">
      <alignment horizontal="center"/>
    </xf>
    <xf numFmtId="0" fontId="4" fillId="6" borderId="25" xfId="0" applyFont="1" applyFill="1" applyBorder="1"/>
    <xf numFmtId="168" fontId="0" fillId="3" borderId="5" xfId="0" applyNumberFormat="1" applyFill="1" applyBorder="1" applyAlignment="1">
      <alignment horizontal="center"/>
    </xf>
    <xf numFmtId="168" fontId="3" fillId="3" borderId="0" xfId="0" applyNumberFormat="1" applyFont="1" applyFill="1" applyAlignment="1">
      <alignment horizontal="center"/>
    </xf>
    <xf numFmtId="168" fontId="0" fillId="3" borderId="21" xfId="0" applyNumberFormat="1" applyFill="1" applyBorder="1" applyAlignment="1">
      <alignment horizontal="center"/>
    </xf>
    <xf numFmtId="168" fontId="0" fillId="3" borderId="0" xfId="0" applyNumberFormat="1" applyFill="1" applyAlignment="1">
      <alignment horizontal="center"/>
    </xf>
    <xf numFmtId="168" fontId="0" fillId="3" borderId="22" xfId="0" applyNumberFormat="1" applyFill="1" applyBorder="1" applyAlignment="1">
      <alignment horizontal="center"/>
    </xf>
    <xf numFmtId="171" fontId="0" fillId="3" borderId="28" xfId="1" applyNumberFormat="1" applyFont="1" applyFill="1" applyBorder="1" applyAlignment="1">
      <alignment horizontal="center"/>
    </xf>
    <xf numFmtId="9" fontId="0" fillId="3" borderId="21" xfId="2" applyFont="1" applyFill="1" applyBorder="1" applyAlignment="1">
      <alignment horizontal="center"/>
    </xf>
    <xf numFmtId="9" fontId="0" fillId="3" borderId="22" xfId="2" applyFont="1" applyFill="1" applyBorder="1" applyAlignment="1">
      <alignment horizontal="center"/>
    </xf>
    <xf numFmtId="9" fontId="3" fillId="3" borderId="23" xfId="2" applyFont="1" applyFill="1" applyBorder="1" applyAlignment="1">
      <alignment horizontal="center"/>
    </xf>
    <xf numFmtId="9" fontId="3" fillId="3" borderId="24" xfId="2" applyFont="1" applyFill="1" applyBorder="1" applyAlignment="1">
      <alignment horizontal="center"/>
    </xf>
    <xf numFmtId="10" fontId="22" fillId="3" borderId="0" xfId="0" applyNumberFormat="1" applyFont="1" applyFill="1"/>
    <xf numFmtId="171" fontId="14" fillId="3" borderId="0" xfId="0" applyNumberFormat="1" applyFont="1" applyFill="1" applyAlignment="1">
      <alignment horizontal="center"/>
    </xf>
    <xf numFmtId="171" fontId="14" fillId="3" borderId="5" xfId="0" applyNumberFormat="1" applyFont="1" applyFill="1" applyBorder="1" applyAlignment="1">
      <alignment horizontal="center"/>
    </xf>
    <xf numFmtId="171" fontId="14" fillId="3" borderId="9" xfId="0" applyNumberFormat="1" applyFont="1" applyFill="1" applyBorder="1" applyAlignment="1">
      <alignment horizontal="center"/>
    </xf>
    <xf numFmtId="171" fontId="14" fillId="3" borderId="10" xfId="0" applyNumberFormat="1" applyFont="1" applyFill="1" applyBorder="1" applyAlignment="1">
      <alignment horizontal="center"/>
    </xf>
    <xf numFmtId="171" fontId="3" fillId="3" borderId="2" xfId="0" applyNumberFormat="1" applyFont="1" applyFill="1" applyBorder="1" applyAlignment="1">
      <alignment horizontal="center"/>
    </xf>
    <xf numFmtId="171" fontId="3" fillId="3" borderId="14" xfId="0" applyNumberFormat="1" applyFont="1" applyFill="1" applyBorder="1" applyAlignment="1">
      <alignment horizontal="center"/>
    </xf>
    <xf numFmtId="171" fontId="14" fillId="3" borderId="2" xfId="0" applyNumberFormat="1" applyFont="1" applyFill="1" applyBorder="1" applyAlignment="1">
      <alignment horizontal="center"/>
    </xf>
    <xf numFmtId="171" fontId="14" fillId="3" borderId="3" xfId="0" applyNumberFormat="1" applyFont="1" applyFill="1" applyBorder="1" applyAlignment="1">
      <alignment horizontal="center"/>
    </xf>
    <xf numFmtId="171" fontId="14" fillId="3" borderId="14" xfId="0" applyNumberFormat="1" applyFont="1" applyFill="1" applyBorder="1" applyAlignment="1">
      <alignment horizontal="center"/>
    </xf>
    <xf numFmtId="171" fontId="14" fillId="3" borderId="15" xfId="0" applyNumberFormat="1" applyFont="1" applyFill="1" applyBorder="1" applyAlignment="1">
      <alignment horizontal="center"/>
    </xf>
    <xf numFmtId="171" fontId="3" fillId="3" borderId="9" xfId="0" applyNumberFormat="1" applyFont="1" applyFill="1" applyBorder="1" applyAlignment="1">
      <alignment horizontal="center"/>
    </xf>
    <xf numFmtId="171" fontId="3" fillId="3" borderId="10" xfId="0" applyNumberFormat="1" applyFont="1" applyFill="1" applyBorder="1" applyAlignment="1">
      <alignment horizontal="center"/>
    </xf>
    <xf numFmtId="171" fontId="22" fillId="3" borderId="0" xfId="0" applyNumberFormat="1" applyFont="1" applyFill="1"/>
    <xf numFmtId="0" fontId="24" fillId="3" borderId="0" xfId="0" applyFont="1" applyFill="1"/>
    <xf numFmtId="0" fontId="0" fillId="3" borderId="0" xfId="0" applyFill="1" applyAlignment="1">
      <alignment horizontal="left" indent="1"/>
    </xf>
    <xf numFmtId="171" fontId="14" fillId="3" borderId="34" xfId="0" applyNumberFormat="1" applyFont="1" applyFill="1" applyBorder="1" applyAlignment="1">
      <alignment horizontal="center"/>
    </xf>
    <xf numFmtId="171" fontId="14" fillId="3" borderId="22" xfId="0" applyNumberFormat="1" applyFont="1" applyFill="1" applyBorder="1" applyAlignment="1">
      <alignment horizontal="center"/>
    </xf>
    <xf numFmtId="171" fontId="28" fillId="3" borderId="15" xfId="0" applyNumberFormat="1" applyFont="1" applyFill="1" applyBorder="1" applyAlignment="1">
      <alignment horizontal="center"/>
    </xf>
    <xf numFmtId="171" fontId="28" fillId="3" borderId="10" xfId="0" applyNumberFormat="1" applyFont="1" applyFill="1" applyBorder="1" applyAlignment="1">
      <alignment horizontal="center"/>
    </xf>
    <xf numFmtId="0" fontId="22" fillId="3" borderId="21" xfId="0" applyFont="1" applyFill="1" applyBorder="1"/>
    <xf numFmtId="2" fontId="22" fillId="3" borderId="0" xfId="0" applyNumberFormat="1" applyFont="1" applyFill="1"/>
    <xf numFmtId="0" fontId="0" fillId="3" borderId="19" xfId="0" applyFill="1" applyBorder="1"/>
    <xf numFmtId="171" fontId="14" fillId="3" borderId="12" xfId="0" applyNumberFormat="1" applyFont="1" applyFill="1" applyBorder="1" applyAlignment="1">
      <alignment horizontal="center"/>
    </xf>
    <xf numFmtId="0" fontId="22" fillId="3" borderId="19" xfId="0" applyFont="1" applyFill="1" applyBorder="1"/>
    <xf numFmtId="171" fontId="0" fillId="3" borderId="0" xfId="0" applyNumberFormat="1" applyFill="1"/>
    <xf numFmtId="171" fontId="14" fillId="3" borderId="21" xfId="0" applyNumberFormat="1" applyFont="1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36" fillId="9" borderId="1" xfId="0" applyFont="1" applyFill="1" applyBorder="1" applyAlignment="1">
      <alignment horizontal="left" vertical="center"/>
    </xf>
    <xf numFmtId="0" fontId="2" fillId="9" borderId="3" xfId="0" applyFont="1" applyFill="1" applyBorder="1"/>
    <xf numFmtId="0" fontId="2" fillId="9" borderId="2" xfId="0" applyFont="1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vertical="center" textRotation="90" wrapText="1"/>
    </xf>
    <xf numFmtId="9" fontId="0" fillId="0" borderId="0" xfId="0" applyNumberFormat="1" applyAlignment="1">
      <alignment horizontal="center"/>
    </xf>
    <xf numFmtId="9" fontId="14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Continuous" vertical="center"/>
    </xf>
    <xf numFmtId="10" fontId="0" fillId="2" borderId="35" xfId="0" applyNumberFormat="1" applyFill="1" applyBorder="1"/>
    <xf numFmtId="171" fontId="3" fillId="3" borderId="38" xfId="0" applyNumberFormat="1" applyFont="1" applyFill="1" applyBorder="1" applyAlignment="1">
      <alignment horizontal="center"/>
    </xf>
    <xf numFmtId="171" fontId="14" fillId="3" borderId="44" xfId="0" applyNumberFormat="1" applyFont="1" applyFill="1" applyBorder="1" applyAlignment="1">
      <alignment horizontal="center"/>
    </xf>
    <xf numFmtId="168" fontId="0" fillId="3" borderId="10" xfId="0" applyNumberFormat="1" applyFill="1" applyBorder="1" applyAlignment="1">
      <alignment horizontal="center"/>
    </xf>
    <xf numFmtId="0" fontId="22" fillId="3" borderId="22" xfId="0" applyFont="1" applyFill="1" applyBorder="1"/>
    <xf numFmtId="0" fontId="22" fillId="3" borderId="0" xfId="0" applyFont="1" applyFill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12" fillId="3" borderId="0" xfId="0" applyFont="1" applyFill="1"/>
    <xf numFmtId="168" fontId="12" fillId="3" borderId="0" xfId="2" applyNumberFormat="1" applyFont="1" applyFill="1" applyBorder="1" applyAlignment="1">
      <alignment horizontal="right"/>
    </xf>
    <xf numFmtId="0" fontId="0" fillId="3" borderId="36" xfId="0" applyFill="1" applyBorder="1" applyAlignment="1">
      <alignment horizontal="center"/>
    </xf>
    <xf numFmtId="0" fontId="0" fillId="2" borderId="51" xfId="0" applyFill="1" applyBorder="1"/>
    <xf numFmtId="0" fontId="8" fillId="5" borderId="28" xfId="0" applyFont="1" applyFill="1" applyBorder="1" applyAlignment="1">
      <alignment horizontal="centerContinuous" vertical="center"/>
    </xf>
    <xf numFmtId="0" fontId="8" fillId="5" borderId="29" xfId="0" applyFont="1" applyFill="1" applyBorder="1" applyAlignment="1">
      <alignment horizontal="centerContinuous" vertical="center"/>
    </xf>
    <xf numFmtId="0" fontId="8" fillId="5" borderId="41" xfId="0" applyFont="1" applyFill="1" applyBorder="1" applyAlignment="1">
      <alignment horizontal="centerContinuous" vertical="center"/>
    </xf>
    <xf numFmtId="0" fontId="3" fillId="5" borderId="21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5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6" fillId="4" borderId="28" xfId="0" applyFont="1" applyFill="1" applyBorder="1"/>
    <xf numFmtId="0" fontId="6" fillId="4" borderId="29" xfId="0" applyFont="1" applyFill="1" applyBorder="1"/>
    <xf numFmtId="0" fontId="6" fillId="4" borderId="41" xfId="0" applyFont="1" applyFill="1" applyBorder="1"/>
    <xf numFmtId="0" fontId="8" fillId="5" borderId="30" xfId="0" applyFont="1" applyFill="1" applyBorder="1" applyAlignment="1">
      <alignment horizontal="centerContinuous" vertical="center"/>
    </xf>
    <xf numFmtId="0" fontId="0" fillId="5" borderId="24" xfId="0" applyFill="1" applyBorder="1" applyAlignment="1">
      <alignment horizontal="center"/>
    </xf>
    <xf numFmtId="0" fontId="6" fillId="4" borderId="21" xfId="0" applyFont="1" applyFill="1" applyBorder="1"/>
    <xf numFmtId="0" fontId="22" fillId="3" borderId="48" xfId="0" applyFont="1" applyFill="1" applyBorder="1"/>
    <xf numFmtId="171" fontId="14" fillId="3" borderId="23" xfId="0" applyNumberFormat="1" applyFont="1" applyFill="1" applyBorder="1" applyAlignment="1">
      <alignment horizontal="center"/>
    </xf>
    <xf numFmtId="171" fontId="14" fillId="3" borderId="20" xfId="0" applyNumberFormat="1" applyFont="1" applyFill="1" applyBorder="1" applyAlignment="1">
      <alignment horizontal="center"/>
    </xf>
    <xf numFmtId="171" fontId="14" fillId="3" borderId="24" xfId="0" applyNumberFormat="1" applyFont="1" applyFill="1" applyBorder="1" applyAlignment="1">
      <alignment horizontal="center"/>
    </xf>
    <xf numFmtId="171" fontId="28" fillId="3" borderId="0" xfId="0" applyNumberFormat="1" applyFont="1" applyFill="1" applyAlignment="1">
      <alignment horizontal="center"/>
    </xf>
    <xf numFmtId="0" fontId="0" fillId="0" borderId="0" xfId="0" applyAlignment="1">
      <alignment horizontal="left" indent="1"/>
    </xf>
    <xf numFmtId="168" fontId="33" fillId="0" borderId="0" xfId="0" applyNumberFormat="1" applyFont="1"/>
    <xf numFmtId="0" fontId="29" fillId="12" borderId="25" xfId="0" applyFont="1" applyFill="1" applyBorder="1"/>
    <xf numFmtId="0" fontId="29" fillId="12" borderId="26" xfId="0" applyFont="1" applyFill="1" applyBorder="1"/>
    <xf numFmtId="0" fontId="29" fillId="12" borderId="27" xfId="0" applyFont="1" applyFill="1" applyBorder="1"/>
    <xf numFmtId="0" fontId="0" fillId="3" borderId="28" xfId="0" applyFill="1" applyBorder="1"/>
    <xf numFmtId="171" fontId="28" fillId="3" borderId="34" xfId="0" applyNumberFormat="1" applyFont="1" applyFill="1" applyBorder="1" applyAlignment="1">
      <alignment horizontal="center"/>
    </xf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168" fontId="16" fillId="3" borderId="22" xfId="2" applyNumberFormat="1" applyFont="1" applyFill="1" applyBorder="1" applyAlignment="1">
      <alignment horizontal="center"/>
    </xf>
    <xf numFmtId="10" fontId="22" fillId="3" borderId="21" xfId="0" applyNumberFormat="1" applyFont="1" applyFill="1" applyBorder="1"/>
    <xf numFmtId="10" fontId="22" fillId="3" borderId="22" xfId="0" applyNumberFormat="1" applyFont="1" applyFill="1" applyBorder="1"/>
    <xf numFmtId="0" fontId="0" fillId="3" borderId="45" xfId="0" applyFill="1" applyBorder="1"/>
    <xf numFmtId="0" fontId="28" fillId="7" borderId="20" xfId="0" applyFont="1" applyFill="1" applyBorder="1"/>
    <xf numFmtId="171" fontId="3" fillId="3" borderId="20" xfId="0" applyNumberFormat="1" applyFont="1" applyFill="1" applyBorder="1" applyAlignment="1">
      <alignment horizontal="center"/>
    </xf>
    <xf numFmtId="0" fontId="0" fillId="2" borderId="4" xfId="0" applyFill="1" applyBorder="1"/>
    <xf numFmtId="0" fontId="2" fillId="2" borderId="0" xfId="0" applyFont="1" applyFill="1"/>
    <xf numFmtId="0" fontId="0" fillId="2" borderId="5" xfId="0" applyFill="1" applyBorder="1"/>
    <xf numFmtId="171" fontId="28" fillId="3" borderId="44" xfId="0" applyNumberFormat="1" applyFont="1" applyFill="1" applyBorder="1" applyAlignment="1">
      <alignment horizontal="center"/>
    </xf>
    <xf numFmtId="171" fontId="28" fillId="3" borderId="23" xfId="0" applyNumberFormat="1" applyFont="1" applyFill="1" applyBorder="1" applyAlignment="1">
      <alignment horizontal="center"/>
    </xf>
    <xf numFmtId="171" fontId="3" fillId="3" borderId="24" xfId="0" applyNumberFormat="1" applyFont="1" applyFill="1" applyBorder="1" applyAlignment="1">
      <alignment horizontal="center"/>
    </xf>
    <xf numFmtId="0" fontId="0" fillId="5" borderId="28" xfId="0" applyFill="1" applyBorder="1"/>
    <xf numFmtId="0" fontId="0" fillId="5" borderId="29" xfId="0" applyFill="1" applyBorder="1"/>
    <xf numFmtId="0" fontId="0" fillId="3" borderId="29" xfId="0" quotePrefix="1" applyFill="1" applyBorder="1" applyAlignment="1">
      <alignment horizontal="left" indent="1"/>
    </xf>
    <xf numFmtId="0" fontId="16" fillId="3" borderId="20" xfId="0" applyFont="1" applyFill="1" applyBorder="1"/>
    <xf numFmtId="0" fontId="0" fillId="2" borderId="1" xfId="0" applyFill="1" applyBorder="1"/>
    <xf numFmtId="0" fontId="4" fillId="2" borderId="2" xfId="0" applyFont="1" applyFill="1" applyBorder="1"/>
    <xf numFmtId="0" fontId="0" fillId="2" borderId="3" xfId="0" applyFill="1" applyBorder="1"/>
    <xf numFmtId="171" fontId="3" fillId="3" borderId="23" xfId="0" applyNumberFormat="1" applyFont="1" applyFill="1" applyBorder="1" applyAlignment="1">
      <alignment horizontal="center"/>
    </xf>
    <xf numFmtId="0" fontId="3" fillId="5" borderId="26" xfId="0" applyFont="1" applyFill="1" applyBorder="1"/>
    <xf numFmtId="0" fontId="3" fillId="5" borderId="25" xfId="0" applyFont="1" applyFill="1" applyBorder="1"/>
    <xf numFmtId="0" fontId="27" fillId="0" borderId="0" xfId="0" applyFont="1"/>
    <xf numFmtId="171" fontId="0" fillId="3" borderId="38" xfId="0" applyNumberFormat="1" applyFill="1" applyBorder="1" applyAlignment="1">
      <alignment horizontal="center"/>
    </xf>
    <xf numFmtId="168" fontId="6" fillId="0" borderId="0" xfId="0" applyNumberFormat="1" applyFont="1"/>
    <xf numFmtId="0" fontId="3" fillId="0" borderId="29" xfId="0" applyFont="1" applyBorder="1"/>
    <xf numFmtId="10" fontId="0" fillId="0" borderId="29" xfId="0" applyNumberFormat="1" applyBorder="1"/>
    <xf numFmtId="10" fontId="0" fillId="0" borderId="30" xfId="0" applyNumberFormat="1" applyBorder="1"/>
    <xf numFmtId="168" fontId="0" fillId="0" borderId="0" xfId="0" applyNumberFormat="1" applyAlignment="1">
      <alignment horizontal="center"/>
    </xf>
    <xf numFmtId="168" fontId="0" fillId="0" borderId="22" xfId="0" applyNumberFormat="1" applyBorder="1" applyAlignment="1">
      <alignment horizontal="center"/>
    </xf>
    <xf numFmtId="10" fontId="3" fillId="0" borderId="24" xfId="0" applyNumberFormat="1" applyFont="1" applyBorder="1"/>
    <xf numFmtId="173" fontId="0" fillId="3" borderId="21" xfId="0" applyNumberFormat="1" applyFill="1" applyBorder="1"/>
    <xf numFmtId="173" fontId="3" fillId="3" borderId="21" xfId="0" applyNumberFormat="1" applyFont="1" applyFill="1" applyBorder="1"/>
    <xf numFmtId="176" fontId="27" fillId="8" borderId="21" xfId="0" applyNumberFormat="1" applyFont="1" applyFill="1" applyBorder="1"/>
    <xf numFmtId="176" fontId="27" fillId="3" borderId="21" xfId="0" applyNumberFormat="1" applyFont="1" applyFill="1" applyBorder="1"/>
    <xf numFmtId="176" fontId="28" fillId="3" borderId="21" xfId="0" applyNumberFormat="1" applyFont="1" applyFill="1" applyBorder="1"/>
    <xf numFmtId="173" fontId="28" fillId="3" borderId="21" xfId="0" applyNumberFormat="1" applyFont="1" applyFill="1" applyBorder="1"/>
    <xf numFmtId="173" fontId="34" fillId="3" borderId="21" xfId="0" applyNumberFormat="1" applyFont="1" applyFill="1" applyBorder="1"/>
    <xf numFmtId="176" fontId="0" fillId="3" borderId="21" xfId="0" applyNumberFormat="1" applyFill="1" applyBorder="1"/>
    <xf numFmtId="176" fontId="3" fillId="3" borderId="21" xfId="0" applyNumberFormat="1" applyFont="1" applyFill="1" applyBorder="1"/>
    <xf numFmtId="0" fontId="3" fillId="11" borderId="28" xfId="0" applyFont="1" applyFill="1" applyBorder="1"/>
    <xf numFmtId="0" fontId="0" fillId="11" borderId="29" xfId="0" applyFill="1" applyBorder="1"/>
    <xf numFmtId="0" fontId="0" fillId="11" borderId="28" xfId="0" applyFill="1" applyBorder="1"/>
    <xf numFmtId="0" fontId="0" fillId="11" borderId="30" xfId="0" applyFill="1" applyBorder="1"/>
    <xf numFmtId="0" fontId="3" fillId="11" borderId="21" xfId="0" applyFont="1" applyFill="1" applyBorder="1"/>
    <xf numFmtId="0" fontId="0" fillId="11" borderId="21" xfId="0" applyFill="1" applyBorder="1"/>
    <xf numFmtId="0" fontId="0" fillId="11" borderId="22" xfId="0" applyFill="1" applyBorder="1"/>
    <xf numFmtId="168" fontId="0" fillId="11" borderId="29" xfId="0" applyNumberFormat="1" applyFill="1" applyBorder="1"/>
    <xf numFmtId="0" fontId="15" fillId="0" borderId="21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15" fillId="11" borderId="28" xfId="0" applyFont="1" applyFill="1" applyBorder="1"/>
    <xf numFmtId="173" fontId="3" fillId="11" borderId="0" xfId="0" applyNumberFormat="1" applyFont="1" applyFill="1"/>
    <xf numFmtId="173" fontId="3" fillId="11" borderId="21" xfId="0" applyNumberFormat="1" applyFont="1" applyFill="1" applyBorder="1"/>
    <xf numFmtId="173" fontId="3" fillId="11" borderId="22" xfId="0" applyNumberFormat="1" applyFont="1" applyFill="1" applyBorder="1"/>
    <xf numFmtId="176" fontId="0" fillId="0" borderId="21" xfId="0" applyNumberFormat="1" applyBorder="1"/>
    <xf numFmtId="168" fontId="15" fillId="0" borderId="21" xfId="0" applyNumberFormat="1" applyFont="1" applyBorder="1"/>
    <xf numFmtId="0" fontId="2" fillId="6" borderId="28" xfId="0" applyFont="1" applyFill="1" applyBorder="1"/>
    <xf numFmtId="0" fontId="2" fillId="6" borderId="29" xfId="0" applyFont="1" applyFill="1" applyBorder="1" applyAlignment="1">
      <alignment horizontal="center"/>
    </xf>
    <xf numFmtId="0" fontId="39" fillId="0" borderId="0" xfId="0" applyFont="1" applyAlignment="1">
      <alignment vertical="top"/>
    </xf>
    <xf numFmtId="166" fontId="0" fillId="0" borderId="0" xfId="1" applyFont="1"/>
    <xf numFmtId="10" fontId="0" fillId="0" borderId="0" xfId="2" applyNumberFormat="1" applyFont="1"/>
    <xf numFmtId="173" fontId="27" fillId="0" borderId="0" xfId="0" applyNumberFormat="1" applyFont="1"/>
    <xf numFmtId="164" fontId="0" fillId="0" borderId="0" xfId="0" applyNumberFormat="1"/>
    <xf numFmtId="185" fontId="0" fillId="0" borderId="0" xfId="0" applyNumberFormat="1"/>
    <xf numFmtId="171" fontId="0" fillId="3" borderId="2" xfId="0" applyNumberFormat="1" applyFill="1" applyBorder="1"/>
    <xf numFmtId="171" fontId="34" fillId="3" borderId="54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2" fillId="3" borderId="5" xfId="0" applyFont="1" applyFill="1" applyBorder="1"/>
    <xf numFmtId="0" fontId="22" fillId="3" borderId="4" xfId="0" applyFont="1" applyFill="1" applyBorder="1"/>
    <xf numFmtId="173" fontId="12" fillId="3" borderId="0" xfId="2" applyNumberFormat="1" applyFont="1" applyFill="1" applyBorder="1" applyAlignment="1">
      <alignment horizontal="right"/>
    </xf>
    <xf numFmtId="0" fontId="3" fillId="3" borderId="25" xfId="0" applyFont="1" applyFill="1" applyBorder="1"/>
    <xf numFmtId="0" fontId="3" fillId="0" borderId="26" xfId="0" applyFont="1" applyBorder="1"/>
    <xf numFmtId="166" fontId="0" fillId="0" borderId="0" xfId="0" applyNumberFormat="1"/>
    <xf numFmtId="0" fontId="6" fillId="13" borderId="28" xfId="0" applyFont="1" applyFill="1" applyBorder="1" applyAlignment="1">
      <alignment horizontal="left" vertical="center"/>
    </xf>
    <xf numFmtId="0" fontId="6" fillId="13" borderId="29" xfId="0" applyFont="1" applyFill="1" applyBorder="1" applyAlignment="1">
      <alignment horizontal="center" vertical="center"/>
    </xf>
    <xf numFmtId="0" fontId="6" fillId="13" borderId="30" xfId="0" applyFont="1" applyFill="1" applyBorder="1" applyAlignment="1">
      <alignment horizontal="center" vertical="center" wrapText="1"/>
    </xf>
    <xf numFmtId="0" fontId="6" fillId="13" borderId="25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3" borderId="27" xfId="0" applyFont="1" applyFill="1" applyBorder="1" applyAlignment="1">
      <alignment horizontal="center" vertical="center" wrapText="1"/>
    </xf>
    <xf numFmtId="0" fontId="6" fillId="12" borderId="27" xfId="0" applyFont="1" applyFill="1" applyBorder="1"/>
    <xf numFmtId="0" fontId="34" fillId="0" borderId="0" xfId="0" applyFont="1"/>
    <xf numFmtId="173" fontId="34" fillId="0" borderId="0" xfId="0" applyNumberFormat="1" applyFont="1"/>
    <xf numFmtId="168" fontId="27" fillId="0" borderId="0" xfId="0" applyNumberFormat="1" applyFont="1"/>
    <xf numFmtId="171" fontId="13" fillId="3" borderId="0" xfId="0" applyNumberFormat="1" applyFont="1" applyFill="1" applyAlignment="1">
      <alignment horizontal="center"/>
    </xf>
    <xf numFmtId="171" fontId="13" fillId="3" borderId="5" xfId="0" applyNumberFormat="1" applyFont="1" applyFill="1" applyBorder="1" applyAlignment="1">
      <alignment horizontal="center"/>
    </xf>
    <xf numFmtId="171" fontId="13" fillId="3" borderId="9" xfId="0" applyNumberFormat="1" applyFont="1" applyFill="1" applyBorder="1" applyAlignment="1">
      <alignment horizontal="center"/>
    </xf>
    <xf numFmtId="171" fontId="13" fillId="3" borderId="10" xfId="0" applyNumberFormat="1" applyFont="1" applyFill="1" applyBorder="1" applyAlignment="1">
      <alignment horizontal="center"/>
    </xf>
    <xf numFmtId="0" fontId="3" fillId="3" borderId="0" xfId="0" quotePrefix="1" applyFont="1" applyFill="1" applyAlignment="1">
      <alignment horizontal="left" indent="1"/>
    </xf>
    <xf numFmtId="0" fontId="4" fillId="6" borderId="0" xfId="0" applyFont="1" applyFill="1" applyAlignment="1">
      <alignment horizontal="center"/>
    </xf>
    <xf numFmtId="0" fontId="0" fillId="3" borderId="38" xfId="0" applyFill="1" applyBorder="1" applyAlignment="1">
      <alignment horizontal="center"/>
    </xf>
    <xf numFmtId="168" fontId="0" fillId="3" borderId="38" xfId="2" applyNumberFormat="1" applyFont="1" applyFill="1" applyBorder="1" applyAlignment="1">
      <alignment horizontal="center"/>
    </xf>
    <xf numFmtId="168" fontId="3" fillId="3" borderId="38" xfId="2" applyNumberFormat="1" applyFont="1" applyFill="1" applyBorder="1" applyAlignment="1">
      <alignment horizontal="center"/>
    </xf>
    <xf numFmtId="168" fontId="0" fillId="3" borderId="38" xfId="0" applyNumberFormat="1" applyFill="1" applyBorder="1" applyAlignment="1">
      <alignment horizontal="center"/>
    </xf>
    <xf numFmtId="168" fontId="3" fillId="3" borderId="39" xfId="2" applyNumberFormat="1" applyFont="1" applyFill="1" applyBorder="1" applyAlignment="1">
      <alignment horizontal="center"/>
    </xf>
    <xf numFmtId="173" fontId="0" fillId="0" borderId="21" xfId="0" quotePrefix="1" applyNumberFormat="1" applyBorder="1"/>
    <xf numFmtId="43" fontId="0" fillId="0" borderId="21" xfId="0" applyNumberFormat="1" applyBorder="1" applyAlignment="1">
      <alignment horizontal="left"/>
    </xf>
    <xf numFmtId="173" fontId="39" fillId="0" borderId="21" xfId="0" applyNumberFormat="1" applyFont="1" applyBorder="1"/>
    <xf numFmtId="173" fontId="39" fillId="0" borderId="0" xfId="0" applyNumberFormat="1" applyFont="1"/>
    <xf numFmtId="173" fontId="0" fillId="0" borderId="23" xfId="0" applyNumberFormat="1" applyBorder="1"/>
    <xf numFmtId="173" fontId="0" fillId="0" borderId="24" xfId="0" applyNumberFormat="1" applyBorder="1"/>
    <xf numFmtId="0" fontId="27" fillId="0" borderId="20" xfId="0" applyFont="1" applyBorder="1"/>
    <xf numFmtId="173" fontId="15" fillId="11" borderId="25" xfId="0" applyNumberFormat="1" applyFont="1" applyFill="1" applyBorder="1"/>
    <xf numFmtId="0" fontId="0" fillId="11" borderId="26" xfId="0" applyFill="1" applyBorder="1"/>
    <xf numFmtId="173" fontId="27" fillId="11" borderId="26" xfId="0" applyNumberFormat="1" applyFont="1" applyFill="1" applyBorder="1"/>
    <xf numFmtId="173" fontId="34" fillId="11" borderId="26" xfId="0" applyNumberFormat="1" applyFont="1" applyFill="1" applyBorder="1"/>
    <xf numFmtId="0" fontId="0" fillId="11" borderId="27" xfId="0" applyFill="1" applyBorder="1"/>
    <xf numFmtId="173" fontId="15" fillId="0" borderId="21" xfId="0" applyNumberFormat="1" applyFont="1" applyBorder="1"/>
    <xf numFmtId="43" fontId="15" fillId="0" borderId="21" xfId="0" applyNumberFormat="1" applyFont="1" applyBorder="1" applyAlignment="1">
      <alignment horizontal="left"/>
    </xf>
    <xf numFmtId="43" fontId="15" fillId="0" borderId="23" xfId="0" applyNumberFormat="1" applyFont="1" applyBorder="1" applyAlignment="1">
      <alignment horizontal="left"/>
    </xf>
    <xf numFmtId="186" fontId="27" fillId="0" borderId="21" xfId="0" applyNumberFormat="1" applyFont="1" applyBorder="1"/>
    <xf numFmtId="43" fontId="0" fillId="0" borderId="21" xfId="0" applyNumberFormat="1" applyBorder="1"/>
    <xf numFmtId="0" fontId="6" fillId="8" borderId="0" xfId="0" applyFont="1" applyFill="1"/>
    <xf numFmtId="0" fontId="9" fillId="8" borderId="0" xfId="0" applyFont="1" applyFill="1" applyAlignment="1">
      <alignment horizontal="centerContinuous" vertical="center"/>
    </xf>
    <xf numFmtId="0" fontId="3" fillId="8" borderId="0" xfId="0" applyFont="1" applyFill="1" applyAlignment="1">
      <alignment horizontal="center"/>
    </xf>
    <xf numFmtId="171" fontId="14" fillId="8" borderId="0" xfId="0" applyNumberFormat="1" applyFont="1" applyFill="1" applyAlignment="1">
      <alignment horizontal="center"/>
    </xf>
    <xf numFmtId="171" fontId="3" fillId="8" borderId="0" xfId="0" applyNumberFormat="1" applyFont="1" applyFill="1" applyAlignment="1">
      <alignment horizontal="center"/>
    </xf>
    <xf numFmtId="0" fontId="22" fillId="8" borderId="0" xfId="0" applyFont="1" applyFill="1"/>
    <xf numFmtId="9" fontId="22" fillId="8" borderId="0" xfId="2" applyFont="1" applyFill="1" applyBorder="1" applyAlignment="1">
      <alignment horizontal="center"/>
    </xf>
    <xf numFmtId="174" fontId="15" fillId="8" borderId="0" xfId="1" applyNumberFormat="1" applyFont="1" applyFill="1" applyBorder="1" applyAlignment="1"/>
    <xf numFmtId="43" fontId="22" fillId="8" borderId="0" xfId="0" applyNumberFormat="1" applyFont="1" applyFill="1"/>
    <xf numFmtId="171" fontId="13" fillId="8" borderId="0" xfId="0" applyNumberFormat="1" applyFont="1" applyFill="1" applyAlignment="1">
      <alignment horizontal="center"/>
    </xf>
    <xf numFmtId="171" fontId="22" fillId="8" borderId="0" xfId="0" applyNumberFormat="1" applyFont="1" applyFill="1"/>
    <xf numFmtId="0" fontId="6" fillId="8" borderId="21" xfId="0" applyFont="1" applyFill="1" applyBorder="1"/>
    <xf numFmtId="0" fontId="3" fillId="8" borderId="21" xfId="0" applyFont="1" applyFill="1" applyBorder="1" applyAlignment="1">
      <alignment horizontal="centerContinuous" vertical="center"/>
    </xf>
    <xf numFmtId="0" fontId="3" fillId="8" borderId="21" xfId="0" applyFont="1" applyFill="1" applyBorder="1" applyAlignment="1">
      <alignment horizontal="center"/>
    </xf>
    <xf numFmtId="171" fontId="14" fillId="8" borderId="21" xfId="0" applyNumberFormat="1" applyFont="1" applyFill="1" applyBorder="1" applyAlignment="1">
      <alignment horizontal="center"/>
    </xf>
    <xf numFmtId="171" fontId="3" fillId="8" borderId="21" xfId="0" applyNumberFormat="1" applyFont="1" applyFill="1" applyBorder="1" applyAlignment="1">
      <alignment horizontal="center"/>
    </xf>
    <xf numFmtId="0" fontId="22" fillId="8" borderId="21" xfId="0" applyFont="1" applyFill="1" applyBorder="1"/>
    <xf numFmtId="174" fontId="15" fillId="8" borderId="21" xfId="1" applyNumberFormat="1" applyFont="1" applyFill="1" applyBorder="1" applyAlignment="1"/>
    <xf numFmtId="171" fontId="13" fillId="8" borderId="21" xfId="0" applyNumberFormat="1" applyFont="1" applyFill="1" applyBorder="1" applyAlignment="1">
      <alignment horizontal="center"/>
    </xf>
    <xf numFmtId="171" fontId="22" fillId="8" borderId="21" xfId="0" applyNumberFormat="1" applyFont="1" applyFill="1" applyBorder="1"/>
    <xf numFmtId="0" fontId="3" fillId="5" borderId="0" xfId="0" applyFont="1" applyFill="1" applyAlignment="1">
      <alignment horizontal="left" vertical="center"/>
    </xf>
    <xf numFmtId="0" fontId="15" fillId="5" borderId="0" xfId="0" applyFont="1" applyFill="1" applyAlignment="1">
      <alignment horizontal="centerContinuous" vertical="center"/>
    </xf>
    <xf numFmtId="0" fontId="15" fillId="5" borderId="1" xfId="0" applyFont="1" applyFill="1" applyBorder="1" applyAlignment="1">
      <alignment horizontal="centerContinuous" vertical="center"/>
    </xf>
    <xf numFmtId="0" fontId="0" fillId="5" borderId="4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3" fillId="8" borderId="29" xfId="0" applyFont="1" applyFill="1" applyBorder="1"/>
    <xf numFmtId="0" fontId="6" fillId="12" borderId="26" xfId="0" applyFont="1" applyFill="1" applyBorder="1"/>
    <xf numFmtId="0" fontId="15" fillId="11" borderId="25" xfId="0" applyFont="1" applyFill="1" applyBorder="1"/>
    <xf numFmtId="0" fontId="3" fillId="8" borderId="21" xfId="0" applyFont="1" applyFill="1" applyBorder="1" applyAlignment="1">
      <alignment horizontal="left" indent="1"/>
    </xf>
    <xf numFmtId="0" fontId="28" fillId="7" borderId="21" xfId="0" applyFont="1" applyFill="1" applyBorder="1" applyAlignment="1">
      <alignment horizontal="left" indent="1"/>
    </xf>
    <xf numFmtId="0" fontId="3" fillId="0" borderId="21" xfId="0" applyFont="1" applyBorder="1" applyAlignment="1">
      <alignment horizontal="left" indent="1"/>
    </xf>
    <xf numFmtId="0" fontId="0" fillId="0" borderId="23" xfId="0" applyBorder="1" applyAlignment="1">
      <alignment horizontal="left" indent="1"/>
    </xf>
    <xf numFmtId="0" fontId="6" fillId="8" borderId="0" xfId="0" applyFont="1" applyFill="1" applyAlignment="1">
      <alignment horizontal="center"/>
    </xf>
    <xf numFmtId="173" fontId="0" fillId="8" borderId="0" xfId="0" applyNumberFormat="1" applyFill="1"/>
    <xf numFmtId="14" fontId="0" fillId="8" borderId="0" xfId="0" applyNumberFormat="1" applyFill="1"/>
    <xf numFmtId="43" fontId="0" fillId="8" borderId="0" xfId="0" applyNumberFormat="1" applyFill="1"/>
    <xf numFmtId="168" fontId="0" fillId="8" borderId="0" xfId="0" applyNumberFormat="1" applyFill="1"/>
    <xf numFmtId="172" fontId="0" fillId="8" borderId="0" xfId="0" applyNumberFormat="1" applyFill="1"/>
    <xf numFmtId="0" fontId="0" fillId="8" borderId="0" xfId="0" applyFill="1" applyAlignment="1">
      <alignment horizontal="right"/>
    </xf>
    <xf numFmtId="173" fontId="3" fillId="8" borderId="0" xfId="0" applyNumberFormat="1" applyFont="1" applyFill="1"/>
    <xf numFmtId="14" fontId="3" fillId="8" borderId="0" xfId="0" applyNumberFormat="1" applyFont="1" applyFill="1"/>
    <xf numFmtId="0" fontId="15" fillId="8" borderId="0" xfId="0" applyFont="1" applyFill="1"/>
    <xf numFmtId="43" fontId="3" fillId="8" borderId="0" xfId="0" applyNumberFormat="1" applyFont="1" applyFill="1" applyAlignment="1">
      <alignment horizontal="right"/>
    </xf>
    <xf numFmtId="10" fontId="3" fillId="8" borderId="0" xfId="0" applyNumberFormat="1" applyFont="1" applyFill="1" applyAlignment="1">
      <alignment horizontal="right"/>
    </xf>
    <xf numFmtId="0" fontId="0" fillId="0" borderId="22" xfId="0" applyBorder="1" applyAlignment="1">
      <alignment horizontal="center"/>
    </xf>
    <xf numFmtId="0" fontId="0" fillId="13" borderId="27" xfId="0" applyFill="1" applyBorder="1"/>
    <xf numFmtId="0" fontId="6" fillId="13" borderId="25" xfId="0" applyFont="1" applyFill="1" applyBorder="1"/>
    <xf numFmtId="0" fontId="6" fillId="13" borderId="28" xfId="0" applyFont="1" applyFill="1" applyBorder="1"/>
    <xf numFmtId="0" fontId="6" fillId="13" borderId="29" xfId="0" applyFont="1" applyFill="1" applyBorder="1"/>
    <xf numFmtId="0" fontId="6" fillId="13" borderId="30" xfId="0" applyFont="1" applyFill="1" applyBorder="1"/>
    <xf numFmtId="167" fontId="3" fillId="3" borderId="22" xfId="0" applyNumberFormat="1" applyFont="1" applyFill="1" applyBorder="1" applyAlignment="1">
      <alignment horizontal="center"/>
    </xf>
    <xf numFmtId="167" fontId="0" fillId="3" borderId="22" xfId="0" applyNumberFormat="1" applyFill="1" applyBorder="1" applyAlignment="1">
      <alignment horizontal="center"/>
    </xf>
    <xf numFmtId="168" fontId="0" fillId="3" borderId="22" xfId="2" applyNumberFormat="1" applyFont="1" applyFill="1" applyBorder="1" applyAlignment="1">
      <alignment horizontal="center" vertical="center"/>
    </xf>
    <xf numFmtId="168" fontId="3" fillId="3" borderId="24" xfId="2" applyNumberFormat="1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/>
    </xf>
    <xf numFmtId="10" fontId="0" fillId="8" borderId="22" xfId="0" applyNumberFormat="1" applyFill="1" applyBorder="1"/>
    <xf numFmtId="167" fontId="0" fillId="3" borderId="21" xfId="0" applyNumberFormat="1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168" fontId="0" fillId="3" borderId="21" xfId="2" applyNumberFormat="1" applyFont="1" applyFill="1" applyBorder="1" applyAlignment="1">
      <alignment horizontal="center" vertical="center"/>
    </xf>
    <xf numFmtId="168" fontId="3" fillId="3" borderId="23" xfId="2" applyNumberFormat="1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/>
    </xf>
    <xf numFmtId="10" fontId="0" fillId="8" borderId="21" xfId="0" applyNumberFormat="1" applyFill="1" applyBorder="1"/>
    <xf numFmtId="167" fontId="3" fillId="3" borderId="21" xfId="0" applyNumberFormat="1" applyFont="1" applyFill="1" applyBorder="1" applyAlignment="1">
      <alignment horizontal="center"/>
    </xf>
    <xf numFmtId="173" fontId="0" fillId="3" borderId="23" xfId="0" applyNumberFormat="1" applyFill="1" applyBorder="1"/>
    <xf numFmtId="168" fontId="0" fillId="3" borderId="23" xfId="0" applyNumberFormat="1" applyFill="1" applyBorder="1"/>
    <xf numFmtId="0" fontId="27" fillId="3" borderId="21" xfId="0" applyFont="1" applyFill="1" applyBorder="1"/>
    <xf numFmtId="0" fontId="4" fillId="6" borderId="23" xfId="0" applyFont="1" applyFill="1" applyBorder="1"/>
    <xf numFmtId="0" fontId="4" fillId="6" borderId="20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0" fontId="4" fillId="6" borderId="21" xfId="0" applyFont="1" applyFill="1" applyBorder="1"/>
    <xf numFmtId="0" fontId="0" fillId="8" borderId="37" xfId="0" applyFill="1" applyBorder="1"/>
    <xf numFmtId="0" fontId="0" fillId="8" borderId="38" xfId="0" applyFill="1" applyBorder="1" applyAlignment="1">
      <alignment horizontal="center"/>
    </xf>
    <xf numFmtId="168" fontId="12" fillId="8" borderId="38" xfId="0" applyNumberFormat="1" applyFont="1" applyFill="1" applyBorder="1" applyAlignment="1">
      <alignment horizontal="center"/>
    </xf>
    <xf numFmtId="10" fontId="0" fillId="8" borderId="38" xfId="0" applyNumberFormat="1" applyFill="1" applyBorder="1"/>
    <xf numFmtId="0" fontId="0" fillId="8" borderId="39" xfId="0" applyFill="1" applyBorder="1"/>
    <xf numFmtId="0" fontId="4" fillId="6" borderId="37" xfId="0" applyFont="1" applyFill="1" applyBorder="1" applyAlignment="1">
      <alignment horizontal="center"/>
    </xf>
    <xf numFmtId="0" fontId="1" fillId="2" borderId="38" xfId="2" applyNumberFormat="1" applyFont="1" applyFill="1" applyBorder="1"/>
    <xf numFmtId="167" fontId="0" fillId="3" borderId="38" xfId="0" applyNumberFormat="1" applyFill="1" applyBorder="1"/>
    <xf numFmtId="167" fontId="4" fillId="2" borderId="38" xfId="0" applyNumberFormat="1" applyFont="1" applyFill="1" applyBorder="1" applyAlignment="1">
      <alignment horizontal="center"/>
    </xf>
    <xf numFmtId="167" fontId="3" fillId="3" borderId="38" xfId="0" applyNumberFormat="1" applyFont="1" applyFill="1" applyBorder="1" applyAlignment="1">
      <alignment horizontal="center"/>
    </xf>
    <xf numFmtId="167" fontId="2" fillId="2" borderId="38" xfId="0" applyNumberFormat="1" applyFont="1" applyFill="1" applyBorder="1" applyAlignment="1">
      <alignment horizontal="center"/>
    </xf>
    <xf numFmtId="9" fontId="0" fillId="3" borderId="38" xfId="2" applyFont="1" applyFill="1" applyBorder="1"/>
    <xf numFmtId="0" fontId="1" fillId="2" borderId="21" xfId="2" applyNumberFormat="1" applyFont="1" applyFill="1" applyBorder="1"/>
    <xf numFmtId="0" fontId="1" fillId="2" borderId="22" xfId="2" applyNumberFormat="1" applyFont="1" applyFill="1" applyBorder="1"/>
    <xf numFmtId="167" fontId="4" fillId="2" borderId="21" xfId="0" applyNumberFormat="1" applyFont="1" applyFill="1" applyBorder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167" fontId="2" fillId="2" borderId="21" xfId="0" applyNumberFormat="1" applyFont="1" applyFill="1" applyBorder="1" applyAlignment="1">
      <alignment horizontal="center"/>
    </xf>
    <xf numFmtId="167" fontId="2" fillId="2" borderId="22" xfId="0" applyNumberFormat="1" applyFont="1" applyFill="1" applyBorder="1" applyAlignment="1">
      <alignment horizontal="center"/>
    </xf>
    <xf numFmtId="9" fontId="0" fillId="3" borderId="21" xfId="2" applyFont="1" applyFill="1" applyBorder="1"/>
    <xf numFmtId="9" fontId="0" fillId="3" borderId="22" xfId="2" applyFont="1" applyFill="1" applyBorder="1"/>
    <xf numFmtId="169" fontId="0" fillId="3" borderId="22" xfId="0" applyNumberFormat="1" applyFill="1" applyBorder="1" applyAlignment="1">
      <alignment horizontal="center"/>
    </xf>
    <xf numFmtId="169" fontId="0" fillId="3" borderId="21" xfId="0" applyNumberFormat="1" applyFill="1" applyBorder="1" applyAlignment="1">
      <alignment horizontal="center"/>
    </xf>
    <xf numFmtId="173" fontId="3" fillId="0" borderId="21" xfId="0" applyNumberFormat="1" applyFont="1" applyBorder="1" applyAlignment="1">
      <alignment horizontal="center"/>
    </xf>
    <xf numFmtId="173" fontId="3" fillId="0" borderId="22" xfId="0" applyNumberFormat="1" applyFont="1" applyBorder="1" applyAlignment="1">
      <alignment horizontal="center"/>
    </xf>
    <xf numFmtId="0" fontId="29" fillId="8" borderId="0" xfId="0" applyFont="1" applyFill="1" applyAlignment="1">
      <alignment horizontal="center"/>
    </xf>
    <xf numFmtId="173" fontId="0" fillId="8" borderId="0" xfId="0" applyNumberFormat="1" applyFill="1" applyAlignment="1">
      <alignment horizontal="center"/>
    </xf>
    <xf numFmtId="10" fontId="15" fillId="8" borderId="0" xfId="0" applyNumberFormat="1" applyFont="1" applyFill="1"/>
    <xf numFmtId="0" fontId="29" fillId="8" borderId="0" xfId="0" applyFont="1" applyFill="1"/>
    <xf numFmtId="168" fontId="15" fillId="8" borderId="0" xfId="0" applyNumberFormat="1" applyFont="1" applyFill="1"/>
    <xf numFmtId="0" fontId="29" fillId="9" borderId="28" xfId="0" applyFont="1" applyFill="1" applyBorder="1" applyAlignment="1">
      <alignment horizontal="center"/>
    </xf>
    <xf numFmtId="0" fontId="29" fillId="9" borderId="29" xfId="0" applyFont="1" applyFill="1" applyBorder="1" applyAlignment="1">
      <alignment horizontal="center"/>
    </xf>
    <xf numFmtId="0" fontId="29" fillId="9" borderId="30" xfId="0" applyFont="1" applyFill="1" applyBorder="1" applyAlignment="1">
      <alignment horizontal="center"/>
    </xf>
    <xf numFmtId="0" fontId="29" fillId="9" borderId="30" xfId="0" applyFont="1" applyFill="1" applyBorder="1"/>
    <xf numFmtId="173" fontId="3" fillId="0" borderId="0" xfId="0" applyNumberFormat="1" applyFont="1" applyAlignment="1">
      <alignment horizontal="center"/>
    </xf>
    <xf numFmtId="0" fontId="0" fillId="8" borderId="4" xfId="0" applyFill="1" applyBorder="1"/>
    <xf numFmtId="0" fontId="0" fillId="8" borderId="21" xfId="0" quotePrefix="1" applyFill="1" applyBorder="1"/>
    <xf numFmtId="171" fontId="0" fillId="8" borderId="0" xfId="0" applyNumberFormat="1" applyFill="1"/>
    <xf numFmtId="173" fontId="0" fillId="0" borderId="28" xfId="0" applyNumberFormat="1" applyBorder="1" applyAlignment="1">
      <alignment horizontal="center"/>
    </xf>
    <xf numFmtId="173" fontId="0" fillId="0" borderId="29" xfId="0" applyNumberFormat="1" applyBorder="1" applyAlignment="1">
      <alignment horizontal="center"/>
    </xf>
    <xf numFmtId="173" fontId="0" fillId="0" borderId="30" xfId="0" applyNumberFormat="1" applyBorder="1" applyAlignment="1">
      <alignment horizontal="center"/>
    </xf>
    <xf numFmtId="0" fontId="15" fillId="0" borderId="28" xfId="0" applyFont="1" applyBorder="1" applyAlignment="1">
      <alignment horizontal="left" indent="1"/>
    </xf>
    <xf numFmtId="0" fontId="41" fillId="0" borderId="21" xfId="0" applyFont="1" applyBorder="1" applyAlignment="1">
      <alignment horizontal="left" indent="1"/>
    </xf>
    <xf numFmtId="168" fontId="3" fillId="0" borderId="0" xfId="0" applyNumberFormat="1" applyFont="1" applyAlignment="1">
      <alignment horizontal="center"/>
    </xf>
    <xf numFmtId="168" fontId="3" fillId="0" borderId="22" xfId="0" applyNumberFormat="1" applyFont="1" applyBorder="1" applyAlignment="1">
      <alignment horizontal="center"/>
    </xf>
    <xf numFmtId="173" fontId="27" fillId="0" borderId="0" xfId="2" applyNumberFormat="1" applyFont="1"/>
    <xf numFmtId="10" fontId="27" fillId="0" borderId="0" xfId="0" applyNumberFormat="1" applyFont="1"/>
    <xf numFmtId="168" fontId="27" fillId="0" borderId="0" xfId="2" applyNumberFormat="1" applyFont="1"/>
    <xf numFmtId="10" fontId="27" fillId="0" borderId="0" xfId="2" applyNumberFormat="1" applyFont="1"/>
    <xf numFmtId="0" fontId="27" fillId="8" borderId="0" xfId="0" applyFont="1" applyFill="1" applyAlignment="1">
      <alignment horizontal="center"/>
    </xf>
    <xf numFmtId="174" fontId="3" fillId="0" borderId="21" xfId="0" applyNumberFormat="1" applyFont="1" applyBorder="1"/>
    <xf numFmtId="173" fontId="0" fillId="0" borderId="22" xfId="1" applyNumberFormat="1" applyFont="1" applyBorder="1"/>
    <xf numFmtId="173" fontId="0" fillId="0" borderId="0" xfId="1" applyNumberFormat="1" applyFont="1"/>
    <xf numFmtId="173" fontId="0" fillId="0" borderId="21" xfId="1" applyNumberFormat="1" applyFont="1" applyBorder="1"/>
    <xf numFmtId="174" fontId="0" fillId="0" borderId="21" xfId="0" applyNumberFormat="1" applyBorder="1"/>
    <xf numFmtId="174" fontId="0" fillId="0" borderId="22" xfId="0" applyNumberFormat="1" applyBorder="1"/>
    <xf numFmtId="0" fontId="29" fillId="9" borderId="21" xfId="0" applyFont="1" applyFill="1" applyBorder="1"/>
    <xf numFmtId="0" fontId="33" fillId="0" borderId="0" xfId="0" applyFont="1"/>
    <xf numFmtId="176" fontId="33" fillId="0" borderId="0" xfId="0" applyNumberFormat="1" applyFont="1"/>
    <xf numFmtId="10" fontId="3" fillId="0" borderId="21" xfId="0" applyNumberFormat="1" applyFont="1" applyBorder="1"/>
    <xf numFmtId="10" fontId="3" fillId="0" borderId="22" xfId="0" applyNumberFormat="1" applyFont="1" applyBorder="1"/>
    <xf numFmtId="171" fontId="28" fillId="3" borderId="42" xfId="0" applyNumberFormat="1" applyFont="1" applyFill="1" applyBorder="1" applyAlignment="1">
      <alignment horizontal="center"/>
    </xf>
    <xf numFmtId="171" fontId="28" fillId="3" borderId="43" xfId="0" applyNumberFormat="1" applyFont="1" applyFill="1" applyBorder="1" applyAlignment="1">
      <alignment horizontal="center"/>
    </xf>
    <xf numFmtId="171" fontId="14" fillId="3" borderId="56" xfId="0" applyNumberFormat="1" applyFont="1" applyFill="1" applyBorder="1" applyAlignment="1">
      <alignment horizontal="center"/>
    </xf>
    <xf numFmtId="171" fontId="14" fillId="3" borderId="54" xfId="0" applyNumberFormat="1" applyFont="1" applyFill="1" applyBorder="1" applyAlignment="1">
      <alignment horizontal="center"/>
    </xf>
    <xf numFmtId="168" fontId="0" fillId="3" borderId="34" xfId="0" applyNumberFormat="1" applyFill="1" applyBorder="1" applyAlignment="1">
      <alignment horizontal="center"/>
    </xf>
    <xf numFmtId="175" fontId="0" fillId="0" borderId="0" xfId="0" applyNumberFormat="1"/>
    <xf numFmtId="10" fontId="3" fillId="0" borderId="29" xfId="0" applyNumberFormat="1" applyFont="1" applyBorder="1"/>
    <xf numFmtId="10" fontId="3" fillId="0" borderId="30" xfId="0" applyNumberFormat="1" applyFont="1" applyBorder="1"/>
    <xf numFmtId="10" fontId="3" fillId="0" borderId="20" xfId="0" applyNumberFormat="1" applyFont="1" applyBorder="1"/>
    <xf numFmtId="168" fontId="22" fillId="3" borderId="0" xfId="0" applyNumberFormat="1" applyFont="1" applyFill="1" applyAlignment="1">
      <alignment horizontal="center"/>
    </xf>
    <xf numFmtId="10" fontId="12" fillId="8" borderId="0" xfId="2" applyNumberFormat="1" applyFont="1" applyFill="1" applyBorder="1" applyAlignment="1">
      <alignment horizontal="center"/>
    </xf>
    <xf numFmtId="10" fontId="12" fillId="8" borderId="21" xfId="2" applyNumberFormat="1" applyFont="1" applyFill="1" applyBorder="1" applyAlignment="1">
      <alignment horizontal="center"/>
    </xf>
    <xf numFmtId="10" fontId="12" fillId="8" borderId="22" xfId="2" applyNumberFormat="1" applyFont="1" applyFill="1" applyBorder="1" applyAlignment="1">
      <alignment horizontal="center"/>
    </xf>
    <xf numFmtId="10" fontId="12" fillId="8" borderId="38" xfId="2" applyNumberFormat="1" applyFont="1" applyFill="1" applyBorder="1" applyAlignment="1">
      <alignment horizontal="center"/>
    </xf>
    <xf numFmtId="10" fontId="12" fillId="8" borderId="21" xfId="2" applyNumberFormat="1" applyFont="1" applyFill="1" applyBorder="1"/>
    <xf numFmtId="10" fontId="12" fillId="8" borderId="0" xfId="2" applyNumberFormat="1" applyFont="1" applyFill="1" applyBorder="1"/>
    <xf numFmtId="10" fontId="12" fillId="8" borderId="22" xfId="2" applyNumberFormat="1" applyFont="1" applyFill="1" applyBorder="1"/>
    <xf numFmtId="0" fontId="0" fillId="0" borderId="58" xfId="0" applyBorder="1"/>
    <xf numFmtId="173" fontId="0" fillId="0" borderId="41" xfId="0" applyNumberFormat="1" applyBorder="1"/>
    <xf numFmtId="173" fontId="0" fillId="0" borderId="5" xfId="0" applyNumberFormat="1" applyBorder="1"/>
    <xf numFmtId="173" fontId="0" fillId="3" borderId="29" xfId="0" applyNumberFormat="1" applyFill="1" applyBorder="1" applyAlignment="1">
      <alignment horizontal="center"/>
    </xf>
    <xf numFmtId="173" fontId="0" fillId="3" borderId="0" xfId="0" applyNumberFormat="1" applyFill="1" applyAlignment="1">
      <alignment horizontal="center"/>
    </xf>
    <xf numFmtId="174" fontId="0" fillId="0" borderId="0" xfId="0" applyNumberFormat="1" applyAlignment="1">
      <alignment horizontal="center"/>
    </xf>
    <xf numFmtId="0" fontId="15" fillId="3" borderId="45" xfId="0" applyFont="1" applyFill="1" applyBorder="1"/>
    <xf numFmtId="0" fontId="27" fillId="3" borderId="2" xfId="0" applyFont="1" applyFill="1" applyBorder="1"/>
    <xf numFmtId="0" fontId="27" fillId="3" borderId="31" xfId="0" applyFont="1" applyFill="1" applyBorder="1"/>
    <xf numFmtId="0" fontId="27" fillId="3" borderId="45" xfId="0" applyFont="1" applyFill="1" applyBorder="1"/>
    <xf numFmtId="0" fontId="0" fillId="8" borderId="45" xfId="0" applyFill="1" applyBorder="1"/>
    <xf numFmtId="0" fontId="0" fillId="8" borderId="2" xfId="0" applyFill="1" applyBorder="1"/>
    <xf numFmtId="0" fontId="0" fillId="8" borderId="31" xfId="0" applyFill="1" applyBorder="1"/>
    <xf numFmtId="168" fontId="0" fillId="3" borderId="2" xfId="0" applyNumberFormat="1" applyFill="1" applyBorder="1"/>
    <xf numFmtId="0" fontId="0" fillId="2" borderId="7" xfId="0" applyFill="1" applyBorder="1"/>
    <xf numFmtId="0" fontId="0" fillId="0" borderId="60" xfId="0" applyBorder="1" applyAlignment="1">
      <alignment horizontal="left" indent="1"/>
    </xf>
    <xf numFmtId="168" fontId="0" fillId="0" borderId="7" xfId="0" applyNumberFormat="1" applyBorder="1"/>
    <xf numFmtId="168" fontId="0" fillId="0" borderId="60" xfId="0" applyNumberFormat="1" applyBorder="1"/>
    <xf numFmtId="168" fontId="0" fillId="0" borderId="32" xfId="0" applyNumberFormat="1" applyBorder="1"/>
    <xf numFmtId="0" fontId="36" fillId="3" borderId="0" xfId="0" applyFont="1" applyFill="1"/>
    <xf numFmtId="44" fontId="42" fillId="3" borderId="0" xfId="0" applyNumberFormat="1" applyFont="1" applyFill="1" applyAlignment="1">
      <alignment horizontal="center"/>
    </xf>
    <xf numFmtId="183" fontId="3" fillId="3" borderId="0" xfId="1" applyNumberFormat="1" applyFont="1" applyFill="1" applyBorder="1" applyAlignment="1">
      <alignment horizontal="center"/>
    </xf>
    <xf numFmtId="10" fontId="3" fillId="3" borderId="0" xfId="0" applyNumberFormat="1" applyFont="1" applyFill="1" applyAlignment="1">
      <alignment horizontal="center"/>
    </xf>
    <xf numFmtId="166" fontId="0" fillId="3" borderId="0" xfId="1" applyFont="1" applyFill="1" applyBorder="1" applyAlignment="1">
      <alignment horizontal="center"/>
    </xf>
    <xf numFmtId="0" fontId="2" fillId="3" borderId="0" xfId="0" applyFont="1" applyFill="1"/>
    <xf numFmtId="43" fontId="3" fillId="3" borderId="0" xfId="0" applyNumberFormat="1" applyFont="1" applyFill="1"/>
    <xf numFmtId="0" fontId="4" fillId="0" borderId="0" xfId="0" applyFont="1"/>
    <xf numFmtId="10" fontId="4" fillId="0" borderId="0" xfId="0" applyNumberFormat="1" applyFont="1"/>
    <xf numFmtId="166" fontId="4" fillId="0" borderId="0" xfId="0" applyNumberFormat="1" applyFont="1"/>
    <xf numFmtId="166" fontId="4" fillId="3" borderId="0" xfId="1" applyFont="1" applyFill="1" applyBorder="1" applyAlignment="1">
      <alignment horizontal="center"/>
    </xf>
    <xf numFmtId="0" fontId="4" fillId="3" borderId="0" xfId="0" applyFont="1" applyFill="1"/>
    <xf numFmtId="183" fontId="27" fillId="3" borderId="0" xfId="1" applyNumberFormat="1" applyFont="1" applyFill="1" applyBorder="1" applyAlignment="1">
      <alignment horizontal="right"/>
    </xf>
    <xf numFmtId="168" fontId="22" fillId="3" borderId="0" xfId="2" applyNumberFormat="1" applyFont="1" applyFill="1"/>
    <xf numFmtId="168" fontId="4" fillId="3" borderId="0" xfId="2" applyNumberFormat="1" applyFont="1" applyFill="1" applyBorder="1" applyAlignment="1">
      <alignment horizontal="center"/>
    </xf>
    <xf numFmtId="168" fontId="2" fillId="3" borderId="0" xfId="2" applyNumberFormat="1" applyFont="1" applyFill="1" applyBorder="1" applyAlignment="1">
      <alignment horizontal="center"/>
    </xf>
    <xf numFmtId="0" fontId="4" fillId="8" borderId="0" xfId="0" applyFont="1" applyFill="1"/>
    <xf numFmtId="0" fontId="45" fillId="0" borderId="0" xfId="5" applyFont="1"/>
    <xf numFmtId="0" fontId="2" fillId="0" borderId="0" xfId="0" applyFont="1"/>
    <xf numFmtId="168" fontId="4" fillId="0" borderId="0" xfId="0" applyNumberFormat="1" applyFont="1"/>
    <xf numFmtId="0" fontId="46" fillId="0" borderId="0" xfId="0" applyFont="1"/>
    <xf numFmtId="173" fontId="4" fillId="0" borderId="0" xfId="0" applyNumberFormat="1" applyFont="1"/>
    <xf numFmtId="0" fontId="2" fillId="3" borderId="0" xfId="0" applyFont="1" applyFill="1" applyAlignment="1">
      <alignment horizontal="center"/>
    </xf>
    <xf numFmtId="173" fontId="2" fillId="3" borderId="0" xfId="0" applyNumberFormat="1" applyFont="1" applyFill="1"/>
    <xf numFmtId="9" fontId="2" fillId="3" borderId="0" xfId="2" applyFont="1" applyFill="1"/>
    <xf numFmtId="0" fontId="4" fillId="0" borderId="22" xfId="0" applyFont="1" applyBorder="1"/>
    <xf numFmtId="0" fontId="2" fillId="8" borderId="0" xfId="0" applyFont="1" applyFill="1"/>
    <xf numFmtId="0" fontId="47" fillId="14" borderId="61" xfId="0" applyFont="1" applyFill="1" applyBorder="1"/>
    <xf numFmtId="0" fontId="0" fillId="0" borderId="0" xfId="0" applyFill="1"/>
    <xf numFmtId="0" fontId="4" fillId="0" borderId="0" xfId="0" applyFont="1" applyFill="1"/>
    <xf numFmtId="0" fontId="3" fillId="3" borderId="0" xfId="0" applyFont="1" applyFill="1" applyBorder="1"/>
    <xf numFmtId="173" fontId="3" fillId="0" borderId="0" xfId="0" applyNumberFormat="1" applyFont="1" applyBorder="1"/>
    <xf numFmtId="0" fontId="3" fillId="0" borderId="0" xfId="0" applyFont="1" applyBorder="1"/>
    <xf numFmtId="10" fontId="3" fillId="0" borderId="0" xfId="0" applyNumberFormat="1" applyFont="1" applyBorder="1"/>
    <xf numFmtId="43" fontId="3" fillId="0" borderId="0" xfId="0" applyNumberFormat="1" applyFont="1" applyBorder="1"/>
    <xf numFmtId="0" fontId="3" fillId="0" borderId="62" xfId="0" applyFont="1" applyFill="1" applyBorder="1"/>
    <xf numFmtId="0" fontId="0" fillId="0" borderId="66" xfId="0" applyBorder="1"/>
    <xf numFmtId="0" fontId="0" fillId="0" borderId="67" xfId="0" applyBorder="1"/>
    <xf numFmtId="10" fontId="0" fillId="0" borderId="67" xfId="0" applyNumberFormat="1" applyBorder="1"/>
    <xf numFmtId="0" fontId="0" fillId="0" borderId="0" xfId="0" applyBorder="1"/>
    <xf numFmtId="0" fontId="6" fillId="12" borderId="64" xfId="0" applyFont="1" applyFill="1" applyBorder="1"/>
    <xf numFmtId="0" fontId="6" fillId="12" borderId="65" xfId="0" applyFont="1" applyFill="1" applyBorder="1"/>
    <xf numFmtId="0" fontId="0" fillId="0" borderId="67" xfId="0" applyBorder="1" applyAlignment="1">
      <alignment horizontal="center"/>
    </xf>
    <xf numFmtId="0" fontId="3" fillId="0" borderId="62" xfId="0" applyFont="1" applyBorder="1"/>
    <xf numFmtId="0" fontId="0" fillId="0" borderId="0" xfId="0" applyFont="1"/>
    <xf numFmtId="0" fontId="4" fillId="16" borderId="0" xfId="0" applyFont="1" applyFill="1"/>
    <xf numFmtId="0" fontId="2" fillId="16" borderId="0" xfId="0" applyFont="1" applyFill="1"/>
    <xf numFmtId="41" fontId="15" fillId="3" borderId="7" xfId="0" applyNumberFormat="1" applyFont="1" applyFill="1" applyBorder="1" applyAlignment="1">
      <alignment horizontal="center"/>
    </xf>
    <xf numFmtId="41" fontId="15" fillId="3" borderId="11" xfId="0" applyNumberFormat="1" applyFont="1" applyFill="1" applyBorder="1" applyAlignment="1">
      <alignment horizontal="center"/>
    </xf>
    <xf numFmtId="0" fontId="2" fillId="16" borderId="0" xfId="0" applyFont="1" applyFill="1" applyAlignment="1">
      <alignment horizontal="center"/>
    </xf>
    <xf numFmtId="10" fontId="4" fillId="16" borderId="0" xfId="0" applyNumberFormat="1" applyFont="1" applyFill="1"/>
    <xf numFmtId="176" fontId="4" fillId="16" borderId="0" xfId="0" applyNumberFormat="1" applyFont="1" applyFill="1"/>
    <xf numFmtId="173" fontId="4" fillId="16" borderId="0" xfId="0" applyNumberFormat="1" applyFont="1" applyFill="1"/>
    <xf numFmtId="190" fontId="29" fillId="9" borderId="0" xfId="0" applyNumberFormat="1" applyFont="1" applyFill="1" applyAlignment="1">
      <alignment horizontal="center"/>
    </xf>
    <xf numFmtId="168" fontId="14" fillId="0" borderId="0" xfId="0" applyNumberFormat="1" applyFont="1" applyAlignment="1">
      <alignment horizontal="center"/>
    </xf>
    <xf numFmtId="168" fontId="14" fillId="0" borderId="22" xfId="0" applyNumberFormat="1" applyFont="1" applyBorder="1" applyAlignment="1">
      <alignment horizontal="center"/>
    </xf>
    <xf numFmtId="168" fontId="27" fillId="0" borderId="0" xfId="0" applyNumberFormat="1" applyFont="1" applyAlignment="1">
      <alignment horizontal="center"/>
    </xf>
    <xf numFmtId="168" fontId="27" fillId="0" borderId="22" xfId="0" applyNumberFormat="1" applyFont="1" applyBorder="1" applyAlignment="1">
      <alignment horizontal="center"/>
    </xf>
    <xf numFmtId="168" fontId="28" fillId="0" borderId="0" xfId="0" applyNumberFormat="1" applyFont="1" applyAlignment="1">
      <alignment horizontal="center"/>
    </xf>
    <xf numFmtId="168" fontId="28" fillId="0" borderId="22" xfId="0" applyNumberFormat="1" applyFont="1" applyBorder="1" applyAlignment="1">
      <alignment horizontal="center"/>
    </xf>
    <xf numFmtId="173" fontId="14" fillId="0" borderId="67" xfId="0" applyNumberFormat="1" applyFont="1" applyBorder="1"/>
    <xf numFmtId="173" fontId="27" fillId="0" borderId="67" xfId="0" applyNumberFormat="1" applyFont="1" applyBorder="1"/>
    <xf numFmtId="10" fontId="27" fillId="0" borderId="67" xfId="0" applyNumberFormat="1" applyFont="1" applyBorder="1"/>
    <xf numFmtId="10" fontId="27" fillId="15" borderId="67" xfId="0" applyNumberFormat="1" applyFont="1" applyFill="1" applyBorder="1"/>
    <xf numFmtId="10" fontId="27" fillId="0" borderId="67" xfId="0" applyNumberFormat="1" applyFont="1" applyBorder="1" applyAlignment="1">
      <alignment horizontal="right"/>
    </xf>
    <xf numFmtId="10" fontId="28" fillId="0" borderId="63" xfId="2" applyNumberFormat="1" applyFont="1" applyFill="1" applyBorder="1"/>
    <xf numFmtId="173" fontId="50" fillId="0" borderId="67" xfId="0" applyNumberFormat="1" applyFont="1" applyBorder="1"/>
    <xf numFmtId="2" fontId="27" fillId="0" borderId="67" xfId="0" applyNumberFormat="1" applyFont="1" applyBorder="1"/>
    <xf numFmtId="10" fontId="14" fillId="0" borderId="67" xfId="2" applyNumberFormat="1" applyFont="1" applyBorder="1" applyAlignment="1">
      <alignment horizontal="center"/>
    </xf>
    <xf numFmtId="10" fontId="14" fillId="0" borderId="67" xfId="0" applyNumberFormat="1" applyFont="1" applyBorder="1" applyAlignment="1">
      <alignment horizontal="center"/>
    </xf>
    <xf numFmtId="10" fontId="27" fillId="0" borderId="67" xfId="0" applyNumberFormat="1" applyFont="1" applyBorder="1" applyAlignment="1">
      <alignment horizontal="center"/>
    </xf>
    <xf numFmtId="10" fontId="28" fillId="0" borderId="63" xfId="2" applyNumberFormat="1" applyFont="1" applyBorder="1" applyAlignment="1">
      <alignment horizontal="center"/>
    </xf>
    <xf numFmtId="170" fontId="50" fillId="0" borderId="67" xfId="0" applyNumberFormat="1" applyFont="1" applyBorder="1" applyAlignment="1">
      <alignment horizontal="center"/>
    </xf>
    <xf numFmtId="173" fontId="27" fillId="0" borderId="24" xfId="0" applyNumberFormat="1" applyFont="1" applyBorder="1"/>
    <xf numFmtId="166" fontId="28" fillId="0" borderId="24" xfId="0" applyNumberFormat="1" applyFont="1" applyBorder="1"/>
    <xf numFmtId="10" fontId="14" fillId="0" borderId="0" xfId="0" applyNumberFormat="1" applyFont="1" applyAlignment="1">
      <alignment horizontal="center"/>
    </xf>
    <xf numFmtId="10" fontId="27" fillId="0" borderId="0" xfId="2" applyNumberFormat="1" applyFont="1" applyBorder="1" applyAlignment="1">
      <alignment horizontal="center"/>
    </xf>
    <xf numFmtId="173" fontId="27" fillId="0" borderId="0" xfId="0" applyNumberFormat="1" applyFont="1" applyAlignment="1">
      <alignment horizontal="center"/>
    </xf>
    <xf numFmtId="173" fontId="28" fillId="0" borderId="26" xfId="0" applyNumberFormat="1" applyFont="1" applyBorder="1"/>
    <xf numFmtId="10" fontId="27" fillId="0" borderId="22" xfId="0" applyNumberFormat="1" applyFont="1" applyBorder="1" applyAlignment="1">
      <alignment horizontal="center"/>
    </xf>
    <xf numFmtId="10" fontId="28" fillId="0" borderId="27" xfId="0" applyNumberFormat="1" applyFont="1" applyBorder="1"/>
    <xf numFmtId="173" fontId="50" fillId="0" borderId="0" xfId="0" applyNumberFormat="1" applyFont="1" applyAlignment="1">
      <alignment horizontal="center"/>
    </xf>
    <xf numFmtId="0" fontId="14" fillId="0" borderId="29" xfId="0" applyFont="1" applyBorder="1" applyAlignment="1">
      <alignment horizontal="center"/>
    </xf>
    <xf numFmtId="0" fontId="14" fillId="0" borderId="0" xfId="0" applyFont="1" applyAlignment="1">
      <alignment horizontal="center"/>
    </xf>
    <xf numFmtId="166" fontId="14" fillId="0" borderId="29" xfId="0" applyNumberFormat="1" applyFont="1" applyBorder="1"/>
    <xf numFmtId="166" fontId="14" fillId="0" borderId="0" xfId="0" applyNumberFormat="1" applyFont="1"/>
    <xf numFmtId="173" fontId="27" fillId="0" borderId="29" xfId="0" applyNumberFormat="1" applyFont="1" applyBorder="1"/>
    <xf numFmtId="168" fontId="27" fillId="0" borderId="29" xfId="2" applyNumberFormat="1" applyFont="1" applyBorder="1"/>
    <xf numFmtId="43" fontId="27" fillId="0" borderId="30" xfId="0" applyNumberFormat="1" applyFont="1" applyBorder="1"/>
    <xf numFmtId="168" fontId="27" fillId="0" borderId="0" xfId="2" applyNumberFormat="1" applyFont="1" applyBorder="1"/>
    <xf numFmtId="43" fontId="27" fillId="0" borderId="22" xfId="0" applyNumberFormat="1" applyFont="1" applyBorder="1"/>
    <xf numFmtId="173" fontId="28" fillId="0" borderId="20" xfId="0" applyNumberFormat="1" applyFont="1" applyBorder="1"/>
    <xf numFmtId="43" fontId="28" fillId="0" borderId="24" xfId="0" applyNumberFormat="1" applyFont="1" applyBorder="1"/>
    <xf numFmtId="173" fontId="50" fillId="0" borderId="29" xfId="0" applyNumberFormat="1" applyFont="1" applyBorder="1"/>
    <xf numFmtId="173" fontId="50" fillId="0" borderId="0" xfId="0" applyNumberFormat="1" applyFont="1"/>
    <xf numFmtId="172" fontId="14" fillId="0" borderId="30" xfId="0" applyNumberFormat="1" applyFont="1" applyBorder="1"/>
    <xf numFmtId="173" fontId="14" fillId="0" borderId="24" xfId="0" applyNumberFormat="1" applyFont="1" applyBorder="1"/>
    <xf numFmtId="173" fontId="14" fillId="0" borderId="0" xfId="0" applyNumberFormat="1" applyFont="1"/>
    <xf numFmtId="173" fontId="14" fillId="0" borderId="22" xfId="0" applyNumberFormat="1" applyFont="1" applyBorder="1" applyAlignment="1">
      <alignment horizontal="left"/>
    </xf>
    <xf numFmtId="173" fontId="27" fillId="0" borderId="20" xfId="0" applyNumberFormat="1" applyFont="1" applyBorder="1"/>
    <xf numFmtId="173" fontId="27" fillId="0" borderId="24" xfId="0" applyNumberFormat="1" applyFont="1" applyBorder="1" applyAlignment="1">
      <alignment horizontal="left"/>
    </xf>
    <xf numFmtId="10" fontId="14" fillId="0" borderId="0" xfId="0" applyNumberFormat="1" applyFont="1"/>
    <xf numFmtId="10" fontId="14" fillId="0" borderId="22" xfId="0" applyNumberFormat="1" applyFont="1" applyBorder="1"/>
    <xf numFmtId="168" fontId="14" fillId="0" borderId="0" xfId="0" applyNumberFormat="1" applyFont="1"/>
    <xf numFmtId="168" fontId="14" fillId="0" borderId="22" xfId="0" applyNumberFormat="1" applyFont="1" applyBorder="1"/>
    <xf numFmtId="173" fontId="27" fillId="0" borderId="21" xfId="0" applyNumberFormat="1" applyFont="1" applyBorder="1"/>
    <xf numFmtId="173" fontId="27" fillId="0" borderId="22" xfId="0" applyNumberFormat="1" applyFont="1" applyBorder="1"/>
    <xf numFmtId="173" fontId="28" fillId="0" borderId="0" xfId="0" applyNumberFormat="1" applyFont="1"/>
    <xf numFmtId="173" fontId="28" fillId="0" borderId="21" xfId="0" applyNumberFormat="1" applyFont="1" applyBorder="1"/>
    <xf numFmtId="173" fontId="28" fillId="0" borderId="22" xfId="0" applyNumberFormat="1" applyFont="1" applyBorder="1"/>
    <xf numFmtId="168" fontId="54" fillId="0" borderId="0" xfId="0" applyNumberFormat="1" applyFont="1"/>
    <xf numFmtId="168" fontId="54" fillId="0" borderId="21" xfId="0" applyNumberFormat="1" applyFont="1" applyBorder="1"/>
    <xf numFmtId="168" fontId="54" fillId="0" borderId="22" xfId="0" applyNumberFormat="1" applyFont="1" applyBorder="1"/>
    <xf numFmtId="10" fontId="27" fillId="0" borderId="21" xfId="0" applyNumberFormat="1" applyFont="1" applyBorder="1"/>
    <xf numFmtId="168" fontId="27" fillId="0" borderId="21" xfId="0" applyNumberFormat="1" applyFont="1" applyBorder="1"/>
    <xf numFmtId="168" fontId="27" fillId="0" borderId="20" xfId="0" applyNumberFormat="1" applyFont="1" applyBorder="1"/>
    <xf numFmtId="168" fontId="27" fillId="0" borderId="23" xfId="0" applyNumberFormat="1" applyFont="1" applyBorder="1"/>
    <xf numFmtId="168" fontId="27" fillId="0" borderId="24" xfId="0" applyNumberFormat="1" applyFont="1" applyBorder="1"/>
    <xf numFmtId="173" fontId="50" fillId="0" borderId="0" xfId="2" applyNumberFormat="1" applyFont="1" applyBorder="1"/>
    <xf numFmtId="173" fontId="50" fillId="0" borderId="21" xfId="0" applyNumberFormat="1" applyFont="1" applyBorder="1"/>
    <xf numFmtId="173" fontId="50" fillId="0" borderId="22" xfId="0" applyNumberFormat="1" applyFont="1" applyBorder="1"/>
    <xf numFmtId="10" fontId="14" fillId="0" borderId="21" xfId="0" applyNumberFormat="1" applyFont="1" applyBorder="1"/>
    <xf numFmtId="171" fontId="27" fillId="3" borderId="0" xfId="0" applyNumberFormat="1" applyFont="1" applyFill="1" applyAlignment="1">
      <alignment horizontal="center"/>
    </xf>
    <xf numFmtId="171" fontId="27" fillId="3" borderId="21" xfId="0" applyNumberFormat="1" applyFont="1" applyFill="1" applyBorder="1" applyAlignment="1">
      <alignment horizontal="center"/>
    </xf>
    <xf numFmtId="171" fontId="27" fillId="3" borderId="22" xfId="0" applyNumberFormat="1" applyFont="1" applyFill="1" applyBorder="1" applyAlignment="1">
      <alignment horizontal="center"/>
    </xf>
    <xf numFmtId="171" fontId="28" fillId="3" borderId="21" xfId="0" applyNumberFormat="1" applyFont="1" applyFill="1" applyBorder="1" applyAlignment="1">
      <alignment horizontal="center"/>
    </xf>
    <xf numFmtId="171" fontId="28" fillId="3" borderId="22" xfId="0" applyNumberFormat="1" applyFont="1" applyFill="1" applyBorder="1" applyAlignment="1">
      <alignment horizontal="center"/>
    </xf>
    <xf numFmtId="171" fontId="50" fillId="3" borderId="0" xfId="0" applyNumberFormat="1" applyFont="1" applyFill="1" applyAlignment="1">
      <alignment horizontal="center"/>
    </xf>
    <xf numFmtId="171" fontId="50" fillId="3" borderId="21" xfId="0" applyNumberFormat="1" applyFont="1" applyFill="1" applyBorder="1" applyAlignment="1">
      <alignment horizontal="center"/>
    </xf>
    <xf numFmtId="171" fontId="50" fillId="3" borderId="22" xfId="0" applyNumberFormat="1" applyFont="1" applyFill="1" applyBorder="1" applyAlignment="1">
      <alignment horizontal="center"/>
    </xf>
    <xf numFmtId="171" fontId="49" fillId="3" borderId="0" xfId="0" applyNumberFormat="1" applyFont="1" applyFill="1" applyAlignment="1">
      <alignment horizontal="center"/>
    </xf>
    <xf numFmtId="171" fontId="49" fillId="3" borderId="21" xfId="0" applyNumberFormat="1" applyFont="1" applyFill="1" applyBorder="1" applyAlignment="1">
      <alignment horizontal="center"/>
    </xf>
    <xf numFmtId="171" fontId="49" fillId="3" borderId="22" xfId="0" applyNumberFormat="1" applyFont="1" applyFill="1" applyBorder="1" applyAlignment="1">
      <alignment horizontal="center"/>
    </xf>
    <xf numFmtId="171" fontId="13" fillId="3" borderId="42" xfId="0" applyNumberFormat="1" applyFont="1" applyFill="1" applyBorder="1" applyAlignment="1">
      <alignment horizontal="center"/>
    </xf>
    <xf numFmtId="171" fontId="13" fillId="3" borderId="43" xfId="0" applyNumberFormat="1" applyFont="1" applyFill="1" applyBorder="1" applyAlignment="1">
      <alignment horizontal="center"/>
    </xf>
    <xf numFmtId="171" fontId="13" fillId="3" borderId="55" xfId="0" applyNumberFormat="1" applyFont="1" applyFill="1" applyBorder="1" applyAlignment="1">
      <alignment horizontal="center"/>
    </xf>
    <xf numFmtId="168" fontId="55" fillId="3" borderId="0" xfId="0" applyNumberFormat="1" applyFont="1" applyFill="1" applyAlignment="1">
      <alignment horizontal="center"/>
    </xf>
    <xf numFmtId="168" fontId="55" fillId="3" borderId="34" xfId="0" applyNumberFormat="1" applyFont="1" applyFill="1" applyBorder="1" applyAlignment="1">
      <alignment horizontal="center"/>
    </xf>
    <xf numFmtId="168" fontId="55" fillId="3" borderId="10" xfId="0" applyNumberFormat="1" applyFont="1" applyFill="1" applyBorder="1" applyAlignment="1">
      <alignment horizontal="center"/>
    </xf>
    <xf numFmtId="0" fontId="14" fillId="3" borderId="0" xfId="0" applyFont="1" applyFill="1" applyAlignment="1">
      <alignment horizontal="center"/>
    </xf>
    <xf numFmtId="0" fontId="14" fillId="3" borderId="34" xfId="0" applyFont="1" applyFill="1" applyBorder="1" applyAlignment="1">
      <alignment horizontal="center"/>
    </xf>
    <xf numFmtId="0" fontId="14" fillId="3" borderId="10" xfId="0" applyFont="1" applyFill="1" applyBorder="1" applyAlignment="1">
      <alignment horizontal="center"/>
    </xf>
    <xf numFmtId="168" fontId="14" fillId="3" borderId="0" xfId="0" applyNumberFormat="1" applyFont="1" applyFill="1"/>
    <xf numFmtId="168" fontId="14" fillId="3" borderId="22" xfId="0" applyNumberFormat="1" applyFont="1" applyFill="1" applyBorder="1"/>
    <xf numFmtId="171" fontId="28" fillId="3" borderId="30" xfId="0" applyNumberFormat="1" applyFont="1" applyFill="1" applyBorder="1" applyAlignment="1">
      <alignment horizontal="center"/>
    </xf>
    <xf numFmtId="171" fontId="28" fillId="3" borderId="25" xfId="0" applyNumberFormat="1" applyFont="1" applyFill="1" applyBorder="1" applyAlignment="1">
      <alignment horizontal="center"/>
    </xf>
    <xf numFmtId="171" fontId="28" fillId="3" borderId="26" xfId="0" applyNumberFormat="1" applyFont="1" applyFill="1" applyBorder="1" applyAlignment="1">
      <alignment horizontal="center"/>
    </xf>
    <xf numFmtId="171" fontId="28" fillId="3" borderId="27" xfId="0" applyNumberFormat="1" applyFont="1" applyFill="1" applyBorder="1" applyAlignment="1">
      <alignment horizontal="center"/>
    </xf>
    <xf numFmtId="171" fontId="28" fillId="3" borderId="46" xfId="0" applyNumberFormat="1" applyFont="1" applyFill="1" applyBorder="1" applyAlignment="1">
      <alignment horizontal="center"/>
    </xf>
    <xf numFmtId="171" fontId="28" fillId="3" borderId="33" xfId="0" applyNumberFormat="1" applyFont="1" applyFill="1" applyBorder="1" applyAlignment="1">
      <alignment horizontal="center"/>
    </xf>
    <xf numFmtId="171" fontId="28" fillId="3" borderId="47" xfId="0" applyNumberFormat="1" applyFont="1" applyFill="1" applyBorder="1" applyAlignment="1">
      <alignment horizontal="center"/>
    </xf>
    <xf numFmtId="171" fontId="27" fillId="3" borderId="45" xfId="0" applyNumberFormat="1" applyFont="1" applyFill="1" applyBorder="1" applyAlignment="1">
      <alignment horizontal="center"/>
    </xf>
    <xf numFmtId="171" fontId="27" fillId="3" borderId="2" xfId="0" applyNumberFormat="1" applyFont="1" applyFill="1" applyBorder="1" applyAlignment="1">
      <alignment horizontal="center"/>
    </xf>
    <xf numFmtId="171" fontId="27" fillId="3" borderId="31" xfId="0" applyNumberFormat="1" applyFont="1" applyFill="1" applyBorder="1" applyAlignment="1">
      <alignment horizontal="center"/>
    </xf>
    <xf numFmtId="171" fontId="28" fillId="3" borderId="45" xfId="0" applyNumberFormat="1" applyFont="1" applyFill="1" applyBorder="1" applyAlignment="1">
      <alignment horizontal="center"/>
    </xf>
    <xf numFmtId="171" fontId="28" fillId="3" borderId="2" xfId="0" applyNumberFormat="1" applyFont="1" applyFill="1" applyBorder="1" applyAlignment="1">
      <alignment horizontal="center"/>
    </xf>
    <xf numFmtId="171" fontId="28" fillId="3" borderId="31" xfId="0" applyNumberFormat="1" applyFont="1" applyFill="1" applyBorder="1" applyAlignment="1">
      <alignment horizontal="center"/>
    </xf>
    <xf numFmtId="171" fontId="27" fillId="3" borderId="44" xfId="0" applyNumberFormat="1" applyFont="1" applyFill="1" applyBorder="1" applyAlignment="1">
      <alignment horizontal="center"/>
    </xf>
    <xf numFmtId="171" fontId="27" fillId="3" borderId="15" xfId="0" applyNumberFormat="1" applyFont="1" applyFill="1" applyBorder="1" applyAlignment="1">
      <alignment horizontal="center"/>
    </xf>
    <xf numFmtId="171" fontId="27" fillId="3" borderId="34" xfId="0" applyNumberFormat="1" applyFont="1" applyFill="1" applyBorder="1" applyAlignment="1">
      <alignment horizontal="center"/>
    </xf>
    <xf numFmtId="171" fontId="27" fillId="3" borderId="10" xfId="0" applyNumberFormat="1" applyFont="1" applyFill="1" applyBorder="1" applyAlignment="1">
      <alignment horizontal="center"/>
    </xf>
    <xf numFmtId="171" fontId="27" fillId="3" borderId="57" xfId="0" applyNumberFormat="1" applyFont="1" applyFill="1" applyBorder="1" applyAlignment="1">
      <alignment horizontal="center"/>
    </xf>
    <xf numFmtId="171" fontId="28" fillId="3" borderId="49" xfId="0" applyNumberFormat="1" applyFont="1" applyFill="1" applyBorder="1" applyAlignment="1">
      <alignment horizontal="center"/>
    </xf>
    <xf numFmtId="171" fontId="27" fillId="3" borderId="50" xfId="0" applyNumberFormat="1" applyFont="1" applyFill="1" applyBorder="1" applyAlignment="1">
      <alignment horizontal="center"/>
    </xf>
    <xf numFmtId="171" fontId="27" fillId="3" borderId="36" xfId="0" applyNumberFormat="1" applyFont="1" applyFill="1" applyBorder="1" applyAlignment="1">
      <alignment horizontal="center"/>
    </xf>
    <xf numFmtId="171" fontId="28" fillId="3" borderId="50" xfId="0" applyNumberFormat="1" applyFont="1" applyFill="1" applyBorder="1" applyAlignment="1">
      <alignment horizontal="center"/>
    </xf>
    <xf numFmtId="168" fontId="31" fillId="3" borderId="36" xfId="0" applyNumberFormat="1" applyFont="1" applyFill="1" applyBorder="1" applyAlignment="1">
      <alignment horizontal="center"/>
    </xf>
    <xf numFmtId="168" fontId="31" fillId="3" borderId="21" xfId="0" applyNumberFormat="1" applyFont="1" applyFill="1" applyBorder="1" applyAlignment="1">
      <alignment horizontal="center"/>
    </xf>
    <xf numFmtId="168" fontId="31" fillId="3" borderId="0" xfId="2" applyNumberFormat="1" applyFont="1" applyFill="1" applyBorder="1" applyAlignment="1">
      <alignment horizontal="center"/>
    </xf>
    <xf numFmtId="168" fontId="31" fillId="3" borderId="22" xfId="2" applyNumberFormat="1" applyFont="1" applyFill="1" applyBorder="1" applyAlignment="1">
      <alignment horizontal="center"/>
    </xf>
    <xf numFmtId="168" fontId="31" fillId="3" borderId="34" xfId="2" applyNumberFormat="1" applyFont="1" applyFill="1" applyBorder="1" applyAlignment="1">
      <alignment horizontal="center"/>
    </xf>
    <xf numFmtId="168" fontId="31" fillId="3" borderId="10" xfId="2" applyNumberFormat="1" applyFont="1" applyFill="1" applyBorder="1" applyAlignment="1">
      <alignment horizontal="center"/>
    </xf>
    <xf numFmtId="168" fontId="31" fillId="3" borderId="36" xfId="2" applyNumberFormat="1" applyFont="1" applyFill="1" applyBorder="1" applyAlignment="1">
      <alignment horizontal="center"/>
    </xf>
    <xf numFmtId="0" fontId="27" fillId="3" borderId="0" xfId="0" applyFont="1" applyFill="1" applyAlignment="1">
      <alignment horizontal="center"/>
    </xf>
    <xf numFmtId="1" fontId="27" fillId="3" borderId="21" xfId="0" applyNumberFormat="1" applyFont="1" applyFill="1" applyBorder="1" applyAlignment="1">
      <alignment horizontal="center"/>
    </xf>
    <xf numFmtId="1" fontId="27" fillId="3" borderId="0" xfId="0" applyNumberFormat="1" applyFont="1" applyFill="1" applyAlignment="1">
      <alignment horizontal="center"/>
    </xf>
    <xf numFmtId="1" fontId="27" fillId="3" borderId="5" xfId="0" applyNumberFormat="1" applyFont="1" applyFill="1" applyBorder="1" applyAlignment="1">
      <alignment horizontal="center"/>
    </xf>
    <xf numFmtId="2" fontId="28" fillId="3" borderId="0" xfId="0" applyNumberFormat="1" applyFont="1" applyFill="1" applyAlignment="1">
      <alignment horizontal="center"/>
    </xf>
    <xf numFmtId="2" fontId="28" fillId="3" borderId="34" xfId="0" applyNumberFormat="1" applyFont="1" applyFill="1" applyBorder="1" applyAlignment="1">
      <alignment horizontal="center"/>
    </xf>
    <xf numFmtId="2" fontId="28" fillId="3" borderId="10" xfId="0" applyNumberFormat="1" applyFont="1" applyFill="1" applyBorder="1" applyAlignment="1">
      <alignment horizontal="center"/>
    </xf>
    <xf numFmtId="2" fontId="28" fillId="3" borderId="36" xfId="0" applyNumberFormat="1" applyFont="1" applyFill="1" applyBorder="1" applyAlignment="1">
      <alignment horizontal="center"/>
    </xf>
    <xf numFmtId="2" fontId="28" fillId="3" borderId="4" xfId="0" applyNumberFormat="1" applyFont="1" applyFill="1" applyBorder="1" applyAlignment="1">
      <alignment horizontal="center"/>
    </xf>
    <xf numFmtId="2" fontId="28" fillId="3" borderId="5" xfId="0" applyNumberFormat="1" applyFont="1" applyFill="1" applyBorder="1" applyAlignment="1">
      <alignment horizontal="center"/>
    </xf>
    <xf numFmtId="0" fontId="27" fillId="3" borderId="4" xfId="0" applyFont="1" applyFill="1" applyBorder="1" applyAlignment="1">
      <alignment horizontal="center"/>
    </xf>
    <xf numFmtId="2" fontId="27" fillId="3" borderId="34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>
      <alignment horizontal="center"/>
    </xf>
    <xf numFmtId="2" fontId="27" fillId="3" borderId="36" xfId="0" applyNumberFormat="1" applyFont="1" applyFill="1" applyBorder="1" applyAlignment="1">
      <alignment horizontal="center"/>
    </xf>
    <xf numFmtId="168" fontId="27" fillId="3" borderId="0" xfId="0" applyNumberFormat="1" applyFont="1" applyFill="1" applyAlignment="1">
      <alignment horizontal="center"/>
    </xf>
    <xf numFmtId="168" fontId="27" fillId="3" borderId="0" xfId="0" applyNumberFormat="1" applyFont="1" applyFill="1"/>
    <xf numFmtId="168" fontId="27" fillId="3" borderId="22" xfId="0" applyNumberFormat="1" applyFont="1" applyFill="1" applyBorder="1"/>
    <xf numFmtId="168" fontId="27" fillId="3" borderId="21" xfId="0" applyNumberFormat="1" applyFont="1" applyFill="1" applyBorder="1" applyAlignment="1">
      <alignment horizontal="center"/>
    </xf>
    <xf numFmtId="168" fontId="27" fillId="3" borderId="10" xfId="0" applyNumberFormat="1" applyFont="1" applyFill="1" applyBorder="1" applyAlignment="1">
      <alignment horizontal="center"/>
    </xf>
    <xf numFmtId="168" fontId="27" fillId="3" borderId="22" xfId="0" applyNumberFormat="1" applyFont="1" applyFill="1" applyBorder="1" applyAlignment="1">
      <alignment horizontal="center"/>
    </xf>
    <xf numFmtId="168" fontId="27" fillId="3" borderId="5" xfId="0" applyNumberFormat="1" applyFont="1" applyFill="1" applyBorder="1"/>
    <xf numFmtId="168" fontId="27" fillId="3" borderId="20" xfId="0" applyNumberFormat="1" applyFont="1" applyFill="1" applyBorder="1" applyAlignment="1">
      <alignment horizontal="center"/>
    </xf>
    <xf numFmtId="168" fontId="27" fillId="3" borderId="23" xfId="0" applyNumberFormat="1" applyFont="1" applyFill="1" applyBorder="1" applyAlignment="1">
      <alignment horizontal="center"/>
    </xf>
    <xf numFmtId="168" fontId="27" fillId="3" borderId="54" xfId="0" applyNumberFormat="1" applyFont="1" applyFill="1" applyBorder="1" applyAlignment="1">
      <alignment horizontal="center"/>
    </xf>
    <xf numFmtId="168" fontId="27" fillId="3" borderId="24" xfId="0" applyNumberFormat="1" applyFont="1" applyFill="1" applyBorder="1" applyAlignment="1">
      <alignment horizontal="center"/>
    </xf>
    <xf numFmtId="171" fontId="49" fillId="3" borderId="28" xfId="0" applyNumberFormat="1" applyFont="1" applyFill="1" applyBorder="1" applyAlignment="1">
      <alignment horizontal="center"/>
    </xf>
    <xf numFmtId="171" fontId="49" fillId="3" borderId="29" xfId="0" applyNumberFormat="1" applyFont="1" applyFill="1" applyBorder="1" applyAlignment="1">
      <alignment horizontal="center"/>
    </xf>
    <xf numFmtId="171" fontId="49" fillId="3" borderId="30" xfId="0" applyNumberFormat="1" applyFont="1" applyFill="1" applyBorder="1" applyAlignment="1">
      <alignment horizontal="center"/>
    </xf>
    <xf numFmtId="171" fontId="50" fillId="3" borderId="23" xfId="0" applyNumberFormat="1" applyFont="1" applyFill="1" applyBorder="1" applyAlignment="1">
      <alignment horizontal="center"/>
    </xf>
    <xf numFmtId="171" fontId="50" fillId="3" borderId="20" xfId="0" applyNumberFormat="1" applyFont="1" applyFill="1" applyBorder="1" applyAlignment="1">
      <alignment horizontal="center"/>
    </xf>
    <xf numFmtId="171" fontId="50" fillId="3" borderId="24" xfId="0" applyNumberFormat="1" applyFont="1" applyFill="1" applyBorder="1" applyAlignment="1">
      <alignment horizontal="center"/>
    </xf>
    <xf numFmtId="171" fontId="50" fillId="3" borderId="2" xfId="0" applyNumberFormat="1" applyFont="1" applyFill="1" applyBorder="1" applyAlignment="1">
      <alignment horizontal="center"/>
    </xf>
    <xf numFmtId="168" fontId="56" fillId="3" borderId="21" xfId="0" applyNumberFormat="1" applyFont="1" applyFill="1" applyBorder="1" applyAlignment="1">
      <alignment horizontal="center"/>
    </xf>
    <xf numFmtId="168" fontId="56" fillId="3" borderId="0" xfId="2" applyNumberFormat="1" applyFont="1" applyFill="1" applyBorder="1" applyAlignment="1">
      <alignment horizontal="center"/>
    </xf>
    <xf numFmtId="168" fontId="56" fillId="3" borderId="22" xfId="2" applyNumberFormat="1" applyFont="1" applyFill="1" applyBorder="1" applyAlignment="1">
      <alignment horizontal="center"/>
    </xf>
    <xf numFmtId="1" fontId="50" fillId="3" borderId="0" xfId="0" applyNumberFormat="1" applyFont="1" applyFill="1" applyAlignment="1">
      <alignment horizontal="center"/>
    </xf>
    <xf numFmtId="1" fontId="50" fillId="3" borderId="5" xfId="0" applyNumberFormat="1" applyFont="1" applyFill="1" applyBorder="1" applyAlignment="1">
      <alignment horizontal="center"/>
    </xf>
    <xf numFmtId="168" fontId="50" fillId="3" borderId="20" xfId="0" applyNumberFormat="1" applyFont="1" applyFill="1" applyBorder="1"/>
    <xf numFmtId="168" fontId="50" fillId="3" borderId="52" xfId="0" applyNumberFormat="1" applyFont="1" applyFill="1" applyBorder="1"/>
    <xf numFmtId="171" fontId="28" fillId="3" borderId="3" xfId="0" applyNumberFormat="1" applyFont="1" applyFill="1" applyBorder="1" applyAlignment="1">
      <alignment horizontal="center"/>
    </xf>
    <xf numFmtId="171" fontId="27" fillId="3" borderId="48" xfId="0" applyNumberFormat="1" applyFont="1" applyFill="1" applyBorder="1" applyAlignment="1">
      <alignment horizontal="center"/>
    </xf>
    <xf numFmtId="171" fontId="28" fillId="3" borderId="5" xfId="0" applyNumberFormat="1" applyFont="1" applyFill="1" applyBorder="1" applyAlignment="1">
      <alignment horizontal="center"/>
    </xf>
    <xf numFmtId="171" fontId="27" fillId="3" borderId="5" xfId="0" applyNumberFormat="1" applyFont="1" applyFill="1" applyBorder="1" applyAlignment="1">
      <alignment horizontal="center"/>
    </xf>
    <xf numFmtId="41" fontId="34" fillId="3" borderId="7" xfId="0" applyNumberFormat="1" applyFont="1" applyFill="1" applyBorder="1" applyAlignment="1">
      <alignment horizontal="center"/>
    </xf>
    <xf numFmtId="41" fontId="34" fillId="3" borderId="8" xfId="0" applyNumberFormat="1" applyFont="1" applyFill="1" applyBorder="1" applyAlignment="1">
      <alignment horizontal="center"/>
    </xf>
    <xf numFmtId="41" fontId="34" fillId="3" borderId="12" xfId="0" applyNumberFormat="1" applyFont="1" applyFill="1" applyBorder="1" applyAlignment="1">
      <alignment horizontal="center"/>
    </xf>
    <xf numFmtId="171" fontId="27" fillId="3" borderId="29" xfId="0" applyNumberFormat="1" applyFont="1" applyFill="1" applyBorder="1" applyAlignment="1">
      <alignment horizontal="center"/>
    </xf>
    <xf numFmtId="171" fontId="27" fillId="3" borderId="41" xfId="0" applyNumberFormat="1" applyFont="1" applyFill="1" applyBorder="1" applyAlignment="1">
      <alignment horizontal="center"/>
    </xf>
    <xf numFmtId="171" fontId="27" fillId="3" borderId="53" xfId="0" applyNumberFormat="1" applyFont="1" applyFill="1" applyBorder="1" applyAlignment="1">
      <alignment horizontal="center"/>
    </xf>
    <xf numFmtId="171" fontId="27" fillId="3" borderId="43" xfId="0" applyNumberFormat="1" applyFont="1" applyFill="1" applyBorder="1" applyAlignment="1">
      <alignment horizontal="center"/>
    </xf>
    <xf numFmtId="171" fontId="27" fillId="3" borderId="9" xfId="0" applyNumberFormat="1" applyFont="1" applyFill="1" applyBorder="1" applyAlignment="1">
      <alignment horizontal="center"/>
    </xf>
    <xf numFmtId="171" fontId="27" fillId="3" borderId="12" xfId="0" applyNumberFormat="1" applyFont="1" applyFill="1" applyBorder="1" applyAlignment="1">
      <alignment horizontal="center"/>
    </xf>
    <xf numFmtId="171" fontId="28" fillId="3" borderId="9" xfId="0" applyNumberFormat="1" applyFont="1" applyFill="1" applyBorder="1" applyAlignment="1">
      <alignment horizontal="center"/>
    </xf>
    <xf numFmtId="171" fontId="28" fillId="3" borderId="14" xfId="0" applyNumberFormat="1" applyFont="1" applyFill="1" applyBorder="1" applyAlignment="1">
      <alignment horizontal="center"/>
    </xf>
    <xf numFmtId="0" fontId="4" fillId="3" borderId="21" xfId="0" applyFont="1" applyFill="1" applyBorder="1"/>
    <xf numFmtId="168" fontId="4" fillId="8" borderId="0" xfId="0" applyNumberFormat="1" applyFont="1" applyFill="1"/>
    <xf numFmtId="10" fontId="4" fillId="8" borderId="0" xfId="0" applyNumberFormat="1" applyFont="1" applyFill="1"/>
    <xf numFmtId="10" fontId="4" fillId="8" borderId="21" xfId="0" applyNumberFormat="1" applyFont="1" applyFill="1" applyBorder="1"/>
    <xf numFmtId="171" fontId="4" fillId="3" borderId="10" xfId="0" applyNumberFormat="1" applyFont="1" applyFill="1" applyBorder="1" applyAlignment="1">
      <alignment horizontal="center"/>
    </xf>
    <xf numFmtId="10" fontId="4" fillId="8" borderId="22" xfId="0" applyNumberFormat="1" applyFont="1" applyFill="1" applyBorder="1"/>
    <xf numFmtId="168" fontId="4" fillId="3" borderId="0" xfId="2" applyNumberFormat="1" applyFont="1" applyFill="1" applyBorder="1"/>
    <xf numFmtId="171" fontId="13" fillId="3" borderId="15" xfId="0" applyNumberFormat="1" applyFont="1" applyFill="1" applyBorder="1" applyAlignment="1">
      <alignment horizontal="center"/>
    </xf>
    <xf numFmtId="171" fontId="27" fillId="3" borderId="42" xfId="0" applyNumberFormat="1" applyFont="1" applyFill="1" applyBorder="1" applyAlignment="1">
      <alignment horizontal="center"/>
    </xf>
    <xf numFmtId="171" fontId="27" fillId="3" borderId="59" xfId="0" applyNumberFormat="1" applyFont="1" applyFill="1" applyBorder="1" applyAlignment="1">
      <alignment horizontal="center"/>
    </xf>
    <xf numFmtId="171" fontId="27" fillId="3" borderId="13" xfId="0" applyNumberFormat="1" applyFont="1" applyFill="1" applyBorder="1" applyAlignment="1">
      <alignment horizontal="center"/>
    </xf>
    <xf numFmtId="171" fontId="13" fillId="3" borderId="21" xfId="1" applyNumberFormat="1" applyFont="1" applyFill="1" applyBorder="1" applyAlignment="1">
      <alignment horizontal="center"/>
    </xf>
    <xf numFmtId="171" fontId="13" fillId="3" borderId="22" xfId="1" applyNumberFormat="1" applyFont="1" applyFill="1" applyBorder="1" applyAlignment="1">
      <alignment horizontal="center"/>
    </xf>
    <xf numFmtId="171" fontId="27" fillId="3" borderId="0" xfId="1" applyNumberFormat="1" applyFont="1" applyFill="1" applyBorder="1" applyAlignment="1">
      <alignment horizontal="center"/>
    </xf>
    <xf numFmtId="171" fontId="27" fillId="3" borderId="21" xfId="1" applyNumberFormat="1" applyFont="1" applyFill="1" applyBorder="1" applyAlignment="1">
      <alignment horizontal="center"/>
    </xf>
    <xf numFmtId="171" fontId="27" fillId="3" borderId="22" xfId="1" applyNumberFormat="1" applyFont="1" applyFill="1" applyBorder="1" applyAlignment="1">
      <alignment horizontal="center"/>
    </xf>
    <xf numFmtId="171" fontId="27" fillId="3" borderId="38" xfId="1" applyNumberFormat="1" applyFont="1" applyFill="1" applyBorder="1" applyAlignment="1">
      <alignment horizontal="center"/>
    </xf>
    <xf numFmtId="171" fontId="28" fillId="3" borderId="0" xfId="1" applyNumberFormat="1" applyFont="1" applyFill="1" applyBorder="1" applyAlignment="1">
      <alignment horizontal="center"/>
    </xf>
    <xf numFmtId="171" fontId="28" fillId="3" borderId="21" xfId="1" applyNumberFormat="1" applyFont="1" applyFill="1" applyBorder="1" applyAlignment="1">
      <alignment horizontal="center"/>
    </xf>
    <xf numFmtId="171" fontId="28" fillId="3" borderId="22" xfId="1" applyNumberFormat="1" applyFont="1" applyFill="1" applyBorder="1" applyAlignment="1">
      <alignment horizontal="center"/>
    </xf>
    <xf numFmtId="168" fontId="31" fillId="3" borderId="21" xfId="2" applyNumberFormat="1" applyFont="1" applyFill="1" applyBorder="1" applyAlignment="1">
      <alignment horizontal="center"/>
    </xf>
    <xf numFmtId="168" fontId="31" fillId="3" borderId="38" xfId="2" applyNumberFormat="1" applyFont="1" applyFill="1" applyBorder="1" applyAlignment="1">
      <alignment horizontal="center"/>
    </xf>
    <xf numFmtId="171" fontId="28" fillId="3" borderId="38" xfId="1" applyNumberFormat="1" applyFont="1" applyFill="1" applyBorder="1" applyAlignment="1">
      <alignment horizontal="center"/>
    </xf>
    <xf numFmtId="10" fontId="31" fillId="8" borderId="0" xfId="0" applyNumberFormat="1" applyFont="1" applyFill="1" applyAlignment="1">
      <alignment horizontal="center"/>
    </xf>
    <xf numFmtId="10" fontId="31" fillId="8" borderId="21" xfId="0" applyNumberFormat="1" applyFont="1" applyFill="1" applyBorder="1" applyAlignment="1">
      <alignment horizontal="center"/>
    </xf>
    <xf numFmtId="10" fontId="31" fillId="3" borderId="0" xfId="1" applyNumberFormat="1" applyFont="1" applyFill="1" applyAlignment="1">
      <alignment horizontal="center"/>
    </xf>
    <xf numFmtId="10" fontId="31" fillId="8" borderId="38" xfId="0" applyNumberFormat="1" applyFont="1" applyFill="1" applyBorder="1" applyAlignment="1">
      <alignment horizontal="center"/>
    </xf>
    <xf numFmtId="10" fontId="31" fillId="8" borderId="22" xfId="0" applyNumberFormat="1" applyFont="1" applyFill="1" applyBorder="1" applyAlignment="1">
      <alignment horizontal="center"/>
    </xf>
    <xf numFmtId="168" fontId="31" fillId="8" borderId="21" xfId="0" applyNumberFormat="1" applyFont="1" applyFill="1" applyBorder="1" applyAlignment="1">
      <alignment horizontal="center"/>
    </xf>
    <xf numFmtId="168" fontId="31" fillId="8" borderId="0" xfId="0" applyNumberFormat="1" applyFont="1" applyFill="1" applyAlignment="1">
      <alignment horizontal="center"/>
    </xf>
    <xf numFmtId="168" fontId="31" fillId="8" borderId="22" xfId="0" applyNumberFormat="1" applyFont="1" applyFill="1" applyBorder="1" applyAlignment="1">
      <alignment horizontal="center"/>
    </xf>
    <xf numFmtId="171" fontId="50" fillId="3" borderId="0" xfId="1" applyNumberFormat="1" applyFont="1" applyFill="1" applyBorder="1" applyAlignment="1">
      <alignment horizontal="center"/>
    </xf>
    <xf numFmtId="171" fontId="50" fillId="3" borderId="21" xfId="1" applyNumberFormat="1" applyFont="1" applyFill="1" applyBorder="1" applyAlignment="1">
      <alignment horizontal="center"/>
    </xf>
    <xf numFmtId="171" fontId="50" fillId="3" borderId="22" xfId="1" applyNumberFormat="1" applyFont="1" applyFill="1" applyBorder="1" applyAlignment="1">
      <alignment horizontal="center"/>
    </xf>
    <xf numFmtId="171" fontId="14" fillId="3" borderId="0" xfId="1" applyNumberFormat="1" applyFont="1" applyFill="1" applyBorder="1" applyAlignment="1">
      <alignment horizontal="center"/>
    </xf>
    <xf numFmtId="171" fontId="14" fillId="3" borderId="21" xfId="1" applyNumberFormat="1" applyFont="1" applyFill="1" applyBorder="1" applyAlignment="1">
      <alignment horizontal="center"/>
    </xf>
    <xf numFmtId="171" fontId="14" fillId="3" borderId="22" xfId="1" applyNumberFormat="1" applyFont="1" applyFill="1" applyBorder="1" applyAlignment="1">
      <alignment horizontal="center"/>
    </xf>
    <xf numFmtId="171" fontId="14" fillId="8" borderId="0" xfId="1" applyNumberFormat="1" applyFont="1" applyFill="1" applyBorder="1" applyAlignment="1">
      <alignment horizontal="center"/>
    </xf>
    <xf numFmtId="171" fontId="14" fillId="8" borderId="21" xfId="1" applyNumberFormat="1" applyFont="1" applyFill="1" applyBorder="1" applyAlignment="1">
      <alignment horizontal="center"/>
    </xf>
    <xf numFmtId="171" fontId="14" fillId="8" borderId="22" xfId="1" applyNumberFormat="1" applyFont="1" applyFill="1" applyBorder="1" applyAlignment="1">
      <alignment horizontal="center"/>
    </xf>
    <xf numFmtId="171" fontId="27" fillId="8" borderId="22" xfId="1" applyNumberFormat="1" applyFont="1" applyFill="1" applyBorder="1" applyAlignment="1">
      <alignment horizontal="center"/>
    </xf>
    <xf numFmtId="168" fontId="27" fillId="3" borderId="0" xfId="2" applyNumberFormat="1" applyFont="1" applyFill="1" applyAlignment="1">
      <alignment horizontal="center"/>
    </xf>
    <xf numFmtId="168" fontId="27" fillId="3" borderId="0" xfId="2" applyNumberFormat="1" applyFont="1" applyFill="1" applyBorder="1" applyAlignment="1">
      <alignment horizontal="center"/>
    </xf>
    <xf numFmtId="168" fontId="27" fillId="3" borderId="21" xfId="2" applyNumberFormat="1" applyFont="1" applyFill="1" applyBorder="1" applyAlignment="1">
      <alignment horizontal="center"/>
    </xf>
    <xf numFmtId="168" fontId="27" fillId="3" borderId="22" xfId="2" applyNumberFormat="1" applyFont="1" applyFill="1" applyBorder="1" applyAlignment="1">
      <alignment horizontal="center"/>
    </xf>
    <xf numFmtId="168" fontId="27" fillId="8" borderId="0" xfId="2" applyNumberFormat="1" applyFont="1" applyFill="1" applyAlignment="1">
      <alignment horizontal="center"/>
    </xf>
    <xf numFmtId="168" fontId="27" fillId="8" borderId="0" xfId="2" applyNumberFormat="1" applyFont="1" applyFill="1" applyBorder="1" applyAlignment="1">
      <alignment horizontal="center"/>
    </xf>
    <xf numFmtId="168" fontId="27" fillId="8" borderId="21" xfId="2" applyNumberFormat="1" applyFont="1" applyFill="1" applyBorder="1" applyAlignment="1">
      <alignment horizontal="center"/>
    </xf>
    <xf numFmtId="168" fontId="27" fillId="8" borderId="22" xfId="2" applyNumberFormat="1" applyFont="1" applyFill="1" applyBorder="1" applyAlignment="1">
      <alignment horizontal="center"/>
    </xf>
    <xf numFmtId="168" fontId="27" fillId="3" borderId="0" xfId="2" applyNumberFormat="1" applyFont="1" applyFill="1" applyBorder="1" applyAlignment="1">
      <alignment horizontal="center" vertical="center"/>
    </xf>
    <xf numFmtId="168" fontId="27" fillId="3" borderId="22" xfId="2" applyNumberFormat="1" applyFont="1" applyFill="1" applyBorder="1" applyAlignment="1">
      <alignment horizontal="center" vertical="center"/>
    </xf>
    <xf numFmtId="168" fontId="27" fillId="3" borderId="21" xfId="0" applyNumberFormat="1" applyFont="1" applyFill="1" applyBorder="1" applyAlignment="1">
      <alignment horizontal="center" vertical="center"/>
    </xf>
    <xf numFmtId="168" fontId="27" fillId="3" borderId="0" xfId="0" applyNumberFormat="1" applyFont="1" applyFill="1" applyAlignment="1">
      <alignment horizontal="center" vertical="center"/>
    </xf>
    <xf numFmtId="168" fontId="27" fillId="3" borderId="22" xfId="0" applyNumberFormat="1" applyFont="1" applyFill="1" applyBorder="1" applyAlignment="1">
      <alignment horizontal="center" vertical="center"/>
    </xf>
    <xf numFmtId="168" fontId="28" fillId="3" borderId="24" xfId="2" applyNumberFormat="1" applyFont="1" applyFill="1" applyBorder="1" applyAlignment="1">
      <alignment horizontal="center" vertical="center"/>
    </xf>
    <xf numFmtId="168" fontId="28" fillId="3" borderId="23" xfId="0" applyNumberFormat="1" applyFont="1" applyFill="1" applyBorder="1" applyAlignment="1">
      <alignment horizontal="center" vertical="center"/>
    </xf>
    <xf numFmtId="168" fontId="28" fillId="3" borderId="20" xfId="0" applyNumberFormat="1" applyFont="1" applyFill="1" applyBorder="1" applyAlignment="1">
      <alignment horizontal="center" vertical="center"/>
    </xf>
    <xf numFmtId="168" fontId="28" fillId="3" borderId="24" xfId="0" applyNumberFormat="1" applyFont="1" applyFill="1" applyBorder="1" applyAlignment="1">
      <alignment horizontal="center" vertical="center"/>
    </xf>
    <xf numFmtId="168" fontId="28" fillId="3" borderId="7" xfId="2" applyNumberFormat="1" applyFont="1" applyFill="1" applyBorder="1" applyAlignment="1">
      <alignment horizontal="center" vertical="center"/>
    </xf>
    <xf numFmtId="171" fontId="50" fillId="3" borderId="28" xfId="0" applyNumberFormat="1" applyFont="1" applyFill="1" applyBorder="1" applyAlignment="1">
      <alignment horizontal="center"/>
    </xf>
    <xf numFmtId="171" fontId="50" fillId="3" borderId="29" xfId="1" applyNumberFormat="1" applyFont="1" applyFill="1" applyBorder="1" applyAlignment="1">
      <alignment horizontal="center"/>
    </xf>
    <xf numFmtId="171" fontId="50" fillId="3" borderId="30" xfId="1" applyNumberFormat="1" applyFont="1" applyFill="1" applyBorder="1" applyAlignment="1">
      <alignment horizontal="center"/>
    </xf>
    <xf numFmtId="171" fontId="50" fillId="8" borderId="21" xfId="0" applyNumberFormat="1" applyFont="1" applyFill="1" applyBorder="1" applyAlignment="1">
      <alignment horizontal="center"/>
    </xf>
    <xf numFmtId="171" fontId="50" fillId="8" borderId="0" xfId="1" applyNumberFormat="1" applyFont="1" applyFill="1" applyBorder="1" applyAlignment="1">
      <alignment horizontal="center"/>
    </xf>
    <xf numFmtId="171" fontId="50" fillId="8" borderId="22" xfId="1" applyNumberFormat="1" applyFont="1" applyFill="1" applyBorder="1" applyAlignment="1">
      <alignment horizontal="center"/>
    </xf>
    <xf numFmtId="168" fontId="27" fillId="3" borderId="5" xfId="2" applyNumberFormat="1" applyFont="1" applyFill="1" applyBorder="1" applyAlignment="1">
      <alignment horizontal="center"/>
    </xf>
    <xf numFmtId="168" fontId="28" fillId="3" borderId="0" xfId="2" applyNumberFormat="1" applyFont="1" applyFill="1" applyBorder="1" applyAlignment="1">
      <alignment horizontal="center"/>
    </xf>
    <xf numFmtId="168" fontId="28" fillId="3" borderId="5" xfId="2" applyNumberFormat="1" applyFont="1" applyFill="1" applyBorder="1" applyAlignment="1">
      <alignment horizontal="center"/>
    </xf>
    <xf numFmtId="171" fontId="27" fillId="3" borderId="38" xfId="0" applyNumberFormat="1" applyFont="1" applyFill="1" applyBorder="1" applyAlignment="1">
      <alignment horizontal="center"/>
    </xf>
    <xf numFmtId="171" fontId="28" fillId="3" borderId="38" xfId="0" applyNumberFormat="1" applyFont="1" applyFill="1" applyBorder="1" applyAlignment="1">
      <alignment horizontal="center"/>
    </xf>
    <xf numFmtId="168" fontId="28" fillId="3" borderId="21" xfId="2" applyNumberFormat="1" applyFont="1" applyFill="1" applyBorder="1" applyAlignment="1">
      <alignment horizontal="center"/>
    </xf>
    <xf numFmtId="168" fontId="28" fillId="3" borderId="22" xfId="2" applyNumberFormat="1" applyFont="1" applyFill="1" applyBorder="1" applyAlignment="1">
      <alignment horizontal="center"/>
    </xf>
    <xf numFmtId="168" fontId="27" fillId="3" borderId="38" xfId="2" applyNumberFormat="1" applyFont="1" applyFill="1" applyBorder="1" applyAlignment="1">
      <alignment horizontal="center"/>
    </xf>
    <xf numFmtId="168" fontId="28" fillId="3" borderId="7" xfId="2" applyNumberFormat="1" applyFont="1" applyFill="1" applyBorder="1" applyAlignment="1">
      <alignment horizontal="center"/>
    </xf>
    <xf numFmtId="168" fontId="28" fillId="3" borderId="8" xfId="2" applyNumberFormat="1" applyFont="1" applyFill="1" applyBorder="1" applyAlignment="1">
      <alignment horizontal="center"/>
    </xf>
    <xf numFmtId="168" fontId="28" fillId="3" borderId="23" xfId="2" applyNumberFormat="1" applyFont="1" applyFill="1" applyBorder="1" applyAlignment="1">
      <alignment horizontal="center"/>
    </xf>
    <xf numFmtId="168" fontId="28" fillId="3" borderId="24" xfId="2" applyNumberFormat="1" applyFont="1" applyFill="1" applyBorder="1" applyAlignment="1">
      <alignment horizontal="center"/>
    </xf>
    <xf numFmtId="168" fontId="28" fillId="3" borderId="39" xfId="2" applyNumberFormat="1" applyFont="1" applyFill="1" applyBorder="1" applyAlignment="1">
      <alignment horizontal="center"/>
    </xf>
    <xf numFmtId="168" fontId="28" fillId="3" borderId="20" xfId="2" applyNumberFormat="1" applyFont="1" applyFill="1" applyBorder="1" applyAlignment="1">
      <alignment horizontal="center"/>
    </xf>
    <xf numFmtId="171" fontId="13" fillId="3" borderId="0" xfId="1" applyNumberFormat="1" applyFont="1" applyFill="1" applyBorder="1" applyAlignment="1">
      <alignment horizontal="center"/>
    </xf>
    <xf numFmtId="171" fontId="13" fillId="3" borderId="28" xfId="1" applyNumberFormat="1" applyFont="1" applyFill="1" applyBorder="1" applyAlignment="1">
      <alignment horizontal="center"/>
    </xf>
    <xf numFmtId="171" fontId="13" fillId="3" borderId="30" xfId="1" applyNumberFormat="1" applyFont="1" applyFill="1" applyBorder="1" applyAlignment="1">
      <alignment horizontal="center"/>
    </xf>
    <xf numFmtId="171" fontId="14" fillId="8" borderId="0" xfId="1" applyNumberFormat="1" applyFont="1" applyFill="1" applyAlignment="1">
      <alignment horizontal="center"/>
    </xf>
    <xf numFmtId="171" fontId="14" fillId="3" borderId="0" xfId="1" applyNumberFormat="1" applyFont="1" applyFill="1" applyAlignment="1">
      <alignment horizontal="center"/>
    </xf>
    <xf numFmtId="168" fontId="14" fillId="3" borderId="22" xfId="2" applyNumberFormat="1" applyFont="1" applyFill="1" applyBorder="1" applyAlignment="1">
      <alignment horizontal="center"/>
    </xf>
    <xf numFmtId="168" fontId="14" fillId="3" borderId="21" xfId="2" applyNumberFormat="1" applyFont="1" applyFill="1" applyBorder="1" applyAlignment="1">
      <alignment horizontal="center"/>
    </xf>
    <xf numFmtId="171" fontId="28" fillId="3" borderId="28" xfId="1" applyNumberFormat="1" applyFont="1" applyFill="1" applyBorder="1" applyAlignment="1">
      <alignment horizontal="center"/>
    </xf>
    <xf numFmtId="171" fontId="28" fillId="3" borderId="29" xfId="1" applyNumberFormat="1" applyFont="1" applyFill="1" applyBorder="1" applyAlignment="1">
      <alignment horizontal="center"/>
    </xf>
    <xf numFmtId="171" fontId="28" fillId="3" borderId="30" xfId="1" applyNumberFormat="1" applyFont="1" applyFill="1" applyBorder="1" applyAlignment="1">
      <alignment horizontal="center"/>
    </xf>
    <xf numFmtId="171" fontId="27" fillId="3" borderId="0" xfId="1" applyNumberFormat="1" applyFont="1" applyFill="1" applyAlignment="1">
      <alignment horizontal="center"/>
    </xf>
    <xf numFmtId="171" fontId="27" fillId="8" borderId="0" xfId="1" applyNumberFormat="1" applyFont="1" applyFill="1" applyAlignment="1">
      <alignment horizontal="center"/>
    </xf>
    <xf numFmtId="171" fontId="27" fillId="8" borderId="21" xfId="1" applyNumberFormat="1" applyFont="1" applyFill="1" applyBorder="1" applyAlignment="1">
      <alignment horizontal="center"/>
    </xf>
    <xf numFmtId="168" fontId="28" fillId="3" borderId="0" xfId="2" applyNumberFormat="1" applyFont="1" applyFill="1" applyAlignment="1">
      <alignment horizontal="center"/>
    </xf>
    <xf numFmtId="168" fontId="28" fillId="3" borderId="38" xfId="2" applyNumberFormat="1" applyFont="1" applyFill="1" applyBorder="1" applyAlignment="1">
      <alignment horizontal="center"/>
    </xf>
    <xf numFmtId="168" fontId="28" fillId="3" borderId="21" xfId="0" applyNumberFormat="1" applyFont="1" applyFill="1" applyBorder="1" applyAlignment="1">
      <alignment horizontal="center"/>
    </xf>
    <xf numFmtId="168" fontId="28" fillId="3" borderId="0" xfId="0" applyNumberFormat="1" applyFont="1" applyFill="1" applyAlignment="1">
      <alignment horizontal="center"/>
    </xf>
    <xf numFmtId="168" fontId="28" fillId="3" borderId="22" xfId="0" applyNumberFormat="1" applyFont="1" applyFill="1" applyBorder="1" applyAlignment="1">
      <alignment horizontal="center"/>
    </xf>
    <xf numFmtId="168" fontId="27" fillId="3" borderId="5" xfId="0" applyNumberFormat="1" applyFont="1" applyFill="1" applyBorder="1" applyAlignment="1">
      <alignment horizontal="center"/>
    </xf>
    <xf numFmtId="168" fontId="28" fillId="3" borderId="23" xfId="0" applyNumberFormat="1" applyFont="1" applyFill="1" applyBorder="1" applyAlignment="1">
      <alignment horizontal="center"/>
    </xf>
    <xf numFmtId="168" fontId="28" fillId="3" borderId="20" xfId="0" applyNumberFormat="1" applyFont="1" applyFill="1" applyBorder="1" applyAlignment="1">
      <alignment horizontal="center"/>
    </xf>
    <xf numFmtId="168" fontId="28" fillId="3" borderId="24" xfId="0" applyNumberFormat="1" applyFont="1" applyFill="1" applyBorder="1" applyAlignment="1">
      <alignment horizontal="center"/>
    </xf>
    <xf numFmtId="171" fontId="50" fillId="8" borderId="21" xfId="1" applyNumberFormat="1" applyFont="1" applyFill="1" applyBorder="1" applyAlignment="1">
      <alignment horizontal="center"/>
    </xf>
    <xf numFmtId="171" fontId="50" fillId="8" borderId="0" xfId="1" applyNumberFormat="1" applyFont="1" applyFill="1" applyAlignment="1">
      <alignment horizontal="center"/>
    </xf>
    <xf numFmtId="173" fontId="14" fillId="3" borderId="21" xfId="0" applyNumberFormat="1" applyFont="1" applyFill="1" applyBorder="1" applyAlignment="1">
      <alignment horizontal="center"/>
    </xf>
    <xf numFmtId="173" fontId="14" fillId="3" borderId="22" xfId="0" applyNumberFormat="1" applyFont="1" applyFill="1" applyBorder="1" applyAlignment="1">
      <alignment horizontal="center"/>
    </xf>
    <xf numFmtId="173" fontId="14" fillId="8" borderId="21" xfId="0" applyNumberFormat="1" applyFont="1" applyFill="1" applyBorder="1"/>
    <xf numFmtId="173" fontId="14" fillId="8" borderId="22" xfId="0" applyNumberFormat="1" applyFont="1" applyFill="1" applyBorder="1"/>
    <xf numFmtId="173" fontId="14" fillId="3" borderId="0" xfId="0" applyNumberFormat="1" applyFont="1" applyFill="1"/>
    <xf numFmtId="173" fontId="28" fillId="3" borderId="28" xfId="0" applyNumberFormat="1" applyFont="1" applyFill="1" applyBorder="1"/>
    <xf numFmtId="173" fontId="28" fillId="3" borderId="30" xfId="0" applyNumberFormat="1" applyFont="1" applyFill="1" applyBorder="1"/>
    <xf numFmtId="173" fontId="28" fillId="3" borderId="29" xfId="0" applyNumberFormat="1" applyFont="1" applyFill="1" applyBorder="1"/>
    <xf numFmtId="173" fontId="27" fillId="3" borderId="0" xfId="0" applyNumberFormat="1" applyFont="1" applyFill="1"/>
    <xf numFmtId="173" fontId="27" fillId="3" borderId="22" xfId="0" applyNumberFormat="1" applyFont="1" applyFill="1" applyBorder="1"/>
    <xf numFmtId="173" fontId="27" fillId="8" borderId="0" xfId="0" applyNumberFormat="1" applyFont="1" applyFill="1"/>
    <xf numFmtId="173" fontId="27" fillId="8" borderId="22" xfId="0" applyNumberFormat="1" applyFont="1" applyFill="1" applyBorder="1"/>
    <xf numFmtId="173" fontId="27" fillId="3" borderId="0" xfId="1" applyNumberFormat="1" applyFont="1" applyFill="1" applyAlignment="1">
      <alignment horizontal="center"/>
    </xf>
    <xf numFmtId="173" fontId="27" fillId="3" borderId="21" xfId="0" applyNumberFormat="1" applyFont="1" applyFill="1" applyBorder="1"/>
    <xf numFmtId="173" fontId="27" fillId="8" borderId="21" xfId="0" applyNumberFormat="1" applyFont="1" applyFill="1" applyBorder="1"/>
    <xf numFmtId="173" fontId="50" fillId="8" borderId="0" xfId="0" applyNumberFormat="1" applyFont="1" applyFill="1"/>
    <xf numFmtId="173" fontId="50" fillId="8" borderId="22" xfId="0" applyNumberFormat="1" applyFont="1" applyFill="1" applyBorder="1"/>
    <xf numFmtId="173" fontId="50" fillId="8" borderId="21" xfId="0" applyNumberFormat="1" applyFont="1" applyFill="1" applyBorder="1"/>
    <xf numFmtId="173" fontId="50" fillId="3" borderId="0" xfId="0" applyNumberFormat="1" applyFont="1" applyFill="1"/>
    <xf numFmtId="173" fontId="50" fillId="3" borderId="22" xfId="0" applyNumberFormat="1" applyFont="1" applyFill="1" applyBorder="1"/>
    <xf numFmtId="173" fontId="50" fillId="3" borderId="21" xfId="0" applyNumberFormat="1" applyFont="1" applyFill="1" applyBorder="1"/>
    <xf numFmtId="176" fontId="14" fillId="8" borderId="21" xfId="0" applyNumberFormat="1" applyFont="1" applyFill="1" applyBorder="1"/>
    <xf numFmtId="176" fontId="14" fillId="8" borderId="22" xfId="0" applyNumberFormat="1" applyFont="1" applyFill="1" applyBorder="1"/>
    <xf numFmtId="168" fontId="27" fillId="3" borderId="21" xfId="0" applyNumberFormat="1" applyFont="1" applyFill="1" applyBorder="1"/>
    <xf numFmtId="168" fontId="27" fillId="3" borderId="2" xfId="0" applyNumberFormat="1" applyFont="1" applyFill="1" applyBorder="1"/>
    <xf numFmtId="168" fontId="27" fillId="3" borderId="31" xfId="0" applyNumberFormat="1" applyFont="1" applyFill="1" applyBorder="1"/>
    <xf numFmtId="168" fontId="27" fillId="3" borderId="45" xfId="0" applyNumberFormat="1" applyFont="1" applyFill="1" applyBorder="1"/>
    <xf numFmtId="168" fontId="50" fillId="3" borderId="0" xfId="0" applyNumberFormat="1" applyFont="1" applyFill="1"/>
    <xf numFmtId="168" fontId="50" fillId="3" borderId="22" xfId="0" applyNumberFormat="1" applyFont="1" applyFill="1" applyBorder="1"/>
    <xf numFmtId="168" fontId="50" fillId="3" borderId="21" xfId="0" applyNumberFormat="1" applyFont="1" applyFill="1" applyBorder="1"/>
    <xf numFmtId="168" fontId="50" fillId="3" borderId="2" xfId="0" applyNumberFormat="1" applyFont="1" applyFill="1" applyBorder="1"/>
    <xf numFmtId="168" fontId="50" fillId="3" borderId="31" xfId="0" applyNumberFormat="1" applyFont="1" applyFill="1" applyBorder="1"/>
    <xf numFmtId="168" fontId="50" fillId="3" borderId="45" xfId="0" applyNumberFormat="1" applyFont="1" applyFill="1" applyBorder="1"/>
    <xf numFmtId="176" fontId="50" fillId="8" borderId="0" xfId="0" applyNumberFormat="1" applyFont="1" applyFill="1"/>
    <xf numFmtId="176" fontId="50" fillId="8" borderId="22" xfId="0" applyNumberFormat="1" applyFont="1" applyFill="1" applyBorder="1"/>
    <xf numFmtId="176" fontId="50" fillId="8" borderId="21" xfId="0" applyNumberFormat="1" applyFont="1" applyFill="1" applyBorder="1"/>
    <xf numFmtId="173" fontId="49" fillId="3" borderId="21" xfId="0" applyNumberFormat="1" applyFont="1" applyFill="1" applyBorder="1"/>
    <xf numFmtId="173" fontId="49" fillId="3" borderId="0" xfId="0" applyNumberFormat="1" applyFont="1" applyFill="1"/>
    <xf numFmtId="173" fontId="49" fillId="3" borderId="22" xfId="0" applyNumberFormat="1" applyFont="1" applyFill="1" applyBorder="1"/>
    <xf numFmtId="168" fontId="14" fillId="0" borderId="21" xfId="0" applyNumberFormat="1" applyFont="1" applyBorder="1"/>
    <xf numFmtId="173" fontId="28" fillId="0" borderId="29" xfId="0" applyNumberFormat="1" applyFont="1" applyBorder="1"/>
    <xf numFmtId="173" fontId="28" fillId="0" borderId="28" xfId="0" applyNumberFormat="1" applyFont="1" applyBorder="1"/>
    <xf numFmtId="173" fontId="28" fillId="0" borderId="30" xfId="0" applyNumberFormat="1" applyFont="1" applyBorder="1"/>
    <xf numFmtId="168" fontId="28" fillId="0" borderId="20" xfId="0" applyNumberFormat="1" applyFont="1" applyBorder="1"/>
    <xf numFmtId="168" fontId="28" fillId="0" borderId="23" xfId="0" applyNumberFormat="1" applyFont="1" applyBorder="1"/>
    <xf numFmtId="168" fontId="28" fillId="0" borderId="24" xfId="0" applyNumberFormat="1" applyFont="1" applyBorder="1"/>
    <xf numFmtId="168" fontId="27" fillId="0" borderId="22" xfId="0" applyNumberFormat="1" applyFont="1" applyBorder="1"/>
    <xf numFmtId="168" fontId="27" fillId="8" borderId="0" xfId="0" applyNumberFormat="1" applyFont="1" applyFill="1"/>
    <xf numFmtId="168" fontId="27" fillId="8" borderId="22" xfId="0" applyNumberFormat="1" applyFont="1" applyFill="1" applyBorder="1"/>
    <xf numFmtId="10" fontId="27" fillId="0" borderId="22" xfId="0" applyNumberFormat="1" applyFont="1" applyBorder="1"/>
    <xf numFmtId="173" fontId="49" fillId="0" borderId="29" xfId="0" applyNumberFormat="1" applyFont="1" applyBorder="1"/>
    <xf numFmtId="173" fontId="49" fillId="0" borderId="0" xfId="0" applyNumberFormat="1" applyFont="1"/>
    <xf numFmtId="168" fontId="50" fillId="0" borderId="0" xfId="0" applyNumberFormat="1" applyFont="1"/>
    <xf numFmtId="168" fontId="50" fillId="0" borderId="22" xfId="0" applyNumberFormat="1" applyFont="1" applyBorder="1"/>
    <xf numFmtId="168" fontId="50" fillId="0" borderId="21" xfId="0" applyNumberFormat="1" applyFont="1" applyBorder="1"/>
    <xf numFmtId="168" fontId="50" fillId="8" borderId="21" xfId="0" applyNumberFormat="1" applyFont="1" applyFill="1" applyBorder="1"/>
    <xf numFmtId="168" fontId="50" fillId="8" borderId="0" xfId="0" applyNumberFormat="1" applyFont="1" applyFill="1"/>
    <xf numFmtId="168" fontId="50" fillId="8" borderId="22" xfId="0" applyNumberFormat="1" applyFont="1" applyFill="1" applyBorder="1"/>
    <xf numFmtId="173" fontId="27" fillId="0" borderId="22" xfId="0" applyNumberFormat="1" applyFont="1" applyBorder="1" applyAlignment="1">
      <alignment horizontal="center"/>
    </xf>
    <xf numFmtId="10" fontId="34" fillId="0" borderId="22" xfId="0" applyNumberFormat="1" applyFont="1" applyBorder="1" applyAlignment="1">
      <alignment horizontal="center"/>
    </xf>
    <xf numFmtId="10" fontId="28" fillId="0" borderId="0" xfId="0" applyNumberFormat="1" applyFont="1" applyAlignment="1">
      <alignment horizontal="center"/>
    </xf>
    <xf numFmtId="10" fontId="28" fillId="0" borderId="22" xfId="0" applyNumberFormat="1" applyFont="1" applyBorder="1" applyAlignment="1">
      <alignment horizontal="center"/>
    </xf>
    <xf numFmtId="173" fontId="27" fillId="0" borderId="37" xfId="0" applyNumberFormat="1" applyFont="1" applyBorder="1"/>
    <xf numFmtId="173" fontId="27" fillId="0" borderId="38" xfId="0" applyNumberFormat="1" applyFont="1" applyBorder="1"/>
    <xf numFmtId="173" fontId="28" fillId="0" borderId="37" xfId="0" applyNumberFormat="1" applyFont="1" applyBorder="1"/>
    <xf numFmtId="168" fontId="28" fillId="0" borderId="39" xfId="0" applyNumberFormat="1" applyFont="1" applyBorder="1"/>
    <xf numFmtId="168" fontId="27" fillId="0" borderId="21" xfId="0" applyNumberFormat="1" applyFont="1" applyBorder="1" applyAlignment="1">
      <alignment horizontal="center"/>
    </xf>
    <xf numFmtId="168" fontId="27" fillId="8" borderId="21" xfId="0" applyNumberFormat="1" applyFont="1" applyFill="1" applyBorder="1" applyAlignment="1">
      <alignment horizontal="center"/>
    </xf>
    <xf numFmtId="168" fontId="27" fillId="8" borderId="0" xfId="0" applyNumberFormat="1" applyFont="1" applyFill="1" applyAlignment="1">
      <alignment horizontal="center"/>
    </xf>
    <xf numFmtId="168" fontId="27" fillId="8" borderId="22" xfId="0" applyNumberFormat="1" applyFont="1" applyFill="1" applyBorder="1" applyAlignment="1">
      <alignment horizontal="center"/>
    </xf>
    <xf numFmtId="10" fontId="27" fillId="0" borderId="21" xfId="0" applyNumberFormat="1" applyFont="1" applyBorder="1" applyAlignment="1">
      <alignment horizontal="center"/>
    </xf>
    <xf numFmtId="10" fontId="27" fillId="0" borderId="0" xfId="0" applyNumberFormat="1" applyFont="1" applyAlignment="1">
      <alignment horizontal="center"/>
    </xf>
    <xf numFmtId="0" fontId="27" fillId="0" borderId="21" xfId="0" applyFont="1" applyBorder="1"/>
    <xf numFmtId="0" fontId="27" fillId="0" borderId="38" xfId="0" applyFont="1" applyBorder="1"/>
    <xf numFmtId="0" fontId="27" fillId="0" borderId="28" xfId="0" applyFont="1" applyBorder="1"/>
    <xf numFmtId="0" fontId="27" fillId="0" borderId="29" xfId="0" applyFont="1" applyBorder="1"/>
    <xf numFmtId="0" fontId="27" fillId="0" borderId="30" xfId="0" applyFont="1" applyBorder="1"/>
    <xf numFmtId="0" fontId="27" fillId="0" borderId="21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22" xfId="0" applyFont="1" applyBorder="1" applyAlignment="1">
      <alignment horizontal="center"/>
    </xf>
    <xf numFmtId="173" fontId="27" fillId="0" borderId="29" xfId="0" applyNumberFormat="1" applyFont="1" applyBorder="1" applyAlignment="1">
      <alignment horizontal="center"/>
    </xf>
    <xf numFmtId="173" fontId="27" fillId="0" borderId="30" xfId="0" applyNumberFormat="1" applyFont="1" applyBorder="1" applyAlignment="1">
      <alignment horizontal="center"/>
    </xf>
    <xf numFmtId="168" fontId="38" fillId="0" borderId="0" xfId="2" applyNumberFormat="1" applyFont="1" applyFill="1" applyBorder="1"/>
    <xf numFmtId="168" fontId="34" fillId="0" borderId="0" xfId="2" applyNumberFormat="1" applyFont="1" applyFill="1" applyBorder="1"/>
    <xf numFmtId="173" fontId="50" fillId="0" borderId="0" xfId="1" applyNumberFormat="1" applyFont="1" applyFill="1" applyBorder="1"/>
    <xf numFmtId="0" fontId="18" fillId="0" borderId="62" xfId="0" applyFont="1" applyFill="1" applyBorder="1" applyAlignment="1">
      <alignment horizontal="left"/>
    </xf>
    <xf numFmtId="0" fontId="18" fillId="0" borderId="68" xfId="0" applyFont="1" applyFill="1" applyBorder="1" applyAlignment="1">
      <alignment horizontal="left"/>
    </xf>
    <xf numFmtId="173" fontId="28" fillId="0" borderId="68" xfId="1" applyNumberFormat="1" applyFont="1" applyFill="1" applyBorder="1"/>
    <xf numFmtId="168" fontId="40" fillId="0" borderId="0" xfId="2" applyNumberFormat="1" applyFont="1" applyFill="1" applyBorder="1"/>
    <xf numFmtId="166" fontId="0" fillId="0" borderId="0" xfId="1" applyFont="1" applyFill="1" applyBorder="1" applyAlignment="1">
      <alignment horizontal="center"/>
    </xf>
    <xf numFmtId="2" fontId="14" fillId="0" borderId="0" xfId="1" applyNumberFormat="1" applyFont="1" applyFill="1" applyBorder="1" applyAlignment="1">
      <alignment horizontal="right"/>
    </xf>
    <xf numFmtId="166" fontId="27" fillId="0" borderId="0" xfId="1" applyFont="1" applyFill="1" applyBorder="1" applyAlignment="1">
      <alignment horizontal="center"/>
    </xf>
    <xf numFmtId="0" fontId="0" fillId="0" borderId="68" xfId="0" applyFill="1" applyBorder="1"/>
    <xf numFmtId="0" fontId="3" fillId="0" borderId="68" xfId="0" applyFont="1" applyFill="1" applyBorder="1"/>
    <xf numFmtId="173" fontId="28" fillId="0" borderId="68" xfId="1" applyNumberFormat="1" applyFont="1" applyFill="1" applyBorder="1" applyAlignment="1">
      <alignment horizontal="center"/>
    </xf>
    <xf numFmtId="0" fontId="37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173" fontId="49" fillId="0" borderId="0" xfId="0" applyNumberFormat="1" applyFont="1" applyFill="1" applyBorder="1"/>
    <xf numFmtId="0" fontId="17" fillId="0" borderId="0" xfId="0" applyFont="1" applyFill="1" applyBorder="1"/>
    <xf numFmtId="0" fontId="0" fillId="0" borderId="0" xfId="0" applyFill="1" applyBorder="1"/>
    <xf numFmtId="179" fontId="34" fillId="0" borderId="0" xfId="0" applyNumberFormat="1" applyFont="1" applyFill="1" applyBorder="1" applyAlignment="1">
      <alignment horizontal="center"/>
    </xf>
    <xf numFmtId="173" fontId="3" fillId="0" borderId="0" xfId="0" applyNumberFormat="1" applyFont="1" applyFill="1" applyBorder="1"/>
    <xf numFmtId="173" fontId="28" fillId="0" borderId="0" xfId="0" applyNumberFormat="1" applyFont="1" applyFill="1" applyBorder="1" applyAlignment="1">
      <alignment horizontal="center"/>
    </xf>
    <xf numFmtId="0" fontId="0" fillId="0" borderId="4" xfId="0" applyFill="1" applyBorder="1"/>
    <xf numFmtId="0" fontId="17" fillId="0" borderId="0" xfId="0" applyFont="1" applyFill="1" applyBorder="1" applyAlignment="1">
      <alignment horizontal="left"/>
    </xf>
    <xf numFmtId="2" fontId="14" fillId="0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166" fontId="3" fillId="0" borderId="4" xfId="1" applyFont="1" applyFill="1" applyBorder="1"/>
    <xf numFmtId="173" fontId="28" fillId="0" borderId="5" xfId="1" applyNumberFormat="1" applyFont="1" applyFill="1" applyBorder="1"/>
    <xf numFmtId="174" fontId="0" fillId="0" borderId="5" xfId="1" applyNumberFormat="1" applyFont="1" applyFill="1" applyBorder="1" applyAlignment="1">
      <alignment horizontal="center"/>
    </xf>
    <xf numFmtId="174" fontId="27" fillId="0" borderId="5" xfId="1" applyNumberFormat="1" applyFont="1" applyFill="1" applyBorder="1" applyAlignment="1">
      <alignment horizontal="center"/>
    </xf>
    <xf numFmtId="0" fontId="0" fillId="0" borderId="5" xfId="0" applyFill="1" applyBorder="1"/>
    <xf numFmtId="0" fontId="3" fillId="0" borderId="4" xfId="0" applyFont="1" applyFill="1" applyBorder="1"/>
    <xf numFmtId="173" fontId="27" fillId="0" borderId="5" xfId="1" applyNumberFormat="1" applyFont="1" applyFill="1" applyBorder="1" applyAlignment="1">
      <alignment horizontal="center"/>
    </xf>
    <xf numFmtId="166" fontId="27" fillId="0" borderId="5" xfId="1" applyFont="1" applyFill="1" applyBorder="1" applyAlignment="1">
      <alignment horizontal="center"/>
    </xf>
    <xf numFmtId="173" fontId="28" fillId="0" borderId="5" xfId="1" applyNumberFormat="1" applyFont="1" applyFill="1" applyBorder="1" applyAlignment="1">
      <alignment horizontal="center"/>
    </xf>
    <xf numFmtId="0" fontId="0" fillId="0" borderId="4" xfId="0" applyFill="1" applyBorder="1" applyAlignment="1">
      <alignment horizontal="left" indent="2"/>
    </xf>
    <xf numFmtId="43" fontId="3" fillId="0" borderId="5" xfId="0" applyNumberFormat="1" applyFont="1" applyFill="1" applyBorder="1"/>
    <xf numFmtId="166" fontId="0" fillId="0" borderId="4" xfId="1" applyFont="1" applyFill="1" applyBorder="1"/>
    <xf numFmtId="173" fontId="27" fillId="0" borderId="5" xfId="1" applyNumberFormat="1" applyFont="1" applyFill="1" applyBorder="1"/>
    <xf numFmtId="173" fontId="50" fillId="0" borderId="5" xfId="1" applyNumberFormat="1" applyFont="1" applyFill="1" applyBorder="1"/>
    <xf numFmtId="173" fontId="14" fillId="0" borderId="5" xfId="1" applyNumberFormat="1" applyFont="1" applyFill="1" applyBorder="1"/>
    <xf numFmtId="172" fontId="3" fillId="0" borderId="5" xfId="1" applyNumberFormat="1" applyFont="1" applyFill="1" applyBorder="1"/>
    <xf numFmtId="166" fontId="0" fillId="0" borderId="5" xfId="1" applyFont="1" applyFill="1" applyBorder="1"/>
    <xf numFmtId="0" fontId="3" fillId="0" borderId="1" xfId="0" applyFont="1" applyFill="1" applyBorder="1"/>
    <xf numFmtId="0" fontId="0" fillId="0" borderId="2" xfId="0" applyFill="1" applyBorder="1"/>
    <xf numFmtId="166" fontId="0" fillId="0" borderId="3" xfId="1" applyFont="1" applyFill="1" applyBorder="1"/>
    <xf numFmtId="183" fontId="50" fillId="0" borderId="5" xfId="1" applyNumberFormat="1" applyFont="1" applyFill="1" applyBorder="1" applyAlignment="1">
      <alignment horizontal="right"/>
    </xf>
    <xf numFmtId="0" fontId="0" fillId="0" borderId="6" xfId="0" applyFill="1" applyBorder="1"/>
    <xf numFmtId="0" fontId="0" fillId="0" borderId="7" xfId="0" applyFill="1" applyBorder="1"/>
    <xf numFmtId="183" fontId="27" fillId="0" borderId="8" xfId="1" applyNumberFormat="1" applyFont="1" applyFill="1" applyBorder="1" applyAlignment="1">
      <alignment horizontal="right"/>
    </xf>
    <xf numFmtId="166" fontId="3" fillId="0" borderId="69" xfId="1" applyFont="1" applyFill="1" applyBorder="1"/>
    <xf numFmtId="173" fontId="28" fillId="0" borderId="72" xfId="1" applyNumberFormat="1" applyFont="1" applyFill="1" applyBorder="1" applyAlignment="1">
      <alignment horizontal="center"/>
    </xf>
    <xf numFmtId="166" fontId="3" fillId="0" borderId="70" xfId="1" applyFont="1" applyFill="1" applyBorder="1"/>
    <xf numFmtId="44" fontId="3" fillId="0" borderId="71" xfId="6" applyNumberFormat="1" applyFont="1" applyFill="1" applyBorder="1"/>
    <xf numFmtId="44" fontId="28" fillId="0" borderId="73" xfId="6" applyNumberFormat="1" applyFont="1" applyFill="1" applyBorder="1"/>
    <xf numFmtId="0" fontId="19" fillId="9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left" indent="1"/>
    </xf>
    <xf numFmtId="0" fontId="18" fillId="0" borderId="0" xfId="0" applyFont="1" applyFill="1" applyBorder="1"/>
    <xf numFmtId="173" fontId="49" fillId="0" borderId="0" xfId="1" applyNumberFormat="1" applyFont="1" applyFill="1" applyBorder="1"/>
    <xf numFmtId="0" fontId="37" fillId="0" borderId="0" xfId="0" applyFont="1" applyFill="1" applyBorder="1" applyAlignment="1">
      <alignment horizontal="left" indent="1"/>
    </xf>
    <xf numFmtId="0" fontId="17" fillId="0" borderId="0" xfId="0" applyFont="1" applyFill="1" applyBorder="1" applyAlignment="1">
      <alignment horizontal="left" indent="1"/>
    </xf>
    <xf numFmtId="10" fontId="51" fillId="0" borderId="0" xfId="0" applyNumberFormat="1" applyFont="1" applyFill="1" applyBorder="1" applyAlignment="1">
      <alignment horizontal="center"/>
    </xf>
    <xf numFmtId="173" fontId="28" fillId="0" borderId="0" xfId="1" applyNumberFormat="1" applyFont="1" applyFill="1" applyBorder="1" applyAlignment="1">
      <alignment horizontal="center"/>
    </xf>
    <xf numFmtId="168" fontId="48" fillId="0" borderId="0" xfId="1" applyNumberFormat="1" applyFont="1" applyFill="1" applyBorder="1" applyAlignment="1">
      <alignment horizontal="right"/>
    </xf>
    <xf numFmtId="173" fontId="49" fillId="0" borderId="5" xfId="1" applyNumberFormat="1" applyFont="1" applyFill="1" applyBorder="1"/>
    <xf numFmtId="168" fontId="34" fillId="0" borderId="5" xfId="2" applyNumberFormat="1" applyFont="1" applyFill="1" applyBorder="1"/>
    <xf numFmtId="173" fontId="49" fillId="0" borderId="5" xfId="0" applyNumberFormat="1" applyFont="1" applyFill="1" applyBorder="1"/>
    <xf numFmtId="179" fontId="34" fillId="0" borderId="5" xfId="0" applyNumberFormat="1" applyFont="1" applyFill="1" applyBorder="1" applyAlignment="1">
      <alignment horizontal="center"/>
    </xf>
    <xf numFmtId="173" fontId="28" fillId="0" borderId="5" xfId="0" applyNumberFormat="1" applyFont="1" applyFill="1" applyBorder="1" applyAlignment="1">
      <alignment horizontal="center"/>
    </xf>
    <xf numFmtId="173" fontId="28" fillId="0" borderId="72" xfId="1" applyNumberFormat="1" applyFont="1" applyFill="1" applyBorder="1"/>
    <xf numFmtId="168" fontId="40" fillId="0" borderId="5" xfId="2" applyNumberFormat="1" applyFont="1" applyFill="1" applyBorder="1"/>
    <xf numFmtId="2" fontId="14" fillId="0" borderId="5" xfId="0" applyNumberFormat="1" applyFont="1" applyFill="1" applyBorder="1" applyAlignment="1">
      <alignment horizontal="right"/>
    </xf>
    <xf numFmtId="14" fontId="36" fillId="9" borderId="74" xfId="0" applyNumberFormat="1" applyFont="1" applyFill="1" applyBorder="1" applyAlignment="1">
      <alignment horizontal="center"/>
    </xf>
    <xf numFmtId="168" fontId="34" fillId="0" borderId="75" xfId="1" applyNumberFormat="1" applyFont="1" applyFill="1" applyBorder="1"/>
    <xf numFmtId="168" fontId="44" fillId="0" borderId="75" xfId="2" applyNumberFormat="1" applyFont="1" applyFill="1" applyBorder="1"/>
    <xf numFmtId="179" fontId="43" fillId="0" borderId="75" xfId="0" applyNumberFormat="1" applyFont="1" applyFill="1" applyBorder="1" applyAlignment="1">
      <alignment horizontal="center"/>
    </xf>
    <xf numFmtId="173" fontId="44" fillId="0" borderId="75" xfId="1" applyNumberFormat="1" applyFont="1" applyFill="1" applyBorder="1"/>
    <xf numFmtId="173" fontId="44" fillId="0" borderId="75" xfId="0" applyNumberFormat="1" applyFont="1" applyFill="1" applyBorder="1" applyAlignment="1">
      <alignment horizontal="center"/>
    </xf>
    <xf numFmtId="10" fontId="34" fillId="0" borderId="75" xfId="1" applyNumberFormat="1" applyFont="1" applyFill="1" applyBorder="1"/>
    <xf numFmtId="180" fontId="28" fillId="0" borderId="75" xfId="0" applyNumberFormat="1" applyFont="1" applyFill="1" applyBorder="1" applyAlignment="1">
      <alignment horizontal="center"/>
    </xf>
    <xf numFmtId="175" fontId="0" fillId="0" borderId="75" xfId="0" applyNumberFormat="1" applyFill="1" applyBorder="1" applyAlignment="1">
      <alignment horizontal="right"/>
    </xf>
    <xf numFmtId="166" fontId="27" fillId="0" borderId="75" xfId="1" applyFont="1" applyFill="1" applyBorder="1" applyAlignment="1">
      <alignment horizontal="center"/>
    </xf>
    <xf numFmtId="10" fontId="0" fillId="16" borderId="79" xfId="2" applyNumberFormat="1" applyFont="1" applyFill="1" applyBorder="1"/>
    <xf numFmtId="191" fontId="0" fillId="0" borderId="76" xfId="0" applyNumberFormat="1" applyBorder="1"/>
    <xf numFmtId="191" fontId="0" fillId="0" borderId="77" xfId="0" applyNumberFormat="1" applyBorder="1"/>
    <xf numFmtId="191" fontId="0" fillId="0" borderId="78" xfId="0" applyNumberFormat="1" applyBorder="1"/>
    <xf numFmtId="191" fontId="0" fillId="0" borderId="79" xfId="0" applyNumberFormat="1" applyBorder="1"/>
    <xf numFmtId="191" fontId="0" fillId="0" borderId="0" xfId="0" applyNumberFormat="1"/>
    <xf numFmtId="191" fontId="0" fillId="0" borderId="80" xfId="0" applyNumberFormat="1" applyBorder="1"/>
    <xf numFmtId="10" fontId="0" fillId="16" borderId="79" xfId="0" applyNumberFormat="1" applyFill="1" applyBorder="1"/>
    <xf numFmtId="10" fontId="0" fillId="16" borderId="81" xfId="0" applyNumberFormat="1" applyFill="1" applyBorder="1"/>
    <xf numFmtId="191" fontId="0" fillId="0" borderId="81" xfId="0" applyNumberFormat="1" applyBorder="1"/>
    <xf numFmtId="191" fontId="0" fillId="0" borderId="82" xfId="0" applyNumberFormat="1" applyBorder="1"/>
    <xf numFmtId="191" fontId="0" fillId="0" borderId="83" xfId="0" applyNumberFormat="1" applyBorder="1"/>
    <xf numFmtId="191" fontId="57" fillId="16" borderId="79" xfId="0" applyNumberFormat="1" applyFont="1" applyFill="1" applyBorder="1"/>
    <xf numFmtId="10" fontId="0" fillId="16" borderId="0" xfId="0" applyNumberFormat="1" applyFill="1" applyBorder="1"/>
    <xf numFmtId="10" fontId="0" fillId="16" borderId="80" xfId="0" applyNumberFormat="1" applyFill="1" applyBorder="1"/>
    <xf numFmtId="0" fontId="3" fillId="16" borderId="16" xfId="0" applyFont="1" applyFill="1" applyBorder="1" applyAlignment="1">
      <alignment horizontal="center" wrapText="1"/>
    </xf>
    <xf numFmtId="0" fontId="3" fillId="16" borderId="17" xfId="0" applyFont="1" applyFill="1" applyBorder="1" applyAlignment="1">
      <alignment horizontal="center" wrapText="1"/>
    </xf>
    <xf numFmtId="0" fontId="3" fillId="16" borderId="18" xfId="0" applyFont="1" applyFill="1" applyBorder="1" applyAlignment="1">
      <alignment horizontal="center" wrapText="1"/>
    </xf>
    <xf numFmtId="0" fontId="29" fillId="17" borderId="0" xfId="0" applyFont="1" applyFill="1"/>
    <xf numFmtId="192" fontId="29" fillId="17" borderId="0" xfId="0" applyNumberFormat="1" applyFont="1" applyFill="1"/>
    <xf numFmtId="0" fontId="36" fillId="9" borderId="0" xfId="0" applyFont="1" applyFill="1" applyBorder="1" applyAlignment="1">
      <alignment horizontal="left" vertical="center"/>
    </xf>
    <xf numFmtId="10" fontId="28" fillId="0" borderId="5" xfId="2" applyNumberFormat="1" applyFont="1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168" fontId="48" fillId="0" borderId="84" xfId="1" applyNumberFormat="1" applyFont="1" applyFill="1" applyBorder="1" applyAlignment="1">
      <alignment horizontal="right"/>
    </xf>
    <xf numFmtId="197" fontId="36" fillId="9" borderId="0" xfId="0" applyNumberFormat="1" applyFont="1" applyFill="1" applyBorder="1" applyAlignment="1">
      <alignment horizontal="center"/>
    </xf>
    <xf numFmtId="198" fontId="36" fillId="9" borderId="0" xfId="0" applyNumberFormat="1" applyFont="1" applyFill="1" applyBorder="1" applyAlignment="1">
      <alignment horizontal="center"/>
    </xf>
    <xf numFmtId="198" fontId="36" fillId="9" borderId="5" xfId="0" applyNumberFormat="1" applyFont="1" applyFill="1" applyBorder="1" applyAlignment="1">
      <alignment horizontal="center"/>
    </xf>
  </cellXfs>
  <cellStyles count="7">
    <cellStyle name="_x000a_386grabber=M" xfId="4" xr:uid="{00000000-0005-0000-0000-000000000000}"/>
    <cellStyle name="AFE" xfId="3" xr:uid="{00000000-0005-0000-0000-000001000000}"/>
    <cellStyle name="Comma" xfId="1" builtinId="3"/>
    <cellStyle name="Currency" xfId="6" builtinId="4"/>
    <cellStyle name="Hyperlink" xfId="5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1C4487"/>
      <color rgb="FF1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Price</a:t>
            </a:r>
            <a:r>
              <a:rPr lang="en-CA" baseline="0"/>
              <a:t> Sensitivity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923359246838828E-2"/>
          <c:y val="0.13222812687463981"/>
          <c:w val="0.8653318321021054"/>
          <c:h val="0.78506862462458082"/>
        </c:manualLayout>
      </c:layout>
      <c:barChart>
        <c:barDir val="bar"/>
        <c:grouping val="clustered"/>
        <c:varyColors val="0"/>
        <c:ser>
          <c:idx val="3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DCF!$N$4:$R$4</c:f>
              <c:numCache>
                <c:formatCode>0.00%</c:formatCode>
                <c:ptCount val="5"/>
                <c:pt idx="0">
                  <c:v>3.142314280013081E-2</c:v>
                </c:pt>
                <c:pt idx="1">
                  <c:v>3.3423142800130812E-2</c:v>
                </c:pt>
                <c:pt idx="2">
                  <c:v>3.5423142800130814E-2</c:v>
                </c:pt>
                <c:pt idx="3">
                  <c:v>3.7423142800130815E-2</c:v>
                </c:pt>
                <c:pt idx="4">
                  <c:v>3.9423142800130817E-2</c:v>
                </c:pt>
              </c:numCache>
            </c:numRef>
          </c:cat>
          <c:val>
            <c:numRef>
              <c:f>DCF!$Z$25:$Z$29</c:f>
              <c:numCache>
                <c:formatCode>_-* #,##0.00_-;\-* #,##0.00_-;_-* "-"??_-;_-@_-</c:formatCode>
                <c:ptCount val="5"/>
                <c:pt idx="0">
                  <c:v>3148.02</c:v>
                </c:pt>
                <c:pt idx="1">
                  <c:v>3148.02</c:v>
                </c:pt>
                <c:pt idx="2">
                  <c:v>3148.02</c:v>
                </c:pt>
                <c:pt idx="3">
                  <c:v>3148.02</c:v>
                </c:pt>
                <c:pt idx="4">
                  <c:v>3148.02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B59-4760-9DE0-38A2FA95F975}"/>
            </c:ext>
          </c:extLst>
        </c:ser>
        <c:ser>
          <c:idx val="0"/>
          <c:order val="1"/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DCF!$N$4:$R$4</c:f>
              <c:numCache>
                <c:formatCode>0.00%</c:formatCode>
                <c:ptCount val="5"/>
                <c:pt idx="0">
                  <c:v>3.142314280013081E-2</c:v>
                </c:pt>
                <c:pt idx="1">
                  <c:v>3.3423142800130812E-2</c:v>
                </c:pt>
                <c:pt idx="2">
                  <c:v>3.5423142800130814E-2</c:v>
                </c:pt>
                <c:pt idx="3">
                  <c:v>3.7423142800130815E-2</c:v>
                </c:pt>
                <c:pt idx="4">
                  <c:v>3.9423142800130817E-2</c:v>
                </c:pt>
              </c:numCache>
            </c:numRef>
          </c:cat>
          <c:val>
            <c:numRef>
              <c:f>DCF!$W$25:$W$29</c:f>
              <c:numCache>
                <c:formatCode>_-* #,##0.00_-;\-* #,##0.00_-;_-* "-"??_-;_-@_-</c:formatCode>
                <c:ptCount val="5"/>
                <c:pt idx="0">
                  <c:v>3732.2487175270689</c:v>
                </c:pt>
                <c:pt idx="1">
                  <c:v>3946.8011173617642</c:v>
                </c:pt>
                <c:pt idx="2">
                  <c:v>4188.9205288169242</c:v>
                </c:pt>
                <c:pt idx="3">
                  <c:v>4464.2846750282097</c:v>
                </c:pt>
                <c:pt idx="4">
                  <c:v>4780.2453977472187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9-4760-9DE0-38A2FA95F975}"/>
            </c:ext>
          </c:extLst>
        </c:ser>
        <c:ser>
          <c:idx val="1"/>
          <c:order val="2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DCF!$N$4:$R$4</c:f>
              <c:numCache>
                <c:formatCode>0.00%</c:formatCode>
                <c:ptCount val="5"/>
                <c:pt idx="0">
                  <c:v>3.142314280013081E-2</c:v>
                </c:pt>
                <c:pt idx="1">
                  <c:v>3.3423142800130812E-2</c:v>
                </c:pt>
                <c:pt idx="2">
                  <c:v>3.5423142800130814E-2</c:v>
                </c:pt>
                <c:pt idx="3">
                  <c:v>3.7423142800130815E-2</c:v>
                </c:pt>
                <c:pt idx="4">
                  <c:v>3.9423142800130817E-2</c:v>
                </c:pt>
              </c:numCache>
            </c:numRef>
          </c:cat>
          <c:val>
            <c:numRef>
              <c:f>DCF!$X$25:$X$29</c:f>
              <c:numCache>
                <c:formatCode>_-* #,##0.00_-;\-* #,##0.00_-;_-* "-"??_-;_-@_-</c:formatCode>
                <c:ptCount val="5"/>
                <c:pt idx="0">
                  <c:v>2973.8676871717494</c:v>
                </c:pt>
                <c:pt idx="1">
                  <c:v>3114.4859371802781</c:v>
                </c:pt>
                <c:pt idx="2">
                  <c:v>3270.0059877976905</c:v>
                </c:pt>
                <c:pt idx="3">
                  <c:v>3442.9291690633736</c:v>
                </c:pt>
                <c:pt idx="4">
                  <c:v>3636.3498013800595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59-4760-9DE0-38A2FA95F975}"/>
            </c:ext>
          </c:extLst>
        </c:ser>
        <c:ser>
          <c:idx val="2"/>
          <c:order val="3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8.2454997404122335E-2"/>
                  <c:y val="-3.276001585894431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B59-4760-9DE0-38A2FA95F975}"/>
                </c:ext>
              </c:extLst>
            </c:dLbl>
            <c:dLbl>
              <c:idx val="1"/>
              <c:layout>
                <c:manualLayout>
                  <c:x val="-8.66309937752094E-2"/>
                  <c:y val="4.7979235824908805E-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B59-4760-9DE0-38A2FA95F975}"/>
                </c:ext>
              </c:extLst>
            </c:dLbl>
            <c:dLbl>
              <c:idx val="2"/>
              <c:layout>
                <c:manualLayout>
                  <c:x val="-8.9353859765904403E-2"/>
                  <c:y val="-3.755793944143459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B59-4760-9DE0-38A2FA95F975}"/>
                </c:ext>
              </c:extLst>
            </c:dLbl>
            <c:dLbl>
              <c:idx val="3"/>
              <c:layout>
                <c:manualLayout>
                  <c:x val="-8.989828530319792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B59-4760-9DE0-38A2FA95F975}"/>
                </c:ext>
              </c:extLst>
            </c:dLbl>
            <c:dLbl>
              <c:idx val="4"/>
              <c:layout>
                <c:manualLayout>
                  <c:x val="-9.5282590372867265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B59-4760-9DE0-38A2FA95F9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DCF!$N$4:$R$4</c:f>
              <c:numCache>
                <c:formatCode>0.00%</c:formatCode>
                <c:ptCount val="5"/>
                <c:pt idx="0">
                  <c:v>3.142314280013081E-2</c:v>
                </c:pt>
                <c:pt idx="1">
                  <c:v>3.3423142800130812E-2</c:v>
                </c:pt>
                <c:pt idx="2">
                  <c:v>3.5423142800130814E-2</c:v>
                </c:pt>
                <c:pt idx="3">
                  <c:v>3.7423142800130815E-2</c:v>
                </c:pt>
                <c:pt idx="4">
                  <c:v>3.9423142800130817E-2</c:v>
                </c:pt>
              </c:numCache>
            </c:numRef>
          </c:cat>
          <c:val>
            <c:numRef>
              <c:f>DCF!$Y$25:$Y$29</c:f>
              <c:numCache>
                <c:formatCode>_-* #,##0.00_-;\-* #,##0.00_-;_-* "-"??_-;_-@_-</c:formatCode>
                <c:ptCount val="5"/>
                <c:pt idx="0">
                  <c:v>2631.8479603682831</c:v>
                </c:pt>
                <c:pt idx="1">
                  <c:v>2741.5901308496132</c:v>
                </c:pt>
                <c:pt idx="2">
                  <c:v>2861.6017025698807</c:v>
                </c:pt>
                <c:pt idx="3">
                  <c:v>2993.3949088611635</c:v>
                </c:pt>
                <c:pt idx="4">
                  <c:v>3138.7942239024023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59-4760-9DE0-38A2FA95F9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521757800"/>
        <c:axId val="521748288"/>
      </c:barChart>
      <c:catAx>
        <c:axId val="52175780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748288"/>
        <c:crosses val="autoZero"/>
        <c:auto val="1"/>
        <c:lblAlgn val="ctr"/>
        <c:lblOffset val="100"/>
        <c:noMultiLvlLbl val="0"/>
      </c:catAx>
      <c:valAx>
        <c:axId val="521748288"/>
        <c:scaling>
          <c:orientation val="minMax"/>
          <c:min val="2000"/>
        </c:scaling>
        <c:delete val="0"/>
        <c:axPos val="b"/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757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Annual Net Revenues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5.2910052910052907E-3"/>
                  <c:y val="-8.326095601686152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86F-4DF5-9338-F7513B43A2E1}"/>
                </c:ext>
              </c:extLst>
            </c:dLbl>
            <c:dLbl>
              <c:idx val="1"/>
              <c:layout>
                <c:manualLayout>
                  <c:x val="2.6455026455026454E-3"/>
                  <c:y val="-7.859381213711921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86F-4DF5-9338-F7513B43A2E1}"/>
                </c:ext>
              </c:extLst>
            </c:dLbl>
            <c:dLbl>
              <c:idx val="2"/>
              <c:layout>
                <c:manualLayout>
                  <c:x val="0"/>
                  <c:y val="-4.100851029984888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86F-4DF5-9338-F7513B43A2E1}"/>
                </c:ext>
              </c:extLst>
            </c:dLbl>
            <c:dLbl>
              <c:idx val="3"/>
              <c:layout>
                <c:manualLayout>
                  <c:x val="-4.850032155436188E-17"/>
                  <c:y val="-4.100851029985036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86F-4DF5-9338-F7513B43A2E1}"/>
                </c:ext>
              </c:extLst>
            </c:dLbl>
            <c:dLbl>
              <c:idx val="4"/>
              <c:layout>
                <c:manualLayout>
                  <c:x val="-4.850032155436188E-17"/>
                  <c:y val="-6.0446989580847852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86F-4DF5-9338-F7513B43A2E1}"/>
                </c:ext>
              </c:extLst>
            </c:dLbl>
            <c:dLbl>
              <c:idx val="5"/>
              <c:layout>
                <c:manualLayout>
                  <c:x val="5.2910052910052907E-3"/>
                  <c:y val="-6.0446989580921923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86F-4DF5-9338-F7513B43A2E1}"/>
                </c:ext>
              </c:extLst>
            </c:dLbl>
            <c:dLbl>
              <c:idx val="6"/>
              <c:layout>
                <c:manualLayout>
                  <c:x val="2.6455026455025486E-3"/>
                  <c:y val="-1.218165911079304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86F-4DF5-9338-F7513B43A2E1}"/>
                </c:ext>
              </c:extLst>
            </c:dLbl>
            <c:dLbl>
              <c:idx val="7"/>
              <c:layout>
                <c:manualLayout>
                  <c:x val="0"/>
                  <c:y val="-2.026246719160112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86F-4DF5-9338-F7513B43A2E1}"/>
                </c:ext>
              </c:extLst>
            </c:dLbl>
            <c:dLbl>
              <c:idx val="8"/>
              <c:layout>
                <c:manualLayout>
                  <c:x val="0"/>
                  <c:y val="-6.0446989580847852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86F-4DF5-9338-F7513B43A2E1}"/>
                </c:ext>
              </c:extLst>
            </c:dLbl>
            <c:dLbl>
              <c:idx val="9"/>
              <c:layout>
                <c:manualLayout>
                  <c:x val="-2.6455026455026454E-3"/>
                  <c:y val="1.2060765131631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86F-4DF5-9338-F7513B43A2E1}"/>
                </c:ext>
              </c:extLst>
            </c:dLbl>
            <c:dLbl>
              <c:idx val="10"/>
              <c:layout>
                <c:manualLayout>
                  <c:x val="-2.6455026455026454E-3"/>
                  <c:y val="2.014157321243935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86F-4DF5-9338-F7513B43A2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exp"/>
            <c:dispRSqr val="0"/>
            <c:dispEq val="0"/>
          </c:trendline>
          <c:cat>
            <c:strRef>
              <c:f>[1]Data!$B$11:$B$21</c:f>
              <c:strCach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strCache>
            </c:strRef>
          </c:cat>
          <c:val>
            <c:numRef>
              <c:f>[1]Data!$C$11:$C$21</c:f>
              <c:numCache>
                <c:formatCode>General</c:formatCode>
                <c:ptCount val="11"/>
                <c:pt idx="0">
                  <c:v>24.51</c:v>
                </c:pt>
                <c:pt idx="1">
                  <c:v>34.200000000000003</c:v>
                </c:pt>
                <c:pt idx="2">
                  <c:v>48.08</c:v>
                </c:pt>
                <c:pt idx="3">
                  <c:v>61.09</c:v>
                </c:pt>
                <c:pt idx="4">
                  <c:v>74.45</c:v>
                </c:pt>
                <c:pt idx="5">
                  <c:v>88.99</c:v>
                </c:pt>
                <c:pt idx="6">
                  <c:v>107.01</c:v>
                </c:pt>
                <c:pt idx="7">
                  <c:v>135.99</c:v>
                </c:pt>
                <c:pt idx="8">
                  <c:v>177.87</c:v>
                </c:pt>
                <c:pt idx="9">
                  <c:v>232.89</c:v>
                </c:pt>
                <c:pt idx="10">
                  <c:v>280.52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59-4584-9556-760C2FC17B6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67344680"/>
        <c:axId val="567343368"/>
      </c:barChart>
      <c:catAx>
        <c:axId val="567344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343368"/>
        <c:crosses val="autoZero"/>
        <c:auto val="1"/>
        <c:lblAlgn val="ctr"/>
        <c:lblOffset val="100"/>
        <c:noMultiLvlLbl val="0"/>
      </c:catAx>
      <c:valAx>
        <c:axId val="56734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344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Operating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North America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 Segments'!$C$81:$H$81</c:f>
              <c:numCache>
                <c:formatCode>General</c:formatCode>
                <c:ptCount val="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</c:numCache>
            </c:numRef>
          </c:cat>
          <c:val>
            <c:numRef>
              <c:f>' Segments'!$C$95:$H$95</c:f>
              <c:numCache>
                <c:formatCode>0.0%</c:formatCode>
                <c:ptCount val="6"/>
                <c:pt idx="0">
                  <c:v>4.0454892794534094E-3</c:v>
                </c:pt>
                <c:pt idx="1">
                  <c:v>1.3317010261106854E-2</c:v>
                </c:pt>
                <c:pt idx="2">
                  <c:v>1.7361953716164044E-2</c:v>
                </c:pt>
                <c:pt idx="3">
                  <c:v>1.5950209708432191E-2</c:v>
                </c:pt>
                <c:pt idx="4">
                  <c:v>3.1203974459716514E-2</c:v>
                </c:pt>
                <c:pt idx="5">
                  <c:v>2.5071117416815794E-2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A-4F04-9716-9AF7DB5B64B9}"/>
            </c:ext>
          </c:extLst>
        </c:ser>
        <c:ser>
          <c:idx val="1"/>
          <c:order val="1"/>
          <c:tx>
            <c:v>International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 Segments'!$C$81:$H$81</c:f>
              <c:numCache>
                <c:formatCode>General</c:formatCode>
                <c:ptCount val="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</c:numCache>
            </c:numRef>
          </c:cat>
          <c:val>
            <c:numRef>
              <c:f>' Segments'!$C$110:$H$110</c:f>
              <c:numCache>
                <c:formatCode>0.0%</c:formatCode>
                <c:ptCount val="6"/>
                <c:pt idx="0">
                  <c:v>-7.1919809412505061E-3</c:v>
                </c:pt>
                <c:pt idx="1">
                  <c:v>-6.5323439807113623E-3</c:v>
                </c:pt>
                <c:pt idx="2">
                  <c:v>-9.4347253781611479E-3</c:v>
                </c:pt>
                <c:pt idx="3">
                  <c:v>-1.7215206953549302E-2</c:v>
                </c:pt>
                <c:pt idx="4">
                  <c:v>-9.1975936827731909E-3</c:v>
                </c:pt>
                <c:pt idx="5">
                  <c:v>-6.035177276648534E-3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EA-4F04-9716-9AF7DB5B64B9}"/>
            </c:ext>
          </c:extLst>
        </c:ser>
        <c:ser>
          <c:idx val="2"/>
          <c:order val="2"/>
          <c:tx>
            <c:v>AWS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 Segments'!$C$81:$H$81</c:f>
              <c:numCache>
                <c:formatCode>General</c:formatCode>
                <c:ptCount val="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</c:numCache>
            </c:numRef>
          </c:cat>
          <c:val>
            <c:numRef>
              <c:f>' Segments'!$C$125:$H$125</c:f>
              <c:numCache>
                <c:formatCode>0.0%</c:formatCode>
                <c:ptCount val="6"/>
                <c:pt idx="0">
                  <c:v>5.1467613610823928E-3</c:v>
                </c:pt>
                <c:pt idx="1">
                  <c:v>1.4083322430517915E-2</c:v>
                </c:pt>
                <c:pt idx="2">
                  <c:v>2.2855125857618744E-2</c:v>
                </c:pt>
                <c:pt idx="3">
                  <c:v>2.4349791416009806E-2</c:v>
                </c:pt>
                <c:pt idx="4">
                  <c:v>3.1328498370454337E-2</c:v>
                </c:pt>
                <c:pt idx="5">
                  <c:v>3.279956652241179E-2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EA-4F04-9716-9AF7DB5B64B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65750640"/>
        <c:axId val="565748016"/>
      </c:barChart>
      <c:catAx>
        <c:axId val="56575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48016"/>
        <c:crosses val="autoZero"/>
        <c:auto val="1"/>
        <c:lblAlgn val="ctr"/>
        <c:lblOffset val="100"/>
        <c:noMultiLvlLbl val="0"/>
      </c:catAx>
      <c:valAx>
        <c:axId val="56574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5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Revenue Segments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882049195666279"/>
          <c:y val="0.13903248579257591"/>
          <c:w val="0.74117950804333721"/>
          <c:h val="0.38161922162754425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' Segments'!$B$38</c:f>
              <c:strCache>
                <c:ptCount val="1"/>
                <c:pt idx="0">
                  <c:v>Other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Segments'!$C$32:$H$32,' Segments'!$K$32)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Segments'!$C$38:$H$38,' Segments'!$K$38)</c:f>
              <c:numCache>
                <c:formatCode>_(#,##0_)_%;\(#,##0\)_%;_("–"_)_%;_(@_)_%</c:formatCode>
                <c:ptCount val="7"/>
                <c:pt idx="0">
                  <c:v>1320</c:v>
                </c:pt>
                <c:pt idx="1">
                  <c:v>1710</c:v>
                </c:pt>
                <c:pt idx="2">
                  <c:v>2950</c:v>
                </c:pt>
                <c:pt idx="3">
                  <c:v>4653</c:v>
                </c:pt>
                <c:pt idx="4">
                  <c:v>10108</c:v>
                </c:pt>
                <c:pt idx="5">
                  <c:v>14085</c:v>
                </c:pt>
                <c:pt idx="6">
                  <c:v>16491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C6-4C25-B19A-36AD9049067B}"/>
            </c:ext>
          </c:extLst>
        </c:ser>
        <c:ser>
          <c:idx val="4"/>
          <c:order val="1"/>
          <c:tx>
            <c:v>AWS</c:v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Segments'!$C$32:$H$32,' Segments'!$K$32)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Segments'!$C$37:$H$37,' Segments'!$K$37)</c:f>
              <c:numCache>
                <c:formatCode>_(#,##0_)_%;\(#,##0\)_%;_("–"_)_%;_(@_)_%</c:formatCode>
                <c:ptCount val="7"/>
                <c:pt idx="0">
                  <c:v>4640</c:v>
                </c:pt>
                <c:pt idx="1">
                  <c:v>7880</c:v>
                </c:pt>
                <c:pt idx="2">
                  <c:v>12219</c:v>
                </c:pt>
                <c:pt idx="3">
                  <c:v>17459</c:v>
                </c:pt>
                <c:pt idx="4">
                  <c:v>25655</c:v>
                </c:pt>
                <c:pt idx="5">
                  <c:v>35026</c:v>
                </c:pt>
                <c:pt idx="6">
                  <c:v>39977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A-48F4-B0BE-94AA17F65CCB}"/>
            </c:ext>
          </c:extLst>
        </c:ser>
        <c:ser>
          <c:idx val="3"/>
          <c:order val="2"/>
          <c:tx>
            <c:strRef>
              <c:f>' Segments'!$B$36</c:f>
              <c:strCache>
                <c:ptCount val="1"/>
                <c:pt idx="0">
                  <c:v>Subscription Services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Segments'!$C$32:$H$32,' Segments'!$K$32)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Segments'!$C$36:$H$36,' Segments'!$K$36)</c:f>
              <c:numCache>
                <c:formatCode>_(#,##0_)_%;\(#,##0\)_%;_("–"_)_%;_(@_)_%</c:formatCode>
                <c:ptCount val="7"/>
                <c:pt idx="0">
                  <c:v>2760</c:v>
                </c:pt>
                <c:pt idx="1">
                  <c:v>4467</c:v>
                </c:pt>
                <c:pt idx="2">
                  <c:v>6394</c:v>
                </c:pt>
                <c:pt idx="3">
                  <c:v>9721</c:v>
                </c:pt>
                <c:pt idx="4">
                  <c:v>14168</c:v>
                </c:pt>
                <c:pt idx="5">
                  <c:v>19210</c:v>
                </c:pt>
                <c:pt idx="6">
                  <c:v>21766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C6-4C25-B19A-36AD9049067B}"/>
            </c:ext>
          </c:extLst>
        </c:ser>
        <c:ser>
          <c:idx val="2"/>
          <c:order val="3"/>
          <c:tx>
            <c:strRef>
              <c:f>' Segments'!$B$35</c:f>
              <c:strCache>
                <c:ptCount val="1"/>
                <c:pt idx="0">
                  <c:v>Third Party Seller Services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Segments'!$C$32:$H$32,' Segments'!$K$32)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Segments'!$C$35:$H$35,' Segments'!$K$35)</c:f>
              <c:numCache>
                <c:formatCode>_(#,##0_)_%;\(#,##0\)_%;_("–"_)_%;_(@_)_%</c:formatCode>
                <c:ptCount val="7"/>
                <c:pt idx="0">
                  <c:v>11705</c:v>
                </c:pt>
                <c:pt idx="1">
                  <c:v>16086</c:v>
                </c:pt>
                <c:pt idx="2">
                  <c:v>22993</c:v>
                </c:pt>
                <c:pt idx="3">
                  <c:v>31881</c:v>
                </c:pt>
                <c:pt idx="4">
                  <c:v>42745</c:v>
                </c:pt>
                <c:pt idx="5">
                  <c:v>53762</c:v>
                </c:pt>
                <c:pt idx="6">
                  <c:v>63334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C6-4C25-B19A-36AD9049067B}"/>
            </c:ext>
          </c:extLst>
        </c:ser>
        <c:ser>
          <c:idx val="1"/>
          <c:order val="4"/>
          <c:tx>
            <c:strRef>
              <c:f>' Segments'!$B$34</c:f>
              <c:strCache>
                <c:ptCount val="1"/>
                <c:pt idx="0">
                  <c:v>Physical Stores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Segments'!$C$32:$H$32,' Segments'!$K$32)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Segments'!$C$34:$H$34,' Segments'!$K$34)</c:f>
              <c:numCache>
                <c:formatCode>_(#,##0_)_%;\(#,##0\)_%;_("–"_)_%;_(@_)_%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5798</c:v>
                </c:pt>
                <c:pt idx="4">
                  <c:v>17224</c:v>
                </c:pt>
                <c:pt idx="5">
                  <c:v>17192</c:v>
                </c:pt>
                <c:pt idx="6">
                  <c:v>16970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6-4C25-B19A-36AD9049067B}"/>
            </c:ext>
          </c:extLst>
        </c:ser>
        <c:ser>
          <c:idx val="0"/>
          <c:order val="5"/>
          <c:tx>
            <c:strRef>
              <c:f>' Segments'!$B$33</c:f>
              <c:strCache>
                <c:ptCount val="1"/>
                <c:pt idx="0">
                  <c:v>Online Stores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Segments'!$C$32:$H$32,' Segments'!$K$32)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Segments'!$C$33:$H$33,' Segments'!$K$33)</c:f>
              <c:numCache>
                <c:formatCode>_(#,##0_)_%;\(#,##0\)_%;_("–"_)_%;_(@_)_%</c:formatCode>
                <c:ptCount val="7"/>
                <c:pt idx="0">
                  <c:v>68510</c:v>
                </c:pt>
                <c:pt idx="1">
                  <c:v>76863</c:v>
                </c:pt>
                <c:pt idx="2">
                  <c:v>91431</c:v>
                </c:pt>
                <c:pt idx="3">
                  <c:v>108354</c:v>
                </c:pt>
                <c:pt idx="4">
                  <c:v>122987</c:v>
                </c:pt>
                <c:pt idx="5">
                  <c:v>141247</c:v>
                </c:pt>
                <c:pt idx="6">
                  <c:v>163244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6-4C25-B19A-36AD90490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1440584"/>
        <c:axId val="611443536"/>
      </c:barChart>
      <c:catAx>
        <c:axId val="611440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43536"/>
        <c:crosses val="autoZero"/>
        <c:auto val="1"/>
        <c:lblAlgn val="ctr"/>
        <c:lblOffset val="100"/>
        <c:noMultiLvlLbl val="0"/>
      </c:catAx>
      <c:valAx>
        <c:axId val="61144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#,##0_)_%;\(#,##0\)_%;_(&quot;–&quot;_)_%;_(@_)_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405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Common Size of Revenues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Online Stores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 Segments'!$C$32:$H$32,' Segments'!$K$32)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Segments'!$C$42:$H$42,' Segments'!$K$42)</c:f>
              <c:numCache>
                <c:formatCode>0.0%</c:formatCode>
                <c:ptCount val="7"/>
                <c:pt idx="0">
                  <c:v>0.76987908482042522</c:v>
                </c:pt>
                <c:pt idx="1">
                  <c:v>0.7183055155785657</c:v>
                </c:pt>
                <c:pt idx="2">
                  <c:v>0.67235103355467807</c:v>
                </c:pt>
                <c:pt idx="3">
                  <c:v>0.60918893998853074</c:v>
                </c:pt>
                <c:pt idx="4">
                  <c:v>0.52809731758320555</c:v>
                </c:pt>
                <c:pt idx="5">
                  <c:v>0.50351487583861521</c:v>
                </c:pt>
                <c:pt idx="6">
                  <c:v>0.50731240404994682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1-44B4-80C5-29685B1D2414}"/>
            </c:ext>
          </c:extLst>
        </c:ser>
        <c:ser>
          <c:idx val="1"/>
          <c:order val="1"/>
          <c:tx>
            <c:v>Physical Stores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 Segments'!$C$32:$H$32,' Segments'!$K$32)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Segments'!$C$43:$H$43,' Segments'!$K$43)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3.2597573454173363E-2</c:v>
                </c:pt>
                <c:pt idx="4">
                  <c:v>7.3958615122355478E-2</c:v>
                </c:pt>
                <c:pt idx="5">
                  <c:v>6.1285745859504782E-2</c:v>
                </c:pt>
                <c:pt idx="6">
                  <c:v>5.2737567670037476E-2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41-44B4-80C5-29685B1D2414}"/>
            </c:ext>
          </c:extLst>
        </c:ser>
        <c:ser>
          <c:idx val="2"/>
          <c:order val="2"/>
          <c:tx>
            <c:v>Third Party Seller Services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 Segments'!$C$32:$H$32,' Segments'!$K$32)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Segments'!$C$44:$H$44,' Segments'!$K$44)</c:f>
              <c:numCache>
                <c:formatCode>0.0%</c:formatCode>
                <c:ptCount val="7"/>
                <c:pt idx="0">
                  <c:v>0.13153458893333933</c:v>
                </c:pt>
                <c:pt idx="1">
                  <c:v>0.15032801898958936</c:v>
                </c:pt>
                <c:pt idx="2">
                  <c:v>0.16908233875296905</c:v>
                </c:pt>
                <c:pt idx="3">
                  <c:v>0.17924167631812712</c:v>
                </c:pt>
                <c:pt idx="4">
                  <c:v>0.18354395049959851</c:v>
                </c:pt>
                <c:pt idx="5">
                  <c:v>0.19164985277447044</c:v>
                </c:pt>
                <c:pt idx="6">
                  <c:v>0.19682269362487648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41-44B4-80C5-29685B1D2414}"/>
            </c:ext>
          </c:extLst>
        </c:ser>
        <c:ser>
          <c:idx val="3"/>
          <c:order val="3"/>
          <c:tx>
            <c:v>Subscription Services</c:v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 Segments'!$C$32:$H$32,' Segments'!$K$32)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Segments'!$C$45:$H$45,' Segments'!$K$45)</c:f>
              <c:numCache>
                <c:formatCode>0.0%</c:formatCode>
                <c:ptCount val="7"/>
                <c:pt idx="0">
                  <c:v>3.1015417809142805E-2</c:v>
                </c:pt>
                <c:pt idx="1">
                  <c:v>4.1745322692185484E-2</c:v>
                </c:pt>
                <c:pt idx="2">
                  <c:v>4.7019200364740749E-2</c:v>
                </c:pt>
                <c:pt idx="3">
                  <c:v>5.465350319903748E-2</c:v>
                </c:pt>
                <c:pt idx="4">
                  <c:v>6.0836371287362544E-2</c:v>
                </c:pt>
                <c:pt idx="5">
                  <c:v>6.8479477545433154E-2</c:v>
                </c:pt>
                <c:pt idx="6">
                  <c:v>6.7642068232530092E-2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41-44B4-80C5-29685B1D2414}"/>
            </c:ext>
          </c:extLst>
        </c:ser>
        <c:ser>
          <c:idx val="4"/>
          <c:order val="4"/>
          <c:tx>
            <c:v>AWS</c:v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 Segments'!$C$32:$H$32,' Segments'!$K$32)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Segments'!$C$46:$H$46,' Segments'!$K$46)</c:f>
              <c:numCache>
                <c:formatCode>0.0%</c:formatCode>
                <c:ptCount val="7"/>
                <c:pt idx="0">
                  <c:v>5.2141861824066167E-2</c:v>
                </c:pt>
                <c:pt idx="1">
                  <c:v>7.3640730426331236E-2</c:v>
                </c:pt>
                <c:pt idx="2">
                  <c:v>8.9854177237530058E-2</c:v>
                </c:pt>
                <c:pt idx="3">
                  <c:v>9.8158164011109481E-2</c:v>
                </c:pt>
                <c:pt idx="4">
                  <c:v>0.11016072172341093</c:v>
                </c:pt>
                <c:pt idx="5">
                  <c:v>0.12486008227518697</c:v>
                </c:pt>
                <c:pt idx="6">
                  <c:v>0.12423628419240355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41-44B4-80C5-29685B1D2414}"/>
            </c:ext>
          </c:extLst>
        </c:ser>
        <c:ser>
          <c:idx val="5"/>
          <c:order val="5"/>
          <c:tx>
            <c:v>Other</c:v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 Segments'!$C$32:$H$32,' Segments'!$K$32)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Segments'!$C$47:$H$47,' Segments'!$K$47)</c:f>
              <c:numCache>
                <c:formatCode>0.0%</c:formatCode>
                <c:ptCount val="7"/>
                <c:pt idx="0">
                  <c:v>1.4833460691329167E-2</c:v>
                </c:pt>
                <c:pt idx="1">
                  <c:v>1.5980412313328224E-2</c:v>
                </c:pt>
                <c:pt idx="2">
                  <c:v>2.169325009008214E-2</c:v>
                </c:pt>
                <c:pt idx="3">
                  <c:v>2.6160143029021848E-2</c:v>
                </c:pt>
                <c:pt idx="4">
                  <c:v>4.3403023784066949E-2</c:v>
                </c:pt>
                <c:pt idx="5">
                  <c:v>5.0209965706789483E-2</c:v>
                </c:pt>
                <c:pt idx="6">
                  <c:v>5.1248982230205541E-2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41-44B4-80C5-29685B1D24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76447896"/>
        <c:axId val="576447240"/>
      </c:barChart>
      <c:catAx>
        <c:axId val="576447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447240"/>
        <c:crosses val="autoZero"/>
        <c:auto val="1"/>
        <c:lblAlgn val="ctr"/>
        <c:lblOffset val="100"/>
        <c:noMultiLvlLbl val="0"/>
      </c:catAx>
      <c:valAx>
        <c:axId val="57644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447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Growth Rates of Revenue Segments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125735813136569E-2"/>
          <c:y val="0.17196687370600414"/>
          <c:w val="0.89757030620606737"/>
          <c:h val="0.42015976263836585"/>
        </c:manualLayout>
      </c:layout>
      <c:barChart>
        <c:barDir val="col"/>
        <c:grouping val="clustered"/>
        <c:varyColors val="0"/>
        <c:ser>
          <c:idx val="1"/>
          <c:order val="1"/>
          <c:tx>
            <c:v>2015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 Segments'!$B$50:$B$55</c:f>
              <c:strCache>
                <c:ptCount val="6"/>
                <c:pt idx="0">
                  <c:v>Online Stores</c:v>
                </c:pt>
                <c:pt idx="1">
                  <c:v>Physical Stores </c:v>
                </c:pt>
                <c:pt idx="2">
                  <c:v>Third Party Seller Services </c:v>
                </c:pt>
                <c:pt idx="3">
                  <c:v>Subscription Services </c:v>
                </c:pt>
                <c:pt idx="4">
                  <c:v>AWS </c:v>
                </c:pt>
                <c:pt idx="5">
                  <c:v>Other </c:v>
                </c:pt>
              </c:strCache>
            </c:strRef>
          </c:cat>
          <c:val>
            <c:numRef>
              <c:f>' Segments'!$D$50:$D$55</c:f>
              <c:numCache>
                <c:formatCode>0.0%</c:formatCode>
                <c:ptCount val="6"/>
                <c:pt idx="0">
                  <c:v>0.12192380674354109</c:v>
                </c:pt>
                <c:pt idx="2">
                  <c:v>0.37428449380606588</c:v>
                </c:pt>
                <c:pt idx="3">
                  <c:v>0.61847826086956514</c:v>
                </c:pt>
                <c:pt idx="4">
                  <c:v>0.69827586206896552</c:v>
                </c:pt>
                <c:pt idx="5">
                  <c:v>0.29545454545454541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4-40E4-87B7-47C1CE5B7D99}"/>
            </c:ext>
          </c:extLst>
        </c:ser>
        <c:ser>
          <c:idx val="2"/>
          <c:order val="2"/>
          <c:tx>
            <c:v>2016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 Segments'!$B$50:$B$55</c:f>
              <c:strCache>
                <c:ptCount val="6"/>
                <c:pt idx="0">
                  <c:v>Online Stores</c:v>
                </c:pt>
                <c:pt idx="1">
                  <c:v>Physical Stores </c:v>
                </c:pt>
                <c:pt idx="2">
                  <c:v>Third Party Seller Services </c:v>
                </c:pt>
                <c:pt idx="3">
                  <c:v>Subscription Services </c:v>
                </c:pt>
                <c:pt idx="4">
                  <c:v>AWS </c:v>
                </c:pt>
                <c:pt idx="5">
                  <c:v>Other </c:v>
                </c:pt>
              </c:strCache>
            </c:strRef>
          </c:cat>
          <c:val>
            <c:numRef>
              <c:f>' Segments'!$E$50:$E$55</c:f>
              <c:numCache>
                <c:formatCode>0.0%</c:formatCode>
                <c:ptCount val="6"/>
                <c:pt idx="0">
                  <c:v>0.18953202451114315</c:v>
                </c:pt>
                <c:pt idx="2">
                  <c:v>0.42937958473206517</c:v>
                </c:pt>
                <c:pt idx="3">
                  <c:v>0.43138571748376986</c:v>
                </c:pt>
                <c:pt idx="4">
                  <c:v>0.55063451776649752</c:v>
                </c:pt>
                <c:pt idx="5">
                  <c:v>0.72514619883040932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34-40E4-87B7-47C1CE5B7D99}"/>
            </c:ext>
          </c:extLst>
        </c:ser>
        <c:ser>
          <c:idx val="3"/>
          <c:order val="3"/>
          <c:tx>
            <c:v>2017</c:v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 Segments'!$B$50:$B$55</c:f>
              <c:strCache>
                <c:ptCount val="6"/>
                <c:pt idx="0">
                  <c:v>Online Stores</c:v>
                </c:pt>
                <c:pt idx="1">
                  <c:v>Physical Stores </c:v>
                </c:pt>
                <c:pt idx="2">
                  <c:v>Third Party Seller Services </c:v>
                </c:pt>
                <c:pt idx="3">
                  <c:v>Subscription Services </c:v>
                </c:pt>
                <c:pt idx="4">
                  <c:v>AWS </c:v>
                </c:pt>
                <c:pt idx="5">
                  <c:v>Other </c:v>
                </c:pt>
              </c:strCache>
            </c:strRef>
          </c:cat>
          <c:val>
            <c:numRef>
              <c:f>' Segments'!$F$50:$F$55</c:f>
              <c:numCache>
                <c:formatCode>0.0%</c:formatCode>
                <c:ptCount val="6"/>
                <c:pt idx="0">
                  <c:v>0.18509039603635524</c:v>
                </c:pt>
                <c:pt idx="2">
                  <c:v>0.38655242900013054</c:v>
                </c:pt>
                <c:pt idx="3">
                  <c:v>0.52033156083828591</c:v>
                </c:pt>
                <c:pt idx="4">
                  <c:v>0.42884033063262139</c:v>
                </c:pt>
                <c:pt idx="5">
                  <c:v>0.57728813559322023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34-40E4-87B7-47C1CE5B7D99}"/>
            </c:ext>
          </c:extLst>
        </c:ser>
        <c:ser>
          <c:idx val="4"/>
          <c:order val="4"/>
          <c:tx>
            <c:v>2018</c:v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 Segments'!$B$50:$B$55</c:f>
              <c:strCache>
                <c:ptCount val="6"/>
                <c:pt idx="0">
                  <c:v>Online Stores</c:v>
                </c:pt>
                <c:pt idx="1">
                  <c:v>Physical Stores </c:v>
                </c:pt>
                <c:pt idx="2">
                  <c:v>Third Party Seller Services </c:v>
                </c:pt>
                <c:pt idx="3">
                  <c:v>Subscription Services </c:v>
                </c:pt>
                <c:pt idx="4">
                  <c:v>AWS </c:v>
                </c:pt>
                <c:pt idx="5">
                  <c:v>Other </c:v>
                </c:pt>
              </c:strCache>
            </c:strRef>
          </c:cat>
          <c:val>
            <c:numRef>
              <c:f>' Segments'!$G$50:$G$55</c:f>
              <c:numCache>
                <c:formatCode>0.0%</c:formatCode>
                <c:ptCount val="6"/>
                <c:pt idx="0">
                  <c:v>0.13504808313490968</c:v>
                </c:pt>
                <c:pt idx="1">
                  <c:v>1.9706795446705763</c:v>
                </c:pt>
                <c:pt idx="2">
                  <c:v>0.34076722812960702</c:v>
                </c:pt>
                <c:pt idx="3">
                  <c:v>0.45746322394815353</c:v>
                </c:pt>
                <c:pt idx="4">
                  <c:v>0.46944269431238905</c:v>
                </c:pt>
                <c:pt idx="5">
                  <c:v>1.1723619170427679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34-40E4-87B7-47C1CE5B7D99}"/>
            </c:ext>
          </c:extLst>
        </c:ser>
        <c:ser>
          <c:idx val="5"/>
          <c:order val="5"/>
          <c:tx>
            <c:v>2019</c:v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 Segments'!$B$50:$B$55</c:f>
              <c:strCache>
                <c:ptCount val="6"/>
                <c:pt idx="0">
                  <c:v>Online Stores</c:v>
                </c:pt>
                <c:pt idx="1">
                  <c:v>Physical Stores </c:v>
                </c:pt>
                <c:pt idx="2">
                  <c:v>Third Party Seller Services </c:v>
                </c:pt>
                <c:pt idx="3">
                  <c:v>Subscription Services </c:v>
                </c:pt>
                <c:pt idx="4">
                  <c:v>AWS </c:v>
                </c:pt>
                <c:pt idx="5">
                  <c:v>Other </c:v>
                </c:pt>
              </c:strCache>
            </c:strRef>
          </c:cat>
          <c:val>
            <c:numRef>
              <c:f>' Segments'!$H$50:$H$55</c:f>
              <c:numCache>
                <c:formatCode>0.0%</c:formatCode>
                <c:ptCount val="6"/>
                <c:pt idx="0">
                  <c:v>0.14847097660728359</c:v>
                </c:pt>
                <c:pt idx="1">
                  <c:v>-1.8578727357175806E-3</c:v>
                </c:pt>
                <c:pt idx="2">
                  <c:v>0.25773774710492448</c:v>
                </c:pt>
                <c:pt idx="3">
                  <c:v>0.35587238848108416</c:v>
                </c:pt>
                <c:pt idx="4">
                  <c:v>0.36526992788930035</c:v>
                </c:pt>
                <c:pt idx="5">
                  <c:v>0.39345073209339132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34-40E4-87B7-47C1CE5B7D99}"/>
            </c:ext>
          </c:extLst>
        </c:ser>
        <c:ser>
          <c:idx val="6"/>
          <c:order val="6"/>
          <c:tx>
            <c:v>LTM</c:v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 Segments'!$B$50:$B$55</c:f>
              <c:strCache>
                <c:ptCount val="6"/>
                <c:pt idx="0">
                  <c:v>Online Stores</c:v>
                </c:pt>
                <c:pt idx="1">
                  <c:v>Physical Stores </c:v>
                </c:pt>
                <c:pt idx="2">
                  <c:v>Third Party Seller Services </c:v>
                </c:pt>
                <c:pt idx="3">
                  <c:v>Subscription Services </c:v>
                </c:pt>
                <c:pt idx="4">
                  <c:v>AWS </c:v>
                </c:pt>
                <c:pt idx="5">
                  <c:v>Other </c:v>
                </c:pt>
              </c:strCache>
            </c:strRef>
          </c:cat>
          <c:val>
            <c:numRef>
              <c:f>' Segments'!$K$50:$K$55</c:f>
              <c:numCache>
                <c:formatCode>0.0%</c:formatCode>
                <c:ptCount val="6"/>
                <c:pt idx="0">
                  <c:v>0.1557342810820761</c:v>
                </c:pt>
                <c:pt idx="1">
                  <c:v>-1.2912982782689597E-2</c:v>
                </c:pt>
                <c:pt idx="2">
                  <c:v>0.17804397157843832</c:v>
                </c:pt>
                <c:pt idx="3">
                  <c:v>0.13305570015616874</c:v>
                </c:pt>
                <c:pt idx="4">
                  <c:v>0.14135213841146577</c:v>
                </c:pt>
                <c:pt idx="5">
                  <c:v>0.17082002129925455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C-4065-8D53-7DC07EDAE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77048184"/>
        <c:axId val="5770432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Series1</c:v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 Segments'!$B$50:$B$55</c15:sqref>
                        </c15:formulaRef>
                      </c:ext>
                    </c:extLst>
                    <c:strCache>
                      <c:ptCount val="6"/>
                      <c:pt idx="0">
                        <c:v>Online Stores</c:v>
                      </c:pt>
                      <c:pt idx="1">
                        <c:v>Physical Stores </c:v>
                      </c:pt>
                      <c:pt idx="2">
                        <c:v>Third Party Seller Services </c:v>
                      </c:pt>
                      <c:pt idx="3">
                        <c:v>Subscription Services </c:v>
                      </c:pt>
                      <c:pt idx="4">
                        <c:v>AWS </c:v>
                      </c:pt>
                      <c:pt idx="5">
                        <c:v>Other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 Segments'!$C$50:$C$55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1D34-40E4-87B7-47C1CE5B7D99}"/>
                  </c:ext>
                </c:extLst>
              </c15:ser>
            </c15:filteredBarSeries>
          </c:ext>
        </c:extLst>
      </c:barChart>
      <c:catAx>
        <c:axId val="577048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43264"/>
        <c:crosses val="autoZero"/>
        <c:auto val="1"/>
        <c:lblAlgn val="ctr"/>
        <c:lblOffset val="100"/>
        <c:noMultiLvlLbl val="0"/>
      </c:catAx>
      <c:valAx>
        <c:axId val="57704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481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COGS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Segments'!$B$130</c:f>
              <c:strCache>
                <c:ptCount val="1"/>
                <c:pt idx="0">
                  <c:v>Shipping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Segments'!$C$127:$H$127,' Segments'!$K$127)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Segments'!$C$130:$H$130,' Segments'!$K$130)</c:f>
              <c:numCache>
                <c:formatCode>_(#,##0_)_%;\(#,##0\)_%;_("–"_)_%;_(@_)_%</c:formatCode>
                <c:ptCount val="7"/>
                <c:pt idx="0">
                  <c:v>8709</c:v>
                </c:pt>
                <c:pt idx="1">
                  <c:v>11539</c:v>
                </c:pt>
                <c:pt idx="2">
                  <c:v>16167</c:v>
                </c:pt>
                <c:pt idx="3">
                  <c:v>21700</c:v>
                </c:pt>
                <c:pt idx="4">
                  <c:v>27700</c:v>
                </c:pt>
                <c:pt idx="5">
                  <c:v>37900</c:v>
                </c:pt>
                <c:pt idx="6">
                  <c:v>47034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9-4F0A-848B-14E180651C2C}"/>
            </c:ext>
          </c:extLst>
        </c:ser>
        <c:ser>
          <c:idx val="1"/>
          <c:order val="1"/>
          <c:tx>
            <c:strRef>
              <c:f>' Segments'!$B$131</c:f>
              <c:strCache>
                <c:ptCount val="1"/>
                <c:pt idx="0">
                  <c:v>Video &amp; music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Segments'!$C$127:$H$127,' Segments'!$K$127)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Segments'!$C$131:$H$131,' Segments'!$K$131)</c:f>
              <c:numCache>
                <c:formatCode>_(#,##0_)_%;\(#,##0\)_%;_("–"_)_%;_(@_)_%</c:formatCode>
                <c:ptCount val="7"/>
                <c:pt idx="4">
                  <c:v>6700</c:v>
                </c:pt>
                <c:pt idx="5">
                  <c:v>7800</c:v>
                </c:pt>
                <c:pt idx="6">
                  <c:v>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C9-4F0A-848B-14E180651C2C}"/>
            </c:ext>
          </c:extLst>
        </c:ser>
        <c:ser>
          <c:idx val="2"/>
          <c:order val="2"/>
          <c:tx>
            <c:strRef>
              <c:f>' Segments'!$B$132</c:f>
              <c:strCache>
                <c:ptCount val="1"/>
                <c:pt idx="0">
                  <c:v>Purchases &amp; Other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Segments'!$C$127:$H$127,' Segments'!$K$127)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Segments'!$C$132:$H$132,' Segments'!$K$132)</c:f>
              <c:numCache>
                <c:formatCode>_(#,##0_)_%;\(#,##0\)_%;_("–"_)_%;_(@_)_%</c:formatCode>
                <c:ptCount val="7"/>
                <c:pt idx="0">
                  <c:v>54043</c:v>
                </c:pt>
                <c:pt idx="1">
                  <c:v>60112</c:v>
                </c:pt>
                <c:pt idx="2">
                  <c:v>72098</c:v>
                </c:pt>
                <c:pt idx="3">
                  <c:v>90234</c:v>
                </c:pt>
                <c:pt idx="4">
                  <c:v>104756</c:v>
                </c:pt>
                <c:pt idx="5">
                  <c:v>119836</c:v>
                </c:pt>
                <c:pt idx="6">
                  <c:v>135696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C9-4F0A-848B-14E180651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26411704"/>
        <c:axId val="226420560"/>
      </c:barChart>
      <c:catAx>
        <c:axId val="226411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420560"/>
        <c:crosses val="autoZero"/>
        <c:auto val="1"/>
        <c:lblAlgn val="ctr"/>
        <c:lblOffset val="100"/>
        <c:noMultiLvlLbl val="0"/>
      </c:catAx>
      <c:valAx>
        <c:axId val="22642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#,##0_)_%;\(#,##0\)_%;_(&quot;–&quot;_)_%;_(@_)_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4117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Common Size of COGS Segments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 Segments'!$B$147</c:f>
              <c:strCache>
                <c:ptCount val="1"/>
                <c:pt idx="0">
                  <c:v>Shipping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Segments'!$C$127:$H$127,' Segments'!$K$127)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Segments'!$C$147:$H$147,' Segments'!$K$147)</c:f>
              <c:numCache>
                <c:formatCode>0.0%</c:formatCode>
                <c:ptCount val="7"/>
                <c:pt idx="0">
                  <c:v>9.7867128152110391E-2</c:v>
                </c:pt>
                <c:pt idx="1">
                  <c:v>0.10783507466871016</c:v>
                </c:pt>
                <c:pt idx="2">
                  <c:v>0.11888636413774846</c:v>
                </c:pt>
                <c:pt idx="3">
                  <c:v>0.12200195652907245</c:v>
                </c:pt>
                <c:pt idx="4">
                  <c:v>0.11894180439440587</c:v>
                </c:pt>
                <c:pt idx="5">
                  <c:v>0.13510526803601858</c:v>
                </c:pt>
                <c:pt idx="6">
                  <c:v>0.14616728095418638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8-4695-9B38-9231BFD77BCC}"/>
            </c:ext>
          </c:extLst>
        </c:ser>
        <c:ser>
          <c:idx val="1"/>
          <c:order val="1"/>
          <c:tx>
            <c:strRef>
              <c:f>' Segments'!$B$148</c:f>
              <c:strCache>
                <c:ptCount val="1"/>
                <c:pt idx="0">
                  <c:v>Video &amp; music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Segments'!$C$127:$H$127,' Segments'!$K$127)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Segments'!$C$148:$H$148,' Segments'!$K$148)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2.8769317308394198E-2</c:v>
                </c:pt>
                <c:pt idx="5">
                  <c:v>2.780530582271622E-2</c:v>
                </c:pt>
                <c:pt idx="6">
                  <c:v>2.9523093274328584E-2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48-4695-9B38-9231BFD77BCC}"/>
            </c:ext>
          </c:extLst>
        </c:ser>
        <c:ser>
          <c:idx val="2"/>
          <c:order val="2"/>
          <c:tx>
            <c:strRef>
              <c:f>' Segments'!$B$149</c:f>
              <c:strCache>
                <c:ptCount val="1"/>
                <c:pt idx="0">
                  <c:v>Purchases &amp; Other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Segments'!$C$127:$H$127,' Segments'!$K$127)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Segments'!$C$149:$H$149,' Segments'!$K$149)</c:f>
              <c:numCache>
                <c:formatCode>0.0%</c:formatCode>
                <c:ptCount val="7"/>
                <c:pt idx="0">
                  <c:v>0.60730660313750173</c:v>
                </c:pt>
                <c:pt idx="1">
                  <c:v>0.5617628918004598</c:v>
                </c:pt>
                <c:pt idx="2">
                  <c:v>0.53018303220160745</c:v>
                </c:pt>
                <c:pt idx="3">
                  <c:v>0.50731449518176608</c:v>
                </c:pt>
                <c:pt idx="4">
                  <c:v>0.44981471700867803</c:v>
                </c:pt>
                <c:pt idx="5">
                  <c:v>0.42718931135525912</c:v>
                </c:pt>
                <c:pt idx="6">
                  <c:v>0.42170164894245171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48-4695-9B38-9231BFD77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6223736"/>
        <c:axId val="586224720"/>
      </c:barChart>
      <c:catAx>
        <c:axId val="586223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24720"/>
        <c:crosses val="autoZero"/>
        <c:auto val="1"/>
        <c:lblAlgn val="ctr"/>
        <c:lblOffset val="100"/>
        <c:noMultiLvlLbl val="0"/>
      </c:catAx>
      <c:valAx>
        <c:axId val="58622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237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Operating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30427475635313"/>
          <c:y val="0.12316411106506424"/>
          <c:w val="0.72662137962174111"/>
          <c:h val="0.42507632269650503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' Segments'!$B$141</c:f>
              <c:strCache>
                <c:ptCount val="1"/>
                <c:pt idx="0">
                  <c:v>Other Operating Expense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Segments'!$C$127:$H$127,' Segments'!$K$127)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Segments'!$C$141:$H$141,' Segments'!$K$141)</c:f>
              <c:numCache>
                <c:formatCode>_(#,##0_)_%;\(#,##0\)_%;_("–"_)_%;_(@_)_%</c:formatCode>
                <c:ptCount val="7"/>
                <c:pt idx="0">
                  <c:v>133</c:v>
                </c:pt>
                <c:pt idx="1">
                  <c:v>171</c:v>
                </c:pt>
                <c:pt idx="2">
                  <c:v>167</c:v>
                </c:pt>
                <c:pt idx="3">
                  <c:v>214</c:v>
                </c:pt>
                <c:pt idx="4">
                  <c:v>296</c:v>
                </c:pt>
                <c:pt idx="5">
                  <c:v>201</c:v>
                </c:pt>
                <c:pt idx="6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89-490F-9038-59E360911622}"/>
            </c:ext>
          </c:extLst>
        </c:ser>
        <c:ser>
          <c:idx val="4"/>
          <c:order val="1"/>
          <c:tx>
            <c:strRef>
              <c:f>' Segments'!$B$140</c:f>
              <c:strCache>
                <c:ptCount val="1"/>
                <c:pt idx="0">
                  <c:v>General and Administrative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Segments'!$C$127:$H$127,' Segments'!$K$127)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Segments'!$C$140:$H$140,' Segments'!$K$140)</c:f>
              <c:numCache>
                <c:formatCode>_(#,##0_)_%;\(#,##0\)_%;_("–"_)_%;_(@_)_%</c:formatCode>
                <c:ptCount val="7"/>
                <c:pt idx="0">
                  <c:v>1552</c:v>
                </c:pt>
                <c:pt idx="1">
                  <c:v>1747</c:v>
                </c:pt>
                <c:pt idx="2">
                  <c:v>2432</c:v>
                </c:pt>
                <c:pt idx="3">
                  <c:v>3674</c:v>
                </c:pt>
                <c:pt idx="4">
                  <c:v>4336</c:v>
                </c:pt>
                <c:pt idx="5">
                  <c:v>5203</c:v>
                </c:pt>
                <c:pt idx="6">
                  <c:v>5791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89-490F-9038-59E360911622}"/>
            </c:ext>
          </c:extLst>
        </c:ser>
        <c:ser>
          <c:idx val="3"/>
          <c:order val="2"/>
          <c:tx>
            <c:strRef>
              <c:f>' Segments'!$B$139</c:f>
              <c:strCache>
                <c:ptCount val="1"/>
                <c:pt idx="0">
                  <c:v>Marketing Wages/Other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Segments'!$C$127:$H$127,' Segments'!$K$127)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Segments'!$C$139:$H$139,' Segments'!$K$139)</c:f>
              <c:numCache>
                <c:formatCode>_(#,##0_)_%;\(#,##0\)_%;_("–"_)_%;_(@_)_%</c:formatCode>
                <c:ptCount val="7"/>
                <c:pt idx="0">
                  <c:v>1032</c:v>
                </c:pt>
                <c:pt idx="1">
                  <c:v>1454</c:v>
                </c:pt>
                <c:pt idx="2">
                  <c:v>2233</c:v>
                </c:pt>
                <c:pt idx="3">
                  <c:v>3769</c:v>
                </c:pt>
                <c:pt idx="4">
                  <c:v>5614</c:v>
                </c:pt>
                <c:pt idx="5">
                  <c:v>7878</c:v>
                </c:pt>
                <c:pt idx="6">
                  <c:v>8994.8250000000007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89-490F-9038-59E360911622}"/>
            </c:ext>
          </c:extLst>
        </c:ser>
        <c:ser>
          <c:idx val="2"/>
          <c:order val="3"/>
          <c:tx>
            <c:strRef>
              <c:f>' Segments'!$B$138</c:f>
              <c:strCache>
                <c:ptCount val="1"/>
                <c:pt idx="0">
                  <c:v>Advertisement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Segments'!$C$127:$H$127,' Segments'!$K$127)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Segments'!$C$138:$H$138,' Segments'!$K$138)</c:f>
              <c:numCache>
                <c:formatCode>_(#,##0_)_%;\(#,##0\)_%;_("–"_)_%;_(@_)_%</c:formatCode>
                <c:ptCount val="7"/>
                <c:pt idx="0">
                  <c:v>3300</c:v>
                </c:pt>
                <c:pt idx="1">
                  <c:v>3800</c:v>
                </c:pt>
                <c:pt idx="2">
                  <c:v>5000</c:v>
                </c:pt>
                <c:pt idx="3">
                  <c:v>6300</c:v>
                </c:pt>
                <c:pt idx="4">
                  <c:v>8200</c:v>
                </c:pt>
                <c:pt idx="5">
                  <c:v>11000</c:v>
                </c:pt>
                <c:pt idx="6">
                  <c:v>11101.174999999999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89-490F-9038-59E360911622}"/>
            </c:ext>
          </c:extLst>
        </c:ser>
        <c:ser>
          <c:idx val="1"/>
          <c:order val="4"/>
          <c:tx>
            <c:strRef>
              <c:f>' Segments'!$B$136</c:f>
              <c:strCache>
                <c:ptCount val="1"/>
                <c:pt idx="0">
                  <c:v>Technology and Content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Segments'!$C$127:$H$127,' Segments'!$K$127)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Segments'!$C$136:$H$136,' Segments'!$K$136)</c:f>
              <c:numCache>
                <c:formatCode>_(#,##0_)_%;\(#,##0\)_%;_("–"_)_%;_(@_)_%</c:formatCode>
                <c:ptCount val="7"/>
                <c:pt idx="0">
                  <c:v>9275</c:v>
                </c:pt>
                <c:pt idx="1">
                  <c:v>12540</c:v>
                </c:pt>
                <c:pt idx="2">
                  <c:v>16085</c:v>
                </c:pt>
                <c:pt idx="3">
                  <c:v>22620</c:v>
                </c:pt>
                <c:pt idx="4">
                  <c:v>28837</c:v>
                </c:pt>
                <c:pt idx="5">
                  <c:v>35931</c:v>
                </c:pt>
                <c:pt idx="6">
                  <c:v>38653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89-490F-9038-59E360911622}"/>
            </c:ext>
          </c:extLst>
        </c:ser>
        <c:ser>
          <c:idx val="0"/>
          <c:order val="5"/>
          <c:tx>
            <c:strRef>
              <c:f>' Segments'!$B$135</c:f>
              <c:strCache>
                <c:ptCount val="1"/>
                <c:pt idx="0">
                  <c:v>Fulfillment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Segments'!$C$127:$H$127,' Segments'!$K$127)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Segments'!$C$135:$H$135,' Segments'!$K$135)</c:f>
              <c:numCache>
                <c:formatCode>_(#,##0_)_%;\(#,##0\)_%;_("–"_)_%;_(@_)_%</c:formatCode>
                <c:ptCount val="7"/>
                <c:pt idx="0">
                  <c:v>10766</c:v>
                </c:pt>
                <c:pt idx="1">
                  <c:v>13410</c:v>
                </c:pt>
                <c:pt idx="2">
                  <c:v>17619</c:v>
                </c:pt>
                <c:pt idx="3">
                  <c:v>25249</c:v>
                </c:pt>
                <c:pt idx="4">
                  <c:v>34027</c:v>
                </c:pt>
                <c:pt idx="5">
                  <c:v>40232</c:v>
                </c:pt>
                <c:pt idx="6">
                  <c:v>47697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89-490F-9038-59E360911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6170208"/>
        <c:axId val="656171520"/>
      </c:barChart>
      <c:catAx>
        <c:axId val="65617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171520"/>
        <c:crosses val="autoZero"/>
        <c:auto val="1"/>
        <c:lblAlgn val="ctr"/>
        <c:lblOffset val="100"/>
        <c:noMultiLvlLbl val="0"/>
      </c:catAx>
      <c:valAx>
        <c:axId val="65617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#,##0_)_%;\(#,##0\)_%;_(&quot;–&quot;_)_%;_(@_)_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170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Common Size of Operating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08431040901169"/>
          <c:y val="0.15782407407407409"/>
          <c:w val="0.7491568959098831"/>
          <c:h val="0.44097222758307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Segments'!$B$151</c:f>
              <c:strCache>
                <c:ptCount val="1"/>
                <c:pt idx="0">
                  <c:v>Fulfillment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Segments'!$C$127:$H$127,' Segments'!$K$127)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Segments'!$C$151:$H$151,' Segments'!$K$151)</c:f>
              <c:numCache>
                <c:formatCode>0.0%</c:formatCode>
                <c:ptCount val="7"/>
                <c:pt idx="0">
                  <c:v>0.12098260439609836</c:v>
                </c:pt>
                <c:pt idx="1">
                  <c:v>0.1253200755097845</c:v>
                </c:pt>
                <c:pt idx="2">
                  <c:v>0.12956385536852788</c:v>
                </c:pt>
                <c:pt idx="3">
                  <c:v>0.14195517974205302</c:v>
                </c:pt>
                <c:pt idx="4">
                  <c:v>0.14610948657503425</c:v>
                </c:pt>
                <c:pt idx="5">
                  <c:v>0.14341834152045116</c:v>
                </c:pt>
                <c:pt idx="6">
                  <c:v>0.14822768209533163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D-446A-A799-F3D69DCA6973}"/>
            </c:ext>
          </c:extLst>
        </c:ser>
        <c:ser>
          <c:idx val="1"/>
          <c:order val="1"/>
          <c:tx>
            <c:strRef>
              <c:f>' Segments'!$B$152</c:f>
              <c:strCache>
                <c:ptCount val="1"/>
                <c:pt idx="0">
                  <c:v>Technology and Content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Segments'!$C$127:$H$127,' Segments'!$K$127)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Segments'!$C$152:$H$152,' Segments'!$K$152)</c:f>
              <c:numCache>
                <c:formatCode>0.0%</c:formatCode>
                <c:ptCount val="7"/>
                <c:pt idx="0">
                  <c:v>0.10422753629702881</c:v>
                </c:pt>
                <c:pt idx="1">
                  <c:v>0.11718969029774032</c:v>
                </c:pt>
                <c:pt idx="2">
                  <c:v>0.11828336532168517</c:v>
                </c:pt>
                <c:pt idx="3">
                  <c:v>0.12717438970910686</c:v>
                </c:pt>
                <c:pt idx="4">
                  <c:v>0.12382400048091993</c:v>
                </c:pt>
                <c:pt idx="5">
                  <c:v>0.12808621070718162</c:v>
                </c:pt>
                <c:pt idx="6">
                  <c:v>0.12012169729817081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BD-446A-A799-F3D69DCA6973}"/>
            </c:ext>
          </c:extLst>
        </c:ser>
        <c:ser>
          <c:idx val="2"/>
          <c:order val="2"/>
          <c:tx>
            <c:strRef>
              <c:f>' Segments'!$B$154</c:f>
              <c:strCache>
                <c:ptCount val="1"/>
                <c:pt idx="0">
                  <c:v>Advertisement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Segments'!$C$127:$H$127,' Segments'!$K$127)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Segments'!$C$154:$H$154,' Segments'!$K$154)</c:f>
              <c:numCache>
                <c:formatCode>0.0%</c:formatCode>
                <c:ptCount val="7"/>
                <c:pt idx="0">
                  <c:v>3.7083651728322918E-2</c:v>
                </c:pt>
                <c:pt idx="1">
                  <c:v>3.5512027362951608E-2</c:v>
                </c:pt>
                <c:pt idx="2">
                  <c:v>3.6768220491664644E-2</c:v>
                </c:pt>
                <c:pt idx="3">
                  <c:v>3.5419922863279101E-2</c:v>
                </c:pt>
                <c:pt idx="4">
                  <c:v>3.5210209243109317E-2</c:v>
                </c:pt>
                <c:pt idx="5">
                  <c:v>3.9212610775625441E-2</c:v>
                </c:pt>
                <c:pt idx="6">
                  <c:v>3.4499055261015217E-2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BD-446A-A799-F3D69DCA6973}"/>
            </c:ext>
          </c:extLst>
        </c:ser>
        <c:ser>
          <c:idx val="3"/>
          <c:order val="3"/>
          <c:tx>
            <c:strRef>
              <c:f>' Segments'!$B$155</c:f>
              <c:strCache>
                <c:ptCount val="1"/>
                <c:pt idx="0">
                  <c:v>Marketing Wages/Other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Segments'!$C$127:$H$127,' Segments'!$K$127)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Segments'!$C$155:$H$155,' Segments'!$K$155)</c:f>
              <c:numCache>
                <c:formatCode>0.0%</c:formatCode>
                <c:ptCount val="7"/>
                <c:pt idx="0">
                  <c:v>1.1597069267766441E-2</c:v>
                </c:pt>
                <c:pt idx="1">
                  <c:v>1.3588023101508327E-2</c:v>
                </c:pt>
                <c:pt idx="2">
                  <c:v>1.642068727157743E-2</c:v>
                </c:pt>
                <c:pt idx="3">
                  <c:v>2.1190109408206179E-2</c:v>
                </c:pt>
                <c:pt idx="4">
                  <c:v>2.4106111547660455E-2</c:v>
                </c:pt>
                <c:pt idx="5">
                  <c:v>2.8083358880943383E-2</c:v>
                </c:pt>
                <c:pt idx="6">
                  <c:v>2.7953163943290803E-2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BD-446A-A799-F3D69DCA6973}"/>
            </c:ext>
          </c:extLst>
        </c:ser>
        <c:ser>
          <c:idx val="4"/>
          <c:order val="4"/>
          <c:tx>
            <c:strRef>
              <c:f>' Segments'!$B$156</c:f>
              <c:strCache>
                <c:ptCount val="1"/>
                <c:pt idx="0">
                  <c:v>General and Administrative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Segments'!$C$127:$H$127,' Segments'!$K$127)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Segments'!$C$156:$H$156,' Segments'!$K$156)</c:f>
              <c:numCache>
                <c:formatCode>0.0%</c:formatCode>
                <c:ptCount val="7"/>
                <c:pt idx="0">
                  <c:v>1.7440553782532477E-2</c:v>
                </c:pt>
                <c:pt idx="1">
                  <c:v>1.6326187316599069E-2</c:v>
                </c:pt>
                <c:pt idx="2">
                  <c:v>1.7884062447145684E-2</c:v>
                </c:pt>
                <c:pt idx="3">
                  <c:v>2.0655999460267842E-2</c:v>
                </c:pt>
                <c:pt idx="4">
                  <c:v>1.8618471619283171E-2</c:v>
                </c:pt>
                <c:pt idx="5">
                  <c:v>1.8547564896870834E-2</c:v>
                </c:pt>
                <c:pt idx="6">
                  <c:v>1.7996656121224929E-2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BD-446A-A799-F3D69DCA6973}"/>
            </c:ext>
          </c:extLst>
        </c:ser>
        <c:ser>
          <c:idx val="5"/>
          <c:order val="5"/>
          <c:tx>
            <c:strRef>
              <c:f>' Segments'!$B$157</c:f>
              <c:strCache>
                <c:ptCount val="1"/>
                <c:pt idx="0">
                  <c:v>Other Operating Expense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(' Segments'!$C$127:$H$127,' Segments'!$K$127)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LTM </c:v>
                </c:pt>
              </c:strCache>
            </c:strRef>
          </c:cat>
          <c:val>
            <c:numRef>
              <c:f>(' Segments'!$C$157:$H$157,' Segments'!$K$157)</c:f>
              <c:numCache>
                <c:formatCode>0.0%</c:formatCode>
                <c:ptCount val="7"/>
                <c:pt idx="0">
                  <c:v>1.4945835393536206E-3</c:v>
                </c:pt>
                <c:pt idx="1">
                  <c:v>1.5980412313328224E-3</c:v>
                </c:pt>
                <c:pt idx="2">
                  <c:v>1.2280585644215991E-3</c:v>
                </c:pt>
                <c:pt idx="3">
                  <c:v>1.2031529353558298E-3</c:v>
                </c:pt>
                <c:pt idx="4">
                  <c:v>1.271002675117117E-3</c:v>
                </c:pt>
                <c:pt idx="5">
                  <c:v>7.1652134235461028E-4</c:v>
                </c:pt>
                <c:pt idx="6">
                  <c:v>1.4916931338608125E-3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BD-446A-A799-F3D69DCA6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2726232"/>
        <c:axId val="642730824"/>
      </c:barChart>
      <c:catAx>
        <c:axId val="64272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730824"/>
        <c:crosses val="autoZero"/>
        <c:auto val="1"/>
        <c:lblAlgn val="ctr"/>
        <c:lblOffset val="100"/>
        <c:noMultiLvlLbl val="0"/>
      </c:catAx>
      <c:valAx>
        <c:axId val="64273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7262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AWS!$B$3</c:f>
              <c:strCache>
                <c:ptCount val="1"/>
                <c:pt idx="0">
                  <c:v>Net Sales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AWS!$C$3:$H$3</c:f>
              <c:numCache>
                <c:formatCode>_(* #,##0_);_(* \(#,##0\);_(* "-"??_);_(@_)</c:formatCode>
                <c:ptCount val="6"/>
                <c:pt idx="0">
                  <c:v>4644</c:v>
                </c:pt>
                <c:pt idx="1">
                  <c:v>7880</c:v>
                </c:pt>
                <c:pt idx="2">
                  <c:v>12219</c:v>
                </c:pt>
                <c:pt idx="3">
                  <c:v>17459</c:v>
                </c:pt>
                <c:pt idx="4">
                  <c:v>25655</c:v>
                </c:pt>
                <c:pt idx="5">
                  <c:v>35026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1-4448-906F-0D9BBF6F2859}"/>
            </c:ext>
          </c:extLst>
        </c:ser>
        <c:ser>
          <c:idx val="1"/>
          <c:order val="1"/>
          <c:tx>
            <c:strRef>
              <c:f>AWS!$B$10</c:f>
              <c:strCache>
                <c:ptCount val="1"/>
                <c:pt idx="0">
                  <c:v>Operating Profit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AWS!$C$10:$H$10</c:f>
              <c:numCache>
                <c:formatCode>_(* #,##0_);_(* \(#,##0\);_(* "-"??_);_(@_)</c:formatCode>
                <c:ptCount val="6"/>
                <c:pt idx="0">
                  <c:v>458</c:v>
                </c:pt>
                <c:pt idx="1">
                  <c:v>1506.9999999999995</c:v>
                </c:pt>
                <c:pt idx="2">
                  <c:v>3108</c:v>
                </c:pt>
                <c:pt idx="3">
                  <c:v>4331</c:v>
                </c:pt>
                <c:pt idx="4">
                  <c:v>7296.0000000000009</c:v>
                </c:pt>
                <c:pt idx="5">
                  <c:v>9200.9999999999982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61-4448-906F-0D9BBF6F28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36458088"/>
        <c:axId val="536459728"/>
      </c:barChart>
      <c:catAx>
        <c:axId val="536458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59728"/>
        <c:crosses val="autoZero"/>
        <c:auto val="1"/>
        <c:lblAlgn val="ctr"/>
        <c:lblOffset val="100"/>
        <c:noMultiLvlLbl val="0"/>
      </c:catAx>
      <c:valAx>
        <c:axId val="53645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58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12699</xdr:colOff>
      <xdr:row>10</xdr:row>
      <xdr:rowOff>180973</xdr:rowOff>
    </xdr:from>
    <xdr:to>
      <xdr:col>19</xdr:col>
      <xdr:colOff>498475</xdr:colOff>
      <xdr:row>31</xdr:row>
      <xdr:rowOff>187325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10</xdr:col>
      <xdr:colOff>723900</xdr:colOff>
      <xdr:row>38</xdr:row>
      <xdr:rowOff>152400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8CCEB7B6-9278-46FC-9389-FD331A3D5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"/>
          <a:ext cx="7191375" cy="4914900"/>
        </a:xfrm>
        <a:prstGeom prst="rect">
          <a:avLst/>
        </a:prstGeom>
      </xdr:spPr>
    </xdr:pic>
    <xdr:clientData/>
  </xdr:twoCellAnchor>
  <xdr:twoCellAnchor editAs="oneCell">
    <xdr:from>
      <xdr:col>10</xdr:col>
      <xdr:colOff>619125</xdr:colOff>
      <xdr:row>21</xdr:row>
      <xdr:rowOff>38100</xdr:rowOff>
    </xdr:from>
    <xdr:to>
      <xdr:col>20</xdr:col>
      <xdr:colOff>523875</xdr:colOff>
      <xdr:row>37</xdr:row>
      <xdr:rowOff>142875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B223A147-B11A-4254-B37F-572B7EB05111}"/>
            </a:ext>
            <a:ext uri="{147F2762-F138-4A5C-976F-8EAC2B608ADB}">
              <a16:predDERef xmlns:a16="http://schemas.microsoft.com/office/drawing/2014/main" pred="{8CCEB7B6-9278-46FC-9389-FD331A3D5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00" y="4038600"/>
          <a:ext cx="6276975" cy="3152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161926</xdr:colOff>
      <xdr:row>1</xdr:row>
      <xdr:rowOff>66675</xdr:rowOff>
    </xdr:from>
    <xdr:to>
      <xdr:col>9</xdr:col>
      <xdr:colOff>85726</xdr:colOff>
      <xdr:row>17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409575</xdr:colOff>
      <xdr:row>19</xdr:row>
      <xdr:rowOff>57150</xdr:rowOff>
    </xdr:from>
    <xdr:to>
      <xdr:col>20</xdr:col>
      <xdr:colOff>419100</xdr:colOff>
      <xdr:row>37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466724</xdr:colOff>
      <xdr:row>2</xdr:row>
      <xdr:rowOff>57149</xdr:rowOff>
    </xdr:from>
    <xdr:to>
      <xdr:col>20</xdr:col>
      <xdr:colOff>323850</xdr:colOff>
      <xdr:row>18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457200</xdr:colOff>
      <xdr:row>38</xdr:row>
      <xdr:rowOff>133350</xdr:rowOff>
    </xdr:from>
    <xdr:to>
      <xdr:col>23</xdr:col>
      <xdr:colOff>442913</xdr:colOff>
      <xdr:row>58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209550</xdr:colOff>
      <xdr:row>19</xdr:row>
      <xdr:rowOff>76200</xdr:rowOff>
    </xdr:from>
    <xdr:to>
      <xdr:col>10</xdr:col>
      <xdr:colOff>328613</xdr:colOff>
      <xdr:row>35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209550</xdr:colOff>
      <xdr:row>37</xdr:row>
      <xdr:rowOff>161925</xdr:rowOff>
    </xdr:from>
    <xdr:to>
      <xdr:col>9</xdr:col>
      <xdr:colOff>323850</xdr:colOff>
      <xdr:row>57</xdr:row>
      <xdr:rowOff>47625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209549</xdr:colOff>
      <xdr:row>59</xdr:row>
      <xdr:rowOff>38099</xdr:rowOff>
    </xdr:from>
    <xdr:to>
      <xdr:col>9</xdr:col>
      <xdr:colOff>457200</xdr:colOff>
      <xdr:row>75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133349</xdr:colOff>
      <xdr:row>59</xdr:row>
      <xdr:rowOff>152399</xdr:rowOff>
    </xdr:from>
    <xdr:to>
      <xdr:col>21</xdr:col>
      <xdr:colOff>476250</xdr:colOff>
      <xdr:row>76</xdr:row>
      <xdr:rowOff>66674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285750</xdr:colOff>
      <xdr:row>77</xdr:row>
      <xdr:rowOff>38100</xdr:rowOff>
    </xdr:from>
    <xdr:to>
      <xdr:col>21</xdr:col>
      <xdr:colOff>123826</xdr:colOff>
      <xdr:row>94</xdr:row>
      <xdr:rowOff>38101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485775</xdr:colOff>
      <xdr:row>77</xdr:row>
      <xdr:rowOff>38100</xdr:rowOff>
    </xdr:from>
    <xdr:to>
      <xdr:col>9</xdr:col>
      <xdr:colOff>171450</xdr:colOff>
      <xdr:row>94</xdr:row>
      <xdr:rowOff>57150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wner/Downloads/statistic_id266282_annual-net-sales-of-amazon-2004-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Data"/>
    </sheetNames>
    <sheetDataSet>
      <sheetData sheetId="0"/>
      <sheetData sheetId="1">
        <row r="11">
          <cell r="B11" t="str">
            <v>2009</v>
          </cell>
          <cell r="C11">
            <v>24.51</v>
          </cell>
        </row>
        <row r="12">
          <cell r="B12" t="str">
            <v>2010</v>
          </cell>
          <cell r="C12">
            <v>34.200000000000003</v>
          </cell>
        </row>
        <row r="13">
          <cell r="B13" t="str">
            <v>2011</v>
          </cell>
          <cell r="C13">
            <v>48.08</v>
          </cell>
        </row>
        <row r="14">
          <cell r="B14" t="str">
            <v>2012</v>
          </cell>
          <cell r="C14">
            <v>61.09</v>
          </cell>
        </row>
        <row r="15">
          <cell r="B15" t="str">
            <v>2013</v>
          </cell>
          <cell r="C15">
            <v>74.45</v>
          </cell>
        </row>
        <row r="16">
          <cell r="B16" t="str">
            <v>2014</v>
          </cell>
          <cell r="C16">
            <v>88.99</v>
          </cell>
        </row>
        <row r="17">
          <cell r="B17" t="str">
            <v>2015</v>
          </cell>
          <cell r="C17">
            <v>107.01</v>
          </cell>
        </row>
        <row r="18">
          <cell r="B18" t="str">
            <v>2016</v>
          </cell>
          <cell r="C18">
            <v>135.99</v>
          </cell>
        </row>
        <row r="19">
          <cell r="B19" t="str">
            <v>2017</v>
          </cell>
          <cell r="C19">
            <v>177.87</v>
          </cell>
        </row>
        <row r="20">
          <cell r="B20" t="str">
            <v>2018</v>
          </cell>
          <cell r="C20">
            <v>232.89</v>
          </cell>
        </row>
        <row r="21">
          <cell r="B21" t="str">
            <v>2019</v>
          </cell>
          <cell r="C21">
            <v>280.52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leksei Belinsky" id="{E5822274-6C00-4D41-81E1-952AED169ADC}" userId="2332c4f030ccc21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6" dT="2020-08-06T20:50:48.02" personId="{E5822274-6C00-4D41-81E1-952AED169ADC}" id="{C99F77DC-8597-48C2-AD0B-F94179F1B822}">
    <text>Assume growth over 50 years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D93ED0-603F-644F-BFC2-5F996B0CF0A5}">
  <we:reference id="wa200003693" version="1.0.4.0" store="en-US" storeType="OMEX"/>
  <we:alternateReferences>
    <we:reference id="WA200003693" version="1.0.4.0" store="" storeType="OMEX"/>
  </we:alternateReferences>
  <we:properties>
    <we:property name="paintBrushArray" value="[]"/>
    <we:property name="blueBlackToggle" value="0"/>
    <we:property name="fontColorCycle" value="0"/>
    <we:property name="fillColorCycle" value="0"/>
    <we:property name="borderColorCycle" value="0"/>
    <we:property name="chartColorCycle" value="0"/>
    <we:property name="autoColorCycle" value="7"/>
    <we:property name="general" value="0"/>
    <we:property name="localCurrency" value="0"/>
    <we:property name="foreignCurrency" value="0"/>
    <we:property name="percent" value="0"/>
    <we:property name="multiple" value="0"/>
    <we:property name="date" value="0"/>
    <we:property name="binary" value="0"/>
    <we:property name="ratio" value="0"/>
    <we:property name="topBorder" value="0"/>
    <we:property name="bottomBorder" value="0"/>
    <we:property name="leftBorder" value="0"/>
    <we:property name="rightBorder" value="0"/>
    <we:property name="outsideBorder" value="0"/>
    <we:property name="insideBorder" value="0"/>
    <we:property name="centerAlignment" value="0"/>
    <we:property name="horizontalAlignment" value="0"/>
    <we:property name="verticalAlignment" value="0"/>
    <we:property name="leftIndentCycle" value="0"/>
    <we:property name="rightIndentCycle" value="0"/>
    <we:property name="fontSizeCycle" value="0"/>
    <we:property name="fontStyleCycle" value="0"/>
    <we:property name="underlineCycle" value="0"/>
    <we:property name="caseCycle" value="0"/>
    <we:property name="listCycle" value="0"/>
    <we:property name="footnotesCycle" value="0"/>
    <we:property name="rowHeightCycle" value="0"/>
    <we:property name="colWidthCycle" value="0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andmarkets.com/Market-Reports/cloud-computing-market-234.html" TargetMode="External"/><Relationship Id="rId2" Type="http://schemas.openxmlformats.org/officeDocument/2006/relationships/hyperlink" Target="https://www.youtube.com/watch?v=H3_ZqnqLyVo" TargetMode="External"/><Relationship Id="rId1" Type="http://schemas.openxmlformats.org/officeDocument/2006/relationships/hyperlink" Target="https://www.youtube.com/watch?v=1pBuwKwaHp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sec.report/Document/0000865436-17-000238/" TargetMode="External"/><Relationship Id="rId1" Type="http://schemas.openxmlformats.org/officeDocument/2006/relationships/hyperlink" Target="http://assets.wholefoodsmarket.com/www/company-info/investor-relations/annual-reports/2015-WFM-Annual-Report.pd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lefoodsmarket.com/company-info/stores-in-developmen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2:AA52"/>
  <sheetViews>
    <sheetView showGridLines="0" tabSelected="1" workbookViewId="0">
      <selection activeCell="H30" sqref="H30"/>
    </sheetView>
  </sheetViews>
  <sheetFormatPr baseColWidth="10" defaultColWidth="8.83203125" defaultRowHeight="15" x14ac:dyDescent="0.2"/>
  <cols>
    <col min="1" max="1" width="4.83203125" style="716" customWidth="1"/>
    <col min="2" max="2" width="27.6640625" customWidth="1"/>
    <col min="3" max="3" width="14.83203125" customWidth="1"/>
    <col min="4" max="9" width="15.33203125" customWidth="1"/>
    <col min="10" max="10" width="8.5" customWidth="1"/>
    <col min="11" max="11" width="8" customWidth="1"/>
    <col min="12" max="12" width="11.83203125" customWidth="1"/>
    <col min="13" max="13" width="10.33203125" customWidth="1"/>
    <col min="14" max="18" width="15.33203125" customWidth="1"/>
    <col min="19" max="19" width="8" customWidth="1"/>
    <col min="20" max="20" width="20.5" customWidth="1"/>
    <col min="21" max="21" width="11.83203125" customWidth="1"/>
    <col min="23" max="26" width="9.5" bestFit="1" customWidth="1"/>
  </cols>
  <sheetData>
    <row r="2" spans="2:21" ht="16" x14ac:dyDescent="0.2">
      <c r="B2" s="1222" t="s">
        <v>0</v>
      </c>
      <c r="C2" s="1175"/>
      <c r="D2" s="1226">
        <v>43830</v>
      </c>
      <c r="E2" s="1227">
        <v>44196</v>
      </c>
      <c r="F2" s="1227">
        <v>44561</v>
      </c>
      <c r="G2" s="1227">
        <v>44926</v>
      </c>
      <c r="H2" s="1227">
        <v>45291</v>
      </c>
      <c r="I2" s="1228">
        <v>45657</v>
      </c>
      <c r="J2" s="1192" t="s">
        <v>1</v>
      </c>
      <c r="K2" s="748"/>
      <c r="M2" s="1220" t="s">
        <v>616</v>
      </c>
      <c r="N2" s="1220"/>
      <c r="O2" s="1221"/>
      <c r="P2" s="1221"/>
      <c r="Q2" s="1221"/>
      <c r="R2" s="1221"/>
    </row>
    <row r="3" spans="2:21" x14ac:dyDescent="0.2">
      <c r="B3" s="1176" t="s">
        <v>2</v>
      </c>
      <c r="C3" s="1177"/>
      <c r="D3" s="1178">
        <f>'Operating Model'!P9</f>
        <v>280522</v>
      </c>
      <c r="E3" s="1178">
        <f ca="1">'Operating Model'!T9</f>
        <v>358743.70664425573</v>
      </c>
      <c r="F3" s="1178">
        <f ca="1">'Operating Model'!U9</f>
        <v>426877.55597618909</v>
      </c>
      <c r="G3" s="1178">
        <f ca="1">'Operating Model'!V9</f>
        <v>494044.30531795969</v>
      </c>
      <c r="H3" s="1178">
        <f ca="1">'Operating Model'!W9</f>
        <v>544340.96947308502</v>
      </c>
      <c r="I3" s="1184">
        <f ca="1">'Operating Model'!X9</f>
        <v>578411.63484315772</v>
      </c>
      <c r="J3" s="1193">
        <f ca="1">(I3/D3)^(1/5)-1</f>
        <v>0.15572369855376667</v>
      </c>
      <c r="K3" s="748"/>
      <c r="M3" s="1217" t="s">
        <v>615</v>
      </c>
      <c r="N3" s="1218"/>
      <c r="O3" s="1218"/>
      <c r="P3" s="1218"/>
      <c r="Q3" s="1218"/>
      <c r="R3" s="1219"/>
    </row>
    <row r="4" spans="2:21" x14ac:dyDescent="0.2">
      <c r="B4" s="1179" t="s">
        <v>3</v>
      </c>
      <c r="C4" s="1134"/>
      <c r="D4" s="1121"/>
      <c r="E4" s="1122">
        <f ca="1">E3/D3-1</f>
        <v>0.27884339425875937</v>
      </c>
      <c r="F4" s="1122">
        <f ca="1">F3/E3-1</f>
        <v>0.18992346923453507</v>
      </c>
      <c r="G4" s="1122">
        <f ca="1">G3/F3-1</f>
        <v>0.15734429791740356</v>
      </c>
      <c r="H4" s="1122">
        <f ca="1">H3/G3-1</f>
        <v>0.10180597896529764</v>
      </c>
      <c r="I4" s="1185">
        <f ca="1">I3/H3-1</f>
        <v>6.2590668865238452E-2</v>
      </c>
      <c r="J4" s="1194"/>
      <c r="K4" s="748"/>
      <c r="M4" s="1214">
        <f ca="1">D45</f>
        <v>3524.4206873101712</v>
      </c>
      <c r="N4" s="1215">
        <f>O4-0.002</f>
        <v>3.142314280013081E-2</v>
      </c>
      <c r="O4" s="1215">
        <f>P4-0.002</f>
        <v>3.3423142800130812E-2</v>
      </c>
      <c r="P4" s="1215">
        <v>3.5423142800130814E-2</v>
      </c>
      <c r="Q4" s="1215">
        <f>P4+0.002</f>
        <v>3.7423142800130815E-2</v>
      </c>
      <c r="R4" s="1216">
        <f>Q4+0.002</f>
        <v>3.9423142800130817E-2</v>
      </c>
    </row>
    <row r="5" spans="2:21" x14ac:dyDescent="0.2">
      <c r="B5" s="1176" t="s">
        <v>4</v>
      </c>
      <c r="C5" s="1135"/>
      <c r="D5" s="1136">
        <f>'Operating Model'!P11</f>
        <v>114986</v>
      </c>
      <c r="E5" s="1136">
        <f ca="1">'Operating Model'!T11</f>
        <v>148513.49021227509</v>
      </c>
      <c r="F5" s="1136">
        <f ca="1">'Operating Model'!U11</f>
        <v>183769.8326825143</v>
      </c>
      <c r="G5" s="1136">
        <f ca="1">'Operating Model'!V11</f>
        <v>223699.94130680076</v>
      </c>
      <c r="H5" s="1136">
        <f ca="1">'Operating Model'!W11</f>
        <v>260661.66619392636</v>
      </c>
      <c r="I5" s="1186">
        <f ca="1">'Operating Model'!X11</f>
        <v>294810.67789135472</v>
      </c>
      <c r="J5" s="1193">
        <f ca="1">(I5/D5)^(1/5)-1</f>
        <v>0.20720117250034464</v>
      </c>
      <c r="K5" s="748"/>
      <c r="M5" s="1202">
        <f>M6-0.005</f>
        <v>6.155490315030699E-2</v>
      </c>
      <c r="N5" s="1203">
        <f t="dataTable" ref="N5:R9" dt2D="1" dtr="1" r1="D28" r2="C17" ca="1"/>
        <v>4393.6358433996193</v>
      </c>
      <c r="O5" s="1204">
        <v>4693.1373640204383</v>
      </c>
      <c r="P5" s="1204">
        <v>5038.4837135555535</v>
      </c>
      <c r="Q5" s="1204">
        <v>5441.0735205962628</v>
      </c>
      <c r="R5" s="1205">
        <v>5916.4256927937968</v>
      </c>
      <c r="S5" s="737"/>
    </row>
    <row r="6" spans="2:21" x14ac:dyDescent="0.2">
      <c r="B6" s="1179" t="s">
        <v>5</v>
      </c>
      <c r="C6" s="1134"/>
      <c r="D6" s="1122">
        <f t="shared" ref="D6:I6" si="0">D5/D$3</f>
        <v>0.40990011478600608</v>
      </c>
      <c r="E6" s="1122">
        <f t="shared" ca="1" si="0"/>
        <v>0.41398214787234405</v>
      </c>
      <c r="F6" s="1122">
        <f t="shared" ca="1" si="0"/>
        <v>0.43049776243744436</v>
      </c>
      <c r="G6" s="1122">
        <f t="shared" ca="1" si="0"/>
        <v>0.45279327966918015</v>
      </c>
      <c r="H6" s="1122">
        <f t="shared" ca="1" si="0"/>
        <v>0.4788573354054968</v>
      </c>
      <c r="I6" s="1185">
        <f t="shared" ca="1" si="0"/>
        <v>0.50969008943137128</v>
      </c>
      <c r="J6" s="1194"/>
      <c r="K6" s="748"/>
      <c r="M6" s="1202">
        <f>M7-0.005</f>
        <v>6.6554903150306988E-2</v>
      </c>
      <c r="N6" s="1206">
        <v>3732.2487175270689</v>
      </c>
      <c r="O6" s="1207">
        <v>3946.8011173617642</v>
      </c>
      <c r="P6" s="1207">
        <v>4188.9205288169242</v>
      </c>
      <c r="Q6" s="1207">
        <v>4464.2846750282097</v>
      </c>
      <c r="R6" s="1208">
        <v>4780.2453977472187</v>
      </c>
      <c r="S6" s="738">
        <f>WACC!$C$4</f>
        <v>3148.02</v>
      </c>
    </row>
    <row r="7" spans="2:21" x14ac:dyDescent="0.2">
      <c r="B7" s="1176" t="s">
        <v>6</v>
      </c>
      <c r="C7" s="1135"/>
      <c r="D7" s="1136">
        <f>'Operating Model'!P14</f>
        <v>36330</v>
      </c>
      <c r="E7" s="1136">
        <f ca="1">'Operating Model'!T14</f>
        <v>43821.980253942042</v>
      </c>
      <c r="F7" s="1136">
        <f ca="1">'Operating Model'!U14</f>
        <v>58808.077707619632</v>
      </c>
      <c r="G7" s="1136">
        <f ca="1">'Operating Model'!V14</f>
        <v>79950.981349009395</v>
      </c>
      <c r="H7" s="1136">
        <f ca="1">'Operating Model'!W14</f>
        <v>102224.14442655606</v>
      </c>
      <c r="I7" s="1186">
        <f ca="1">'Operating Model'!X14</f>
        <v>125676.11571529348</v>
      </c>
      <c r="J7" s="1193">
        <f ca="1">(I7/D7)^(1/5)-1</f>
        <v>0.28173271768655139</v>
      </c>
      <c r="K7" s="748"/>
      <c r="M7" s="1202">
        <v>7.1554903150306992E-2</v>
      </c>
      <c r="N7" s="1206">
        <v>3236.0759661472161</v>
      </c>
      <c r="O7" s="1207">
        <v>3396.6197501366373</v>
      </c>
      <c r="P7" s="1207">
        <v>3574.9366824513545</v>
      </c>
      <c r="Q7" s="1207">
        <v>3774.1510933004643</v>
      </c>
      <c r="R7" s="1208">
        <v>3998.1651925174756</v>
      </c>
      <c r="S7" s="738">
        <f>WACC!$C$4</f>
        <v>3148.02</v>
      </c>
      <c r="T7" s="126"/>
      <c r="U7" s="126"/>
    </row>
    <row r="8" spans="2:21" x14ac:dyDescent="0.2">
      <c r="B8" s="1179" t="s">
        <v>5</v>
      </c>
      <c r="C8" s="1134"/>
      <c r="D8" s="1122">
        <f t="shared" ref="D8:I8" si="1">D7/D$3</f>
        <v>0.12950855904349748</v>
      </c>
      <c r="E8" s="1122">
        <f t="shared" ca="1" si="1"/>
        <v>0.12215400421615655</v>
      </c>
      <c r="F8" s="1122">
        <f t="shared" ca="1" si="1"/>
        <v>0.13776333959075587</v>
      </c>
      <c r="G8" s="1122">
        <f t="shared" ca="1" si="1"/>
        <v>0.16182957780993773</v>
      </c>
      <c r="H8" s="1122">
        <f t="shared" ca="1" si="1"/>
        <v>0.187794324071377</v>
      </c>
      <c r="I8" s="1185">
        <f t="shared" ca="1" si="1"/>
        <v>0.21727798706775989</v>
      </c>
      <c r="J8" s="1194"/>
      <c r="K8" s="748"/>
      <c r="M8" s="1209">
        <f>M7+0.005</f>
        <v>7.6554903150306997E-2</v>
      </c>
      <c r="N8" s="1206">
        <v>2850.1986619189533</v>
      </c>
      <c r="O8" s="1207">
        <v>2974.3675977827802</v>
      </c>
      <c r="P8" s="1207">
        <v>3110.6117703791683</v>
      </c>
      <c r="Q8" s="1207">
        <v>3260.7826532873009</v>
      </c>
      <c r="R8" s="1208">
        <v>3427.1306181858308</v>
      </c>
      <c r="S8" s="738">
        <f>WACC!$C$4</f>
        <v>3148.02</v>
      </c>
      <c r="T8" s="420"/>
      <c r="U8" s="119"/>
    </row>
    <row r="9" spans="2:21" x14ac:dyDescent="0.2">
      <c r="B9" s="1180"/>
      <c r="C9" s="1137"/>
      <c r="D9" s="1138"/>
      <c r="E9" s="1139"/>
      <c r="F9" s="1139"/>
      <c r="G9" s="1139"/>
      <c r="H9" s="1139"/>
      <c r="I9" s="1187"/>
      <c r="J9" s="1195"/>
      <c r="K9" s="748"/>
      <c r="M9" s="1210">
        <f>M8+0.005</f>
        <v>8.1554903150307001E-2</v>
      </c>
      <c r="N9" s="1211">
        <v>2541.6079156622004</v>
      </c>
      <c r="O9" s="1212">
        <v>2640.1687475082031</v>
      </c>
      <c r="P9" s="1212">
        <v>2747.2756076087412</v>
      </c>
      <c r="Q9" s="1212">
        <v>2864.0903841169329</v>
      </c>
      <c r="R9" s="1213">
        <v>2991.9955850970482</v>
      </c>
      <c r="S9" s="737"/>
      <c r="T9" s="420"/>
      <c r="U9" s="119"/>
    </row>
    <row r="10" spans="2:21" x14ac:dyDescent="0.2">
      <c r="B10" s="1180" t="s">
        <v>611</v>
      </c>
      <c r="C10" s="1137"/>
      <c r="D10" s="1123">
        <f>-'Net CapEx'!J13</f>
        <v>-24778</v>
      </c>
      <c r="E10" s="1123">
        <f>-'Net CapEx'!K13</f>
        <v>-31257</v>
      </c>
      <c r="F10" s="1123">
        <f ca="1">-'Net CapEx'!L13</f>
        <v>-41370.619473525949</v>
      </c>
      <c r="G10" s="1123">
        <f ca="1">-'Net CapEx'!M13</f>
        <v>-45409.829022406149</v>
      </c>
      <c r="H10" s="1123">
        <f ca="1">-'Net CapEx'!N13</f>
        <v>-48671.968696996286</v>
      </c>
      <c r="I10" s="1159">
        <f ca="1">-'Net CapEx'!O13</f>
        <v>-50272.350685621335</v>
      </c>
      <c r="J10" s="1196"/>
      <c r="K10" s="748"/>
      <c r="N10" s="384"/>
      <c r="O10" s="384"/>
      <c r="P10" s="384"/>
      <c r="Q10" s="384"/>
      <c r="R10" s="384"/>
      <c r="T10" s="420"/>
      <c r="U10" s="119" t="s">
        <v>617</v>
      </c>
    </row>
    <row r="11" spans="2:21" ht="16" x14ac:dyDescent="0.2">
      <c r="B11" s="1180" t="s">
        <v>613</v>
      </c>
      <c r="C11" s="1137"/>
      <c r="D11" s="1123">
        <f>'Working Capital'!K9</f>
        <v>-2438</v>
      </c>
      <c r="E11" s="1123">
        <f ca="1">'Working Capital'!L9</f>
        <v>717.48741328851145</v>
      </c>
      <c r="F11" s="1123">
        <f ca="1">'Working Capital'!M9</f>
        <v>1707.5102239047565</v>
      </c>
      <c r="G11" s="1123">
        <f ca="1">'Working Capital'!N9</f>
        <v>2964.2658319077582</v>
      </c>
      <c r="H11" s="1123">
        <f ca="1">'Working Capital'!O9</f>
        <v>4354.7277557846801</v>
      </c>
      <c r="I11" s="1159">
        <f ca="1">'Working Capital'!P9</f>
        <v>5784.1163484315775</v>
      </c>
      <c r="J11" s="1196"/>
      <c r="K11" s="748"/>
      <c r="M11" s="709"/>
      <c r="N11" s="1"/>
      <c r="O11" s="1"/>
      <c r="P11" s="1"/>
      <c r="Q11" s="1"/>
      <c r="R11" s="1"/>
    </row>
    <row r="12" spans="2:21" x14ac:dyDescent="0.2">
      <c r="B12" s="1180" t="s">
        <v>614</v>
      </c>
      <c r="C12" s="1137"/>
      <c r="D12" s="1123">
        <f>'Working Capital'!K13</f>
        <v>7575</v>
      </c>
      <c r="E12" s="1123">
        <f ca="1">'Working Capital'!L13</f>
        <v>9023.8560742229893</v>
      </c>
      <c r="F12" s="1123">
        <f ca="1">'Working Capital'!M13</f>
        <v>11354.94298896663</v>
      </c>
      <c r="G12" s="1123">
        <f ca="1">'Working Capital'!N13</f>
        <v>13635.622826775689</v>
      </c>
      <c r="H12" s="1123">
        <f ca="1">'Working Capital'!O13</f>
        <v>15568.151726930233</v>
      </c>
      <c r="I12" s="1159">
        <f ca="1">'Working Capital'!P13</f>
        <v>17120.984391357466</v>
      </c>
      <c r="J12" s="1196"/>
      <c r="K12" s="748"/>
      <c r="M12" s="710"/>
      <c r="N12" s="711"/>
      <c r="O12" s="711"/>
      <c r="P12" s="711"/>
      <c r="Q12" s="711"/>
      <c r="R12" s="711"/>
    </row>
    <row r="13" spans="2:21" x14ac:dyDescent="0.2">
      <c r="B13" s="1180" t="s">
        <v>612</v>
      </c>
      <c r="C13" s="1137"/>
      <c r="D13" s="1123">
        <f>-'Operating Model'!P22</f>
        <v>-2374</v>
      </c>
      <c r="E13" s="1123">
        <f ca="1">-'Operating Model'!T22</f>
        <v>-2746.0276186482515</v>
      </c>
      <c r="F13" s="1123">
        <f ca="1">-'Operating Model'!U22</f>
        <v>-4394.5773328888072</v>
      </c>
      <c r="G13" s="1123">
        <f ca="1">-'Operating Model'!V22</f>
        <v>-8058.9316900324839</v>
      </c>
      <c r="H13" s="1123">
        <f ca="1">-'Operating Model'!W22</f>
        <v>-11552.943858478393</v>
      </c>
      <c r="I13" s="1159">
        <f ca="1">-'Operating Model'!X22</f>
        <v>-18829.796231960216</v>
      </c>
      <c r="J13" s="1196"/>
      <c r="K13" s="748"/>
      <c r="M13" s="712"/>
      <c r="N13" s="713"/>
      <c r="O13" s="713"/>
      <c r="P13" s="713"/>
      <c r="Q13" s="713"/>
      <c r="R13" s="713"/>
    </row>
    <row r="14" spans="2:21" x14ac:dyDescent="0.2">
      <c r="B14" s="1137"/>
      <c r="C14" s="1137"/>
      <c r="D14" s="1140"/>
      <c r="E14" s="1141"/>
      <c r="F14" s="1141"/>
      <c r="G14" s="1141"/>
      <c r="H14" s="1141"/>
      <c r="I14" s="1188"/>
      <c r="J14" s="1197"/>
      <c r="K14" s="748"/>
      <c r="M14" s="712"/>
      <c r="N14" s="713"/>
      <c r="O14" s="713"/>
      <c r="P14" s="713"/>
      <c r="Q14" s="713"/>
      <c r="R14" s="713"/>
    </row>
    <row r="15" spans="2:21" x14ac:dyDescent="0.2">
      <c r="B15" s="1124" t="s">
        <v>7</v>
      </c>
      <c r="C15" s="1125"/>
      <c r="D15" s="1126">
        <f t="shared" ref="D15:I15" si="2">D7+SUM(D10:D13)</f>
        <v>14315</v>
      </c>
      <c r="E15" s="1126">
        <f t="shared" ca="1" si="2"/>
        <v>19560.296122805292</v>
      </c>
      <c r="F15" s="1126">
        <f t="shared" ca="1" si="2"/>
        <v>26105.33411407626</v>
      </c>
      <c r="G15" s="1126">
        <f t="shared" ca="1" si="2"/>
        <v>43082.109295254209</v>
      </c>
      <c r="H15" s="1126">
        <f t="shared" ca="1" si="2"/>
        <v>61922.111353796296</v>
      </c>
      <c r="I15" s="1189">
        <f t="shared" ca="1" si="2"/>
        <v>79479.069537500967</v>
      </c>
      <c r="J15" s="1198">
        <f ca="1">(I15/D15)^(1/5)-1</f>
        <v>0.40893930373083442</v>
      </c>
      <c r="K15" s="748"/>
      <c r="M15" s="712"/>
      <c r="N15" s="713"/>
      <c r="O15" s="713"/>
      <c r="P15" s="713"/>
      <c r="Q15" s="713"/>
      <c r="R15" s="713"/>
    </row>
    <row r="16" spans="2:21" x14ac:dyDescent="0.2">
      <c r="B16" s="1138"/>
      <c r="C16" s="1138"/>
      <c r="D16" s="1127"/>
      <c r="E16" s="1122">
        <f ca="1">E15/D15-1</f>
        <v>0.36641956848098434</v>
      </c>
      <c r="F16" s="1122">
        <f ca="1">F15/E15-1</f>
        <v>0.33460832853343803</v>
      </c>
      <c r="G16" s="1122">
        <f ca="1">G15/F15-1</f>
        <v>0.65031824940420502</v>
      </c>
      <c r="H16" s="1122">
        <f ca="1">H15/G15-1</f>
        <v>0.4373045416468837</v>
      </c>
      <c r="I16" s="1185">
        <f ca="1">I15/H15-1</f>
        <v>0.2835329383940377</v>
      </c>
      <c r="J16" s="1198">
        <f ca="1">(I15/D15)^(1/50)-1</f>
        <v>3.4878176002044681E-2</v>
      </c>
      <c r="K16" s="748"/>
      <c r="M16" s="712"/>
      <c r="N16" s="713"/>
      <c r="O16" s="713"/>
      <c r="P16" s="713"/>
      <c r="Q16" s="713"/>
      <c r="R16" s="713"/>
    </row>
    <row r="17" spans="2:27" x14ac:dyDescent="0.2">
      <c r="B17" s="1143" t="s">
        <v>8</v>
      </c>
      <c r="C17" s="1181">
        <f>WACC!C15</f>
        <v>7.1554903150306992E-2</v>
      </c>
      <c r="D17" s="1127"/>
      <c r="E17" s="1127"/>
      <c r="F17" s="1127"/>
      <c r="G17" s="1127"/>
      <c r="H17" s="1127"/>
      <c r="I17" s="1190"/>
      <c r="J17" s="1199"/>
      <c r="K17" s="748"/>
      <c r="M17" s="712"/>
      <c r="N17" s="713"/>
      <c r="O17" s="713"/>
      <c r="P17" s="713"/>
      <c r="Q17" s="713"/>
      <c r="R17" s="713"/>
    </row>
    <row r="18" spans="2:27" x14ac:dyDescent="0.2">
      <c r="B18" s="1143" t="s">
        <v>9</v>
      </c>
      <c r="C18" s="1143"/>
      <c r="D18" s="1128"/>
      <c r="E18" s="1144">
        <v>0.5</v>
      </c>
      <c r="F18" s="1129">
        <v>1.5</v>
      </c>
      <c r="G18" s="1144">
        <v>2.5</v>
      </c>
      <c r="H18" s="1129">
        <v>3.5</v>
      </c>
      <c r="I18" s="1191">
        <v>4.5</v>
      </c>
      <c r="J18" s="1200"/>
      <c r="K18" s="748"/>
      <c r="T18" s="716"/>
      <c r="U18" s="716"/>
      <c r="V18" s="716"/>
      <c r="W18" s="716"/>
      <c r="X18" s="716"/>
      <c r="Y18" s="716"/>
      <c r="Z18" s="716"/>
      <c r="AA18" s="716"/>
    </row>
    <row r="19" spans="2:27" x14ac:dyDescent="0.2">
      <c r="B19" s="1143" t="s">
        <v>10</v>
      </c>
      <c r="C19" s="1143"/>
      <c r="D19" s="1145"/>
      <c r="E19" s="1130">
        <f>1/(1+$C$17)^E18</f>
        <v>0.96603483236431198</v>
      </c>
      <c r="F19" s="1130">
        <f>1/(1+$C$17)^F18</f>
        <v>0.90152621160542279</v>
      </c>
      <c r="G19" s="1130">
        <f>1/(1+$C$17)^G18</f>
        <v>0.84132526383388306</v>
      </c>
      <c r="H19" s="1130">
        <f>1/(1+$C$17)^H18</f>
        <v>0.78514433685146456</v>
      </c>
      <c r="I19" s="1153">
        <f>1/(1+$C$17)^I18</f>
        <v>0.73271498692524994</v>
      </c>
      <c r="J19" s="1201"/>
      <c r="K19" s="748"/>
      <c r="T19" s="716"/>
      <c r="U19" s="716"/>
      <c r="V19" s="716"/>
      <c r="W19" s="716"/>
      <c r="X19" s="716"/>
      <c r="Y19" s="716"/>
      <c r="Z19" s="716"/>
      <c r="AA19" s="716"/>
    </row>
    <row r="20" spans="2:27" x14ac:dyDescent="0.2">
      <c r="B20" s="744" t="s">
        <v>11</v>
      </c>
      <c r="C20" s="1131"/>
      <c r="D20" s="1132"/>
      <c r="E20" s="1133">
        <f ca="1">E19*E15</f>
        <v>18895.927385990512</v>
      </c>
      <c r="F20" s="1133">
        <f ca="1">F19*F15</f>
        <v>23534.642966556978</v>
      </c>
      <c r="G20" s="1133">
        <f ca="1">G19*G15</f>
        <v>36246.066969349937</v>
      </c>
      <c r="H20" s="1133">
        <f ca="1">H19*H15</f>
        <v>48617.795055318937</v>
      </c>
      <c r="I20" s="1171">
        <f ca="1">I19*I15</f>
        <v>58235.505397001056</v>
      </c>
      <c r="J20" s="1225">
        <f ca="1">(I20/D15)^(1/5)-1</f>
        <v>0.32397352052191097</v>
      </c>
      <c r="K20" s="748"/>
      <c r="T20" s="716"/>
      <c r="U20" s="716"/>
      <c r="V20" s="716"/>
      <c r="W20" s="716"/>
      <c r="X20" s="716"/>
      <c r="Y20" s="716"/>
      <c r="Z20" s="716"/>
      <c r="AA20" s="716"/>
    </row>
    <row r="21" spans="2:27" x14ac:dyDescent="0.2">
      <c r="B21" s="1145"/>
      <c r="C21" s="1138"/>
      <c r="D21" s="1145"/>
      <c r="E21" s="1182"/>
      <c r="F21" s="1182"/>
      <c r="G21" s="1182"/>
      <c r="H21" s="1182"/>
      <c r="I21" s="1182"/>
      <c r="J21" s="1183"/>
      <c r="K21" s="748"/>
      <c r="T21" s="716"/>
      <c r="U21" s="716"/>
      <c r="V21" s="716"/>
      <c r="W21" s="716"/>
      <c r="X21" s="716"/>
      <c r="Y21" s="716"/>
      <c r="Z21" s="716"/>
      <c r="AA21" s="716"/>
    </row>
    <row r="22" spans="2:27" x14ac:dyDescent="0.2">
      <c r="B22" s="126"/>
      <c r="C22" s="126"/>
      <c r="D22" s="384"/>
      <c r="G22" s="385"/>
      <c r="H22" s="386"/>
      <c r="I22" s="1224"/>
      <c r="J22" s="748"/>
      <c r="K22" s="748"/>
      <c r="T22" s="716"/>
      <c r="U22" s="716"/>
      <c r="V22" s="716"/>
      <c r="W22" s="716"/>
      <c r="X22" s="716"/>
      <c r="Y22" s="716"/>
      <c r="Z22" s="716"/>
      <c r="AA22" s="716"/>
    </row>
    <row r="23" spans="2:27" ht="16" x14ac:dyDescent="0.2">
      <c r="B23" s="381" t="s">
        <v>12</v>
      </c>
      <c r="C23" s="383"/>
      <c r="D23" s="382"/>
      <c r="G23" s="385"/>
      <c r="H23" s="386"/>
      <c r="I23" s="1224"/>
      <c r="J23" s="748"/>
      <c r="K23" s="748"/>
      <c r="T23" s="716"/>
      <c r="U23" s="716"/>
      <c r="V23" s="716"/>
      <c r="W23" s="716"/>
      <c r="X23" s="716"/>
      <c r="Y23" s="716"/>
      <c r="Z23" s="716"/>
      <c r="AA23" s="716"/>
    </row>
    <row r="24" spans="2:27" x14ac:dyDescent="0.2">
      <c r="B24" s="1146" t="s">
        <v>13</v>
      </c>
      <c r="C24" s="1138"/>
      <c r="D24" s="1147">
        <f ca="1">SUM(E20:I20)</f>
        <v>185529.93777421743</v>
      </c>
      <c r="H24" s="387"/>
      <c r="T24" s="716"/>
      <c r="U24" s="716"/>
      <c r="V24" s="716"/>
      <c r="W24" s="717">
        <f>M6</f>
        <v>6.6554903150306988E-2</v>
      </c>
      <c r="X24" s="717">
        <f>M7</f>
        <v>7.1554903150306992E-2</v>
      </c>
      <c r="Y24" s="717">
        <f>M8</f>
        <v>7.6554903150306997E-2</v>
      </c>
      <c r="Z24" s="716"/>
      <c r="AA24" s="716"/>
    </row>
    <row r="25" spans="2:27" x14ac:dyDescent="0.2">
      <c r="B25" s="1142"/>
      <c r="C25" s="1138"/>
      <c r="D25" s="1148"/>
      <c r="H25" s="386"/>
      <c r="T25" s="716"/>
      <c r="U25" s="716" t="s">
        <v>607</v>
      </c>
      <c r="V25" s="716"/>
      <c r="W25" s="718">
        <f>N6</f>
        <v>3732.2487175270689</v>
      </c>
      <c r="X25" s="719">
        <v>2973.8676871717494</v>
      </c>
      <c r="Y25" s="718">
        <v>2631.8479603682831</v>
      </c>
      <c r="Z25" s="718">
        <f>Z26</f>
        <v>3148.02</v>
      </c>
      <c r="AA25" s="716"/>
    </row>
    <row r="26" spans="2:27" x14ac:dyDescent="0.2">
      <c r="B26" s="1142" t="s">
        <v>14</v>
      </c>
      <c r="C26" s="1138"/>
      <c r="D26" s="1149">
        <f ca="1">I15</f>
        <v>79479.069537500967</v>
      </c>
      <c r="H26" s="386"/>
      <c r="M26" s="119"/>
      <c r="T26" s="716"/>
      <c r="U26" s="716" t="s">
        <v>607</v>
      </c>
      <c r="V26" s="716"/>
      <c r="W26" s="718">
        <f>O6</f>
        <v>3946.8011173617642</v>
      </c>
      <c r="X26" s="719">
        <v>3114.4859371802781</v>
      </c>
      <c r="Y26" s="718">
        <v>2741.5901308496132</v>
      </c>
      <c r="Z26" s="719">
        <f>Z27</f>
        <v>3148.02</v>
      </c>
      <c r="AA26" s="716"/>
    </row>
    <row r="27" spans="2:27" x14ac:dyDescent="0.2">
      <c r="B27" s="1142"/>
      <c r="C27" s="1138"/>
      <c r="D27" s="1150"/>
      <c r="T27" s="716"/>
      <c r="U27" s="716" t="s">
        <v>607</v>
      </c>
      <c r="V27" s="716"/>
      <c r="W27" s="718">
        <f>P6</f>
        <v>4188.9205288169242</v>
      </c>
      <c r="X27" s="719">
        <v>3270.0059877976905</v>
      </c>
      <c r="Y27" s="718">
        <v>2861.6017025698807</v>
      </c>
      <c r="Z27" s="718">
        <f>S6</f>
        <v>3148.02</v>
      </c>
      <c r="AA27" s="716"/>
    </row>
    <row r="28" spans="2:27" x14ac:dyDescent="0.2">
      <c r="B28" s="1151" t="s">
        <v>15</v>
      </c>
      <c r="C28" s="1145"/>
      <c r="D28" s="1223">
        <f ca="1">J16</f>
        <v>3.4878176002044681E-2</v>
      </c>
      <c r="T28" s="716"/>
      <c r="U28" s="716" t="s">
        <v>607</v>
      </c>
      <c r="V28" s="716"/>
      <c r="W28" s="718">
        <f>Q6</f>
        <v>4464.2846750282097</v>
      </c>
      <c r="X28" s="719">
        <v>3442.9291690633736</v>
      </c>
      <c r="Y28" s="718">
        <v>2993.3949088611635</v>
      </c>
      <c r="Z28" s="718">
        <f t="shared" ref="Z28" si="3">S7</f>
        <v>3148.02</v>
      </c>
      <c r="AA28" s="716"/>
    </row>
    <row r="29" spans="2:27" x14ac:dyDescent="0.2">
      <c r="B29" s="1142"/>
      <c r="C29" s="1138"/>
      <c r="D29" s="1150"/>
      <c r="T29" s="716"/>
      <c r="U29" s="716" t="s">
        <v>607</v>
      </c>
      <c r="V29" s="716"/>
      <c r="W29" s="718">
        <f>R6</f>
        <v>4780.2453977472187</v>
      </c>
      <c r="X29" s="719">
        <v>3636.3498013800595</v>
      </c>
      <c r="Y29" s="718">
        <v>3138.7942239024023</v>
      </c>
      <c r="Z29" s="718">
        <f>S8</f>
        <v>3148.02</v>
      </c>
      <c r="AA29" s="716"/>
    </row>
    <row r="30" spans="2:27" x14ac:dyDescent="0.2">
      <c r="B30" s="1142" t="s">
        <v>16</v>
      </c>
      <c r="C30" s="1138"/>
      <c r="D30" s="1152">
        <f ca="1">(D26*(1+D28))/($C$17-D28)</f>
        <v>2242597.9881142587</v>
      </c>
      <c r="T30" s="716"/>
      <c r="U30" s="716" t="s">
        <v>608</v>
      </c>
      <c r="V30" s="716"/>
      <c r="W30" s="716"/>
      <c r="X30" s="716"/>
      <c r="Y30" s="716"/>
      <c r="Z30" s="716"/>
      <c r="AA30" s="716"/>
    </row>
    <row r="31" spans="2:27" x14ac:dyDescent="0.2">
      <c r="B31" s="1142" t="s">
        <v>17</v>
      </c>
      <c r="C31" s="1138"/>
      <c r="D31" s="1153">
        <f>1/(1+$C$17)^(I18)</f>
        <v>0.73271498692524994</v>
      </c>
      <c r="T31" s="716"/>
      <c r="U31" s="716"/>
      <c r="V31" s="716"/>
      <c r="W31" s="716"/>
      <c r="X31" s="716"/>
      <c r="Y31" s="716"/>
      <c r="Z31" s="716"/>
      <c r="AA31" s="716"/>
    </row>
    <row r="32" spans="2:27" x14ac:dyDescent="0.2">
      <c r="B32" s="1151" t="s">
        <v>18</v>
      </c>
      <c r="C32" s="1138"/>
      <c r="D32" s="1154">
        <f ca="1">D30*D31</f>
        <v>1643185.155539731</v>
      </c>
      <c r="T32" s="716"/>
      <c r="U32" s="716"/>
      <c r="V32" s="716"/>
      <c r="W32" s="716"/>
      <c r="X32" s="716"/>
      <c r="Y32" s="716"/>
      <c r="Z32" s="716"/>
      <c r="AA32" s="716"/>
    </row>
    <row r="33" spans="2:27" x14ac:dyDescent="0.2">
      <c r="B33" s="1155"/>
      <c r="C33" s="1138"/>
      <c r="D33" s="1153"/>
      <c r="O33" s="502"/>
      <c r="P33" s="502"/>
      <c r="Q33" s="502"/>
      <c r="R33" s="502"/>
      <c r="S33" s="502"/>
      <c r="T33" s="717"/>
      <c r="U33" s="716"/>
      <c r="V33" s="716"/>
      <c r="W33" s="720"/>
      <c r="X33" s="720"/>
      <c r="Y33" s="720"/>
      <c r="Z33" s="720"/>
      <c r="AA33" s="716"/>
    </row>
    <row r="34" spans="2:27" x14ac:dyDescent="0.2">
      <c r="B34" s="1170" t="s">
        <v>19</v>
      </c>
      <c r="C34" s="1131"/>
      <c r="D34" s="1171">
        <f ca="1">D32+D24</f>
        <v>1828715.0933139485</v>
      </c>
      <c r="O34" s="502"/>
      <c r="Q34" s="502"/>
      <c r="R34" s="502"/>
      <c r="S34" s="502"/>
      <c r="T34" s="717"/>
      <c r="U34" s="716"/>
      <c r="V34" s="716"/>
      <c r="W34" s="719"/>
      <c r="X34" s="719"/>
      <c r="Y34" s="719"/>
      <c r="Z34" s="719"/>
      <c r="AA34" s="716"/>
    </row>
    <row r="35" spans="2:27" x14ac:dyDescent="0.2">
      <c r="B35" s="1146"/>
      <c r="C35" s="1138"/>
      <c r="D35" s="1156"/>
      <c r="O35" s="502"/>
      <c r="Q35" s="502"/>
      <c r="R35" s="502"/>
      <c r="S35" s="502"/>
      <c r="T35" s="717"/>
      <c r="U35" s="716"/>
      <c r="V35" s="716"/>
      <c r="W35" s="716"/>
      <c r="X35" s="716"/>
      <c r="Y35" s="716"/>
      <c r="Z35" s="716"/>
      <c r="AA35" s="716"/>
    </row>
    <row r="36" spans="2:27" x14ac:dyDescent="0.2">
      <c r="B36" s="1157" t="s">
        <v>19</v>
      </c>
      <c r="C36" s="1138"/>
      <c r="D36" s="1158">
        <f ca="1">D34</f>
        <v>1828715.0933139485</v>
      </c>
    </row>
    <row r="37" spans="2:27" x14ac:dyDescent="0.2">
      <c r="B37" s="1157" t="s">
        <v>20</v>
      </c>
      <c r="C37" s="1138"/>
      <c r="D37" s="1159">
        <f>-WACC!C45</f>
        <v>-74401.384160381451</v>
      </c>
    </row>
    <row r="38" spans="2:27" x14ac:dyDescent="0.2">
      <c r="B38" s="1157" t="s">
        <v>21</v>
      </c>
      <c r="C38" s="1138"/>
      <c r="D38" s="1160">
        <v>0</v>
      </c>
    </row>
    <row r="39" spans="2:27" x14ac:dyDescent="0.2">
      <c r="B39" s="1157" t="s">
        <v>22</v>
      </c>
      <c r="C39" s="1138"/>
      <c r="D39" s="1160">
        <v>0</v>
      </c>
    </row>
    <row r="40" spans="2:27" x14ac:dyDescent="0.2">
      <c r="B40" s="1157" t="s">
        <v>23</v>
      </c>
      <c r="C40" s="1138"/>
      <c r="D40" s="1159">
        <f>'Operating Model'!P52</f>
        <v>36092</v>
      </c>
    </row>
    <row r="41" spans="2:27" x14ac:dyDescent="0.2">
      <c r="B41" s="1151" t="s">
        <v>24</v>
      </c>
      <c r="C41" s="1138"/>
      <c r="D41" s="1147">
        <f ca="1">SUM(D36:D40)</f>
        <v>1790405.709153567</v>
      </c>
    </row>
    <row r="42" spans="2:27" x14ac:dyDescent="0.2">
      <c r="B42" s="1151"/>
      <c r="C42" s="1138"/>
      <c r="D42" s="1161"/>
    </row>
    <row r="43" spans="2:27" x14ac:dyDescent="0.2">
      <c r="B43" s="1157" t="s">
        <v>26</v>
      </c>
      <c r="C43" s="1138"/>
      <c r="D43" s="1159">
        <f>WACC!C5</f>
        <v>508</v>
      </c>
    </row>
    <row r="44" spans="2:27" x14ac:dyDescent="0.2">
      <c r="B44" s="1142"/>
      <c r="C44" s="1138"/>
      <c r="D44" s="1162"/>
    </row>
    <row r="45" spans="2:27" x14ac:dyDescent="0.2">
      <c r="B45" s="1172" t="s">
        <v>27</v>
      </c>
      <c r="C45" s="1173"/>
      <c r="D45" s="1174">
        <f ca="1">D41/D43</f>
        <v>3524.4206873101712</v>
      </c>
    </row>
    <row r="46" spans="2:27" x14ac:dyDescent="0.2">
      <c r="B46" s="737"/>
      <c r="C46" s="737"/>
      <c r="D46" s="737"/>
      <c r="J46" s="124"/>
      <c r="K46" s="124"/>
      <c r="L46" s="124"/>
    </row>
    <row r="47" spans="2:27" x14ac:dyDescent="0.2">
      <c r="B47" s="1163" t="s">
        <v>30</v>
      </c>
      <c r="C47" s="1164"/>
      <c r="D47" s="1165"/>
      <c r="K47" s="121"/>
      <c r="L47" s="121"/>
    </row>
    <row r="48" spans="2:27" x14ac:dyDescent="0.2">
      <c r="B48" s="1142" t="s">
        <v>31</v>
      </c>
      <c r="C48" s="1138"/>
      <c r="D48" s="1166">
        <f ca="1">D45/'Operating Model'!X33</f>
        <v>31.694549197416396</v>
      </c>
      <c r="K48" s="121"/>
      <c r="L48" s="121"/>
    </row>
    <row r="49" spans="1:12" s="1" customFormat="1" x14ac:dyDescent="0.2">
      <c r="A49" s="720"/>
      <c r="B49" s="1167" t="s">
        <v>32</v>
      </c>
      <c r="C49" s="1168"/>
      <c r="D49" s="1169">
        <f ca="1">D34/I7</f>
        <v>14.551015385108794</v>
      </c>
      <c r="K49" s="246"/>
      <c r="L49" s="246"/>
    </row>
    <row r="50" spans="1:12" s="1" customFormat="1" x14ac:dyDescent="0.2">
      <c r="A50" s="720"/>
      <c r="H50" s="721"/>
      <c r="I50" s="721"/>
    </row>
    <row r="51" spans="1:12" s="1" customFormat="1" x14ac:dyDescent="0.2">
      <c r="A51" s="720"/>
      <c r="E51" s="368"/>
      <c r="F51" s="368"/>
      <c r="G51" s="715"/>
      <c r="H51" s="721"/>
      <c r="I51" s="721"/>
    </row>
    <row r="52" spans="1:12" s="1" customFormat="1" x14ac:dyDescent="0.2">
      <c r="A52" s="720"/>
      <c r="E52" s="368"/>
      <c r="F52" s="368"/>
      <c r="G52" s="715"/>
    </row>
  </sheetData>
  <mergeCells count="1">
    <mergeCell ref="M3:R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75"/>
  <sheetViews>
    <sheetView showGridLines="0" workbookViewId="0">
      <selection activeCell="U73" sqref="U73"/>
    </sheetView>
  </sheetViews>
  <sheetFormatPr baseColWidth="10" defaultColWidth="14.5" defaultRowHeight="15" outlineLevelCol="1" x14ac:dyDescent="0.2"/>
  <cols>
    <col min="1" max="1" width="4.83203125" style="716" customWidth="1"/>
    <col min="2" max="2" width="3" customWidth="1"/>
    <col min="3" max="3" width="28.33203125" customWidth="1"/>
    <col min="4" max="9" width="15" customWidth="1"/>
    <col min="10" max="10" width="4.5" customWidth="1"/>
    <col min="11" max="11" width="22.1640625" customWidth="1"/>
    <col min="12" max="12" width="12" customWidth="1"/>
    <col min="14" max="14" width="3.33203125" customWidth="1"/>
    <col min="15" max="15" width="24.1640625" customWidth="1"/>
    <col min="16" max="16" width="12" customWidth="1"/>
    <col min="17" max="17" width="14.5" style="145"/>
    <col min="18" max="18" width="2.1640625" hidden="1" customWidth="1" outlineLevel="1"/>
    <col min="19" max="24" width="14.5" hidden="1" customWidth="1" outlineLevel="1"/>
    <col min="25" max="25" width="14.5" collapsed="1"/>
  </cols>
  <sheetData>
    <row r="2" spans="1:24" x14ac:dyDescent="0.2">
      <c r="A2" s="716" t="s">
        <v>609</v>
      </c>
      <c r="B2" s="135" t="s">
        <v>33</v>
      </c>
      <c r="C2" s="284"/>
      <c r="D2" s="284">
        <v>2020</v>
      </c>
      <c r="E2" s="284">
        <f>D2+1</f>
        <v>2021</v>
      </c>
      <c r="F2" s="284">
        <f t="shared" ref="F2:H2" si="0">E2+1</f>
        <v>2022</v>
      </c>
      <c r="G2" s="284">
        <f t="shared" si="0"/>
        <v>2023</v>
      </c>
      <c r="H2" s="284">
        <f t="shared" si="0"/>
        <v>2024</v>
      </c>
      <c r="T2" s="284">
        <v>2020</v>
      </c>
      <c r="U2" s="284">
        <v>2021</v>
      </c>
      <c r="V2" s="284">
        <v>2022</v>
      </c>
      <c r="W2" s="284">
        <v>2023</v>
      </c>
      <c r="X2" s="286">
        <v>2024</v>
      </c>
    </row>
    <row r="3" spans="1:24" x14ac:dyDescent="0.2">
      <c r="B3" s="173"/>
      <c r="C3" s="455" t="s">
        <v>34</v>
      </c>
      <c r="D3" s="174"/>
      <c r="E3" s="456"/>
      <c r="F3" s="456"/>
      <c r="G3" s="456"/>
      <c r="H3" s="457"/>
      <c r="J3" s="126" t="s">
        <v>35</v>
      </c>
      <c r="N3" s="126" t="s">
        <v>36</v>
      </c>
      <c r="R3" s="201" t="s">
        <v>37</v>
      </c>
      <c r="S3" s="174"/>
      <c r="T3" s="173"/>
      <c r="U3" s="174"/>
      <c r="V3" s="174"/>
      <c r="W3" s="174"/>
      <c r="X3" s="175"/>
    </row>
    <row r="4" spans="1:24" x14ac:dyDescent="0.2">
      <c r="B4" s="176"/>
      <c r="C4" s="420" t="s">
        <v>38</v>
      </c>
      <c r="D4" s="765">
        <f>D5+0.025</f>
        <v>0.26500000000000001</v>
      </c>
      <c r="E4" s="765">
        <f>E5+0.025</f>
        <v>0.26</v>
      </c>
      <c r="F4" s="765">
        <f>F5+0.025</f>
        <v>0.25</v>
      </c>
      <c r="G4" s="765">
        <f>G5+0.025</f>
        <v>0.22500000000000001</v>
      </c>
      <c r="H4" s="766">
        <f>H5+0.025</f>
        <v>0.19999999999999998</v>
      </c>
      <c r="J4">
        <v>1</v>
      </c>
      <c r="K4" t="s">
        <v>39</v>
      </c>
      <c r="N4">
        <v>1</v>
      </c>
      <c r="O4" t="s">
        <v>39</v>
      </c>
      <c r="R4" s="176"/>
      <c r="S4" t="s">
        <v>40</v>
      </c>
      <c r="T4" s="176"/>
      <c r="X4" s="177"/>
    </row>
    <row r="5" spans="1:24" x14ac:dyDescent="0.2">
      <c r="B5" s="176"/>
      <c r="C5" s="420" t="s">
        <v>41</v>
      </c>
      <c r="D5" s="763">
        <v>0.24</v>
      </c>
      <c r="E5" s="763">
        <v>0.23499999999999999</v>
      </c>
      <c r="F5" s="763">
        <v>0.22500000000000001</v>
      </c>
      <c r="G5" s="763">
        <v>0.2</v>
      </c>
      <c r="H5" s="764">
        <v>0.17499999999999999</v>
      </c>
      <c r="J5">
        <v>2</v>
      </c>
      <c r="K5" t="s">
        <v>41</v>
      </c>
      <c r="L5" s="736">
        <v>3</v>
      </c>
      <c r="N5">
        <v>2</v>
      </c>
      <c r="O5" t="s">
        <v>41</v>
      </c>
      <c r="P5" s="736">
        <v>2</v>
      </c>
      <c r="Q5" s="543"/>
      <c r="R5" s="176"/>
      <c r="S5" t="s">
        <v>28</v>
      </c>
      <c r="T5" s="188">
        <v>208087.07857142857</v>
      </c>
      <c r="U5" s="122">
        <v>251702.13023999997</v>
      </c>
      <c r="V5" s="122">
        <v>291471.06681791996</v>
      </c>
      <c r="W5" s="122">
        <v>319195.96957628056</v>
      </c>
      <c r="X5" s="189">
        <v>330439.39480139705</v>
      </c>
    </row>
    <row r="6" spans="1:24" x14ac:dyDescent="0.2">
      <c r="B6" s="176"/>
      <c r="C6" s="420" t="s">
        <v>42</v>
      </c>
      <c r="D6" s="765">
        <f>D5-0.025</f>
        <v>0.215</v>
      </c>
      <c r="E6" s="765">
        <f>E5-0.025</f>
        <v>0.21</v>
      </c>
      <c r="F6" s="765">
        <f>F5-0.025</f>
        <v>0.2</v>
      </c>
      <c r="G6" s="765">
        <f>G5-0.025</f>
        <v>0.17500000000000002</v>
      </c>
      <c r="H6" s="766">
        <f>H5-0.025</f>
        <v>0.15</v>
      </c>
      <c r="J6">
        <v>3</v>
      </c>
      <c r="K6" t="s">
        <v>43</v>
      </c>
      <c r="N6">
        <v>3</v>
      </c>
      <c r="O6" t="s">
        <v>43</v>
      </c>
      <c r="R6" s="176"/>
      <c r="S6" t="s">
        <v>41</v>
      </c>
      <c r="T6" s="188">
        <v>203974.68571428568</v>
      </c>
      <c r="U6" s="122">
        <v>241832.38738285709</v>
      </c>
      <c r="V6" s="122">
        <v>274441.06649756152</v>
      </c>
      <c r="W6" s="122">
        <v>294412.4722358688</v>
      </c>
      <c r="X6" s="189">
        <v>298433.27426245552</v>
      </c>
    </row>
    <row r="7" spans="1:24" x14ac:dyDescent="0.2">
      <c r="B7" s="176"/>
      <c r="C7" s="126" t="s">
        <v>44</v>
      </c>
      <c r="D7" s="767">
        <f ca="1">OFFSET(D3,$L$5,0)</f>
        <v>0.215</v>
      </c>
      <c r="E7" s="767">
        <f ca="1">OFFSET(E3,$L$5,0)</f>
        <v>0.21</v>
      </c>
      <c r="F7" s="767">
        <f ca="1">OFFSET(F3,$L$5,0)</f>
        <v>0.2</v>
      </c>
      <c r="G7" s="767">
        <f ca="1">OFFSET(G3,$L$5,0)</f>
        <v>0.17500000000000002</v>
      </c>
      <c r="H7" s="768">
        <f ca="1">OFFSET(H3,$L$5,0)</f>
        <v>0.15</v>
      </c>
      <c r="R7" s="176"/>
      <c r="S7" t="s">
        <v>29</v>
      </c>
      <c r="T7" s="188">
        <v>199862.29285714283</v>
      </c>
      <c r="U7" s="122">
        <v>232160.0393828571</v>
      </c>
      <c r="V7" s="122">
        <v>258087.67258113457</v>
      </c>
      <c r="W7" s="122">
        <v>271100.917590486</v>
      </c>
      <c r="X7" s="189">
        <v>268956.47300482227</v>
      </c>
    </row>
    <row r="8" spans="1:24" x14ac:dyDescent="0.2">
      <c r="B8" s="176"/>
      <c r="D8" s="458"/>
      <c r="E8" s="458"/>
      <c r="F8" s="458"/>
      <c r="G8" s="458"/>
      <c r="H8" s="459"/>
      <c r="J8" s="126" t="s">
        <v>45</v>
      </c>
      <c r="N8" s="126" t="s">
        <v>46</v>
      </c>
      <c r="R8" s="176"/>
      <c r="T8" s="176"/>
      <c r="X8" s="177"/>
    </row>
    <row r="9" spans="1:24" x14ac:dyDescent="0.2">
      <c r="B9" s="176"/>
      <c r="C9" s="126" t="s">
        <v>47</v>
      </c>
      <c r="D9" s="458"/>
      <c r="E9" s="458"/>
      <c r="F9" s="458"/>
      <c r="G9" s="458"/>
      <c r="H9" s="459"/>
      <c r="J9">
        <v>1</v>
      </c>
      <c r="K9" t="s">
        <v>39</v>
      </c>
      <c r="N9">
        <v>1</v>
      </c>
      <c r="O9" t="s">
        <v>39</v>
      </c>
      <c r="R9" s="176"/>
      <c r="S9" t="s">
        <v>48</v>
      </c>
      <c r="T9" s="176"/>
      <c r="X9" s="177"/>
    </row>
    <row r="10" spans="1:24" x14ac:dyDescent="0.2">
      <c r="B10" s="176"/>
      <c r="C10" s="420" t="s">
        <v>38</v>
      </c>
      <c r="D10" s="765">
        <f>D11-0.01</f>
        <v>0.23499999999999999</v>
      </c>
      <c r="E10" s="765">
        <f>E11-0.01</f>
        <v>0.22999999999999998</v>
      </c>
      <c r="F10" s="765">
        <f>F11-0.01</f>
        <v>0.22</v>
      </c>
      <c r="G10" s="765">
        <f>G11-0.01</f>
        <v>0.21</v>
      </c>
      <c r="H10" s="766">
        <f>H11-0.01</f>
        <v>0.19999999999999998</v>
      </c>
      <c r="J10">
        <v>2</v>
      </c>
      <c r="K10" t="s">
        <v>41</v>
      </c>
      <c r="L10" s="736">
        <v>3</v>
      </c>
      <c r="N10">
        <v>2</v>
      </c>
      <c r="O10" t="s">
        <v>41</v>
      </c>
      <c r="P10" s="736">
        <v>2</v>
      </c>
      <c r="Q10" s="543"/>
      <c r="R10" s="176"/>
      <c r="S10" t="s">
        <v>28</v>
      </c>
      <c r="T10" s="188">
        <v>116041.54142857144</v>
      </c>
      <c r="U10" s="122">
        <v>142791.42268357144</v>
      </c>
      <c r="V10" s="122">
        <v>172761.46466433772</v>
      </c>
      <c r="W10" s="122">
        <v>195903.93941137442</v>
      </c>
      <c r="X10" s="189">
        <v>214260.46569617803</v>
      </c>
    </row>
    <row r="11" spans="1:24" x14ac:dyDescent="0.2">
      <c r="B11" s="176"/>
      <c r="C11" s="420" t="s">
        <v>41</v>
      </c>
      <c r="D11" s="763">
        <v>0.245</v>
      </c>
      <c r="E11" s="763">
        <v>0.24</v>
      </c>
      <c r="F11" s="763">
        <v>0.23</v>
      </c>
      <c r="G11" s="763">
        <v>0.22</v>
      </c>
      <c r="H11" s="764">
        <v>0.21</v>
      </c>
      <c r="J11">
        <v>3</v>
      </c>
      <c r="K11" t="s">
        <v>43</v>
      </c>
      <c r="N11">
        <v>3</v>
      </c>
      <c r="O11" t="s">
        <v>43</v>
      </c>
      <c r="R11" s="176"/>
      <c r="S11" t="s">
        <v>41</v>
      </c>
      <c r="T11" s="188">
        <v>115689.41642857144</v>
      </c>
      <c r="U11" s="122">
        <v>141678.76489785715</v>
      </c>
      <c r="V11" s="122">
        <v>170671.03154275523</v>
      </c>
      <c r="W11" s="122">
        <v>192644.694722938</v>
      </c>
      <c r="X11" s="189">
        <v>209670.10657363659</v>
      </c>
    </row>
    <row r="12" spans="1:24" x14ac:dyDescent="0.2">
      <c r="B12" s="176"/>
      <c r="C12" s="420" t="s">
        <v>42</v>
      </c>
      <c r="D12" s="765">
        <f>D11+0.01</f>
        <v>0.255</v>
      </c>
      <c r="E12" s="765">
        <f>E11+0.01</f>
        <v>0.25</v>
      </c>
      <c r="F12" s="765">
        <f>F11+0.01</f>
        <v>0.24000000000000002</v>
      </c>
      <c r="G12" s="765">
        <f>G11+0.01</f>
        <v>0.23</v>
      </c>
      <c r="H12" s="766">
        <f>H11+0.01</f>
        <v>0.22</v>
      </c>
      <c r="R12" s="176"/>
      <c r="S12" t="s">
        <v>29</v>
      </c>
      <c r="T12" s="188">
        <v>115337.29142857144</v>
      </c>
      <c r="U12" s="122">
        <v>140583.71336214288</v>
      </c>
      <c r="V12" s="122">
        <v>168657.79896670845</v>
      </c>
      <c r="W12" s="122">
        <v>189574.5276356652</v>
      </c>
      <c r="X12" s="189">
        <v>205442.66183833545</v>
      </c>
    </row>
    <row r="13" spans="1:24" x14ac:dyDescent="0.2">
      <c r="B13" s="176"/>
      <c r="C13" s="126" t="s">
        <v>44</v>
      </c>
      <c r="D13" s="767">
        <f ca="1">OFFSET(D9,$P$5,0)</f>
        <v>0.245</v>
      </c>
      <c r="E13" s="767">
        <f ca="1">OFFSET(E9,$P$5,0)</f>
        <v>0.24</v>
      </c>
      <c r="F13" s="767">
        <f ca="1">OFFSET(F9,$P$5,0)</f>
        <v>0.23</v>
      </c>
      <c r="G13" s="767">
        <f ca="1">OFFSET(G9,$P$5,0)</f>
        <v>0.22</v>
      </c>
      <c r="H13" s="768">
        <f ca="1">OFFSET(H9,$P$5,0)</f>
        <v>0.21</v>
      </c>
      <c r="J13" s="126" t="s">
        <v>49</v>
      </c>
      <c r="N13" s="126" t="s">
        <v>50</v>
      </c>
      <c r="R13" s="176"/>
      <c r="T13" s="176"/>
      <c r="X13" s="177"/>
    </row>
    <row r="14" spans="1:24" x14ac:dyDescent="0.2">
      <c r="B14" s="176"/>
      <c r="D14" s="458"/>
      <c r="E14" s="458"/>
      <c r="F14" s="458"/>
      <c r="G14" s="458"/>
      <c r="H14" s="459"/>
      <c r="J14">
        <v>1</v>
      </c>
      <c r="K14" t="s">
        <v>39</v>
      </c>
      <c r="N14">
        <v>1</v>
      </c>
      <c r="O14" t="s">
        <v>39</v>
      </c>
      <c r="R14" s="176"/>
      <c r="S14" t="s">
        <v>51</v>
      </c>
      <c r="T14" s="176"/>
      <c r="X14" s="177"/>
    </row>
    <row r="15" spans="1:24" x14ac:dyDescent="0.2">
      <c r="B15" s="176"/>
      <c r="C15" s="126" t="s">
        <v>52</v>
      </c>
      <c r="D15" s="458"/>
      <c r="E15" s="458"/>
      <c r="F15" s="458"/>
      <c r="G15" s="458"/>
      <c r="H15" s="459"/>
      <c r="J15">
        <v>2</v>
      </c>
      <c r="K15" t="s">
        <v>41</v>
      </c>
      <c r="L15" s="736">
        <v>2</v>
      </c>
      <c r="N15">
        <v>2</v>
      </c>
      <c r="O15" t="s">
        <v>41</v>
      </c>
      <c r="P15" s="736">
        <v>2</v>
      </c>
      <c r="Q15" s="543"/>
      <c r="R15" s="176"/>
      <c r="S15" t="s">
        <v>28</v>
      </c>
      <c r="T15" s="188">
        <v>45161.233029481016</v>
      </c>
      <c r="U15" s="122">
        <v>58229.228822677076</v>
      </c>
      <c r="V15" s="122">
        <v>75078.620795634444</v>
      </c>
      <c r="W15" s="122">
        <v>96803.605586812278</v>
      </c>
      <c r="X15" s="189">
        <v>124815</v>
      </c>
    </row>
    <row r="16" spans="1:24" x14ac:dyDescent="0.2">
      <c r="B16" s="176"/>
      <c r="C16" s="420" t="s">
        <v>38</v>
      </c>
      <c r="D16" s="765">
        <f>D17-0.01</f>
        <v>0.16999999999999998</v>
      </c>
      <c r="E16" s="765">
        <f>E17-0.01</f>
        <v>0.16999999999999998</v>
      </c>
      <c r="F16" s="765">
        <f>F17-0.01</f>
        <v>0.16999999999999998</v>
      </c>
      <c r="G16" s="765">
        <f>G17-0.01</f>
        <v>0.16999999999999998</v>
      </c>
      <c r="H16" s="766">
        <f>H17-0.01</f>
        <v>0.16999999999999998</v>
      </c>
      <c r="J16">
        <v>3</v>
      </c>
      <c r="K16" t="s">
        <v>43</v>
      </c>
      <c r="N16">
        <v>3</v>
      </c>
      <c r="O16" t="s">
        <v>43</v>
      </c>
      <c r="R16" s="176"/>
      <c r="S16" t="s">
        <v>41</v>
      </c>
      <c r="T16" s="188">
        <v>43544.122358541463</v>
      </c>
      <c r="U16" s="122">
        <v>54133.803231189129</v>
      </c>
      <c r="V16" s="122">
        <v>67298.833770116675</v>
      </c>
      <c r="W16" s="122">
        <v>83665.524246933783</v>
      </c>
      <c r="X16" s="189">
        <v>104012.5</v>
      </c>
    </row>
    <row r="17" spans="1:24" x14ac:dyDescent="0.2">
      <c r="B17" s="176"/>
      <c r="C17" s="420" t="s">
        <v>41</v>
      </c>
      <c r="D17" s="763">
        <v>0.18</v>
      </c>
      <c r="E17" s="763">
        <v>0.18</v>
      </c>
      <c r="F17" s="763">
        <v>0.18</v>
      </c>
      <c r="G17" s="763">
        <v>0.18</v>
      </c>
      <c r="H17" s="764">
        <v>0.18</v>
      </c>
      <c r="R17" s="176"/>
      <c r="S17" t="s">
        <v>29</v>
      </c>
      <c r="T17" s="188">
        <v>41643.530268754359</v>
      </c>
      <c r="U17" s="122">
        <v>49511.323395325206</v>
      </c>
      <c r="V17" s="122">
        <v>58865.593971886919</v>
      </c>
      <c r="W17" s="122">
        <v>69987.185072702487</v>
      </c>
      <c r="X17" s="189">
        <v>83210</v>
      </c>
    </row>
    <row r="18" spans="1:24" x14ac:dyDescent="0.2">
      <c r="B18" s="176"/>
      <c r="C18" s="420" t="s">
        <v>42</v>
      </c>
      <c r="D18" s="765">
        <f>D17+0.01</f>
        <v>0.19</v>
      </c>
      <c r="E18" s="765">
        <f>E17+0.01</f>
        <v>0.19</v>
      </c>
      <c r="F18" s="765">
        <f>F17+0.01</f>
        <v>0.19</v>
      </c>
      <c r="G18" s="765">
        <f>G17+0.01</f>
        <v>0.19</v>
      </c>
      <c r="H18" s="766">
        <f>H17+0.01</f>
        <v>0.19</v>
      </c>
      <c r="J18" s="126" t="s">
        <v>53</v>
      </c>
      <c r="N18" s="126" t="s">
        <v>54</v>
      </c>
      <c r="R18" s="178"/>
      <c r="S18" s="179"/>
      <c r="T18" s="178"/>
      <c r="U18" s="179"/>
      <c r="V18" s="179"/>
      <c r="W18" s="179"/>
      <c r="X18" s="180"/>
    </row>
    <row r="19" spans="1:24" x14ac:dyDescent="0.2">
      <c r="B19" s="176"/>
      <c r="C19" s="126" t="s">
        <v>44</v>
      </c>
      <c r="D19" s="767">
        <f ca="1">OFFSET(D15,$P$5,0)</f>
        <v>0.18</v>
      </c>
      <c r="E19" s="767">
        <f ca="1">OFFSET(E15,$P$5,0)</f>
        <v>0.18</v>
      </c>
      <c r="F19" s="767">
        <f ca="1">OFFSET(F15,$P$5,0)</f>
        <v>0.18</v>
      </c>
      <c r="G19" s="767">
        <f ca="1">OFFSET(G15,$P$5,0)</f>
        <v>0.18</v>
      </c>
      <c r="H19" s="768">
        <f ca="1">OFFSET(H15,$P$5,0)</f>
        <v>0.18</v>
      </c>
      <c r="J19">
        <v>1</v>
      </c>
      <c r="K19" t="s">
        <v>55</v>
      </c>
      <c r="N19">
        <v>1</v>
      </c>
      <c r="O19" t="s">
        <v>56</v>
      </c>
      <c r="R19" s="201" t="s">
        <v>57</v>
      </c>
      <c r="S19" s="174"/>
      <c r="T19" s="173"/>
      <c r="U19" s="174"/>
      <c r="V19" s="174"/>
      <c r="W19" s="174"/>
      <c r="X19" s="175"/>
    </row>
    <row r="20" spans="1:24" x14ac:dyDescent="0.2">
      <c r="B20" s="178"/>
      <c r="C20" s="179"/>
      <c r="D20" s="179"/>
      <c r="E20" s="179"/>
      <c r="F20" s="179"/>
      <c r="G20" s="179"/>
      <c r="H20" s="180"/>
      <c r="J20">
        <v>2</v>
      </c>
      <c r="K20" t="s">
        <v>58</v>
      </c>
      <c r="L20" s="736">
        <v>2</v>
      </c>
      <c r="N20">
        <v>2</v>
      </c>
      <c r="O20" t="s">
        <v>59</v>
      </c>
      <c r="P20" s="736">
        <v>2</v>
      </c>
      <c r="Q20" s="543"/>
      <c r="R20" s="176"/>
      <c r="S20" t="s">
        <v>40</v>
      </c>
      <c r="T20" s="176"/>
      <c r="X20" s="177"/>
    </row>
    <row r="21" spans="1:24" x14ac:dyDescent="0.2">
      <c r="J21">
        <v>3</v>
      </c>
      <c r="K21" t="s">
        <v>60</v>
      </c>
      <c r="N21">
        <v>3</v>
      </c>
      <c r="O21" t="s">
        <v>61</v>
      </c>
      <c r="R21" s="176"/>
      <c r="S21" t="s">
        <v>28</v>
      </c>
      <c r="T21" s="188">
        <v>-4577.9157285714173</v>
      </c>
      <c r="U21" s="122">
        <v>-4004.2602452041465</v>
      </c>
      <c r="V21" s="122">
        <v>642.72040146408835</v>
      </c>
      <c r="W21" s="122">
        <v>6499.6143856287235</v>
      </c>
      <c r="X21" s="189">
        <v>12814.085787096526</v>
      </c>
    </row>
    <row r="22" spans="1:24" x14ac:dyDescent="0.2">
      <c r="A22" s="716" t="s">
        <v>609</v>
      </c>
      <c r="B22" s="486" t="s">
        <v>62</v>
      </c>
      <c r="C22" s="487"/>
      <c r="D22" s="487">
        <f>D2</f>
        <v>2020</v>
      </c>
      <c r="E22" s="487">
        <f t="shared" ref="E22:H22" si="1">E2</f>
        <v>2021</v>
      </c>
      <c r="F22" s="487">
        <f t="shared" si="1"/>
        <v>2022</v>
      </c>
      <c r="G22" s="487">
        <f t="shared" si="1"/>
        <v>2023</v>
      </c>
      <c r="H22" s="487">
        <f t="shared" si="1"/>
        <v>2024</v>
      </c>
      <c r="R22" s="176"/>
      <c r="S22" t="s">
        <v>41</v>
      </c>
      <c r="T22" s="188">
        <v>-8566.9367999999959</v>
      </c>
      <c r="U22" s="122">
        <v>-8683.8929572096094</v>
      </c>
      <c r="V22" s="122">
        <v>-4883.6536391638219</v>
      </c>
      <c r="W22" s="122">
        <v>106.71202798845479</v>
      </c>
      <c r="X22" s="189">
        <v>5604.2572300392203</v>
      </c>
    </row>
    <row r="23" spans="1:24" x14ac:dyDescent="0.2">
      <c r="B23" s="173"/>
      <c r="C23" s="455" t="s">
        <v>63</v>
      </c>
      <c r="D23" s="174"/>
      <c r="E23" s="174"/>
      <c r="F23" s="174"/>
      <c r="G23" s="174"/>
      <c r="H23" s="175"/>
      <c r="R23" s="176"/>
      <c r="S23" t="s">
        <v>29</v>
      </c>
      <c r="T23" s="188">
        <v>-12391.462157142872</v>
      </c>
      <c r="U23" s="122">
        <v>-12979.772049928055</v>
      </c>
      <c r="V23" s="122">
        <v>-9754.3999440359476</v>
      </c>
      <c r="W23" s="122">
        <v>-5323.7557731699781</v>
      </c>
      <c r="X23" s="189">
        <v>-328.41498421155848</v>
      </c>
    </row>
    <row r="24" spans="1:24" x14ac:dyDescent="0.2">
      <c r="B24" s="176"/>
      <c r="C24" s="420" t="s">
        <v>38</v>
      </c>
      <c r="D24" s="765">
        <f>D25+0.025</f>
        <v>-0.40499999999999997</v>
      </c>
      <c r="E24" s="765">
        <f>E25+0.025</f>
        <v>-0.22049999999999961</v>
      </c>
      <c r="F24" s="765">
        <f>F25+0.025</f>
        <v>-0.15422999999999978</v>
      </c>
      <c r="G24" s="765">
        <f>G25+0.025</f>
        <v>-9.1073162499999555E-2</v>
      </c>
      <c r="H24" s="766">
        <f>H25+0.025</f>
        <v>-3.0892746874999676E-2</v>
      </c>
      <c r="R24" s="176"/>
      <c r="T24" s="176"/>
      <c r="X24" s="177"/>
    </row>
    <row r="25" spans="1:24" x14ac:dyDescent="0.2">
      <c r="B25" s="176"/>
      <c r="C25" s="420" t="s">
        <v>41</v>
      </c>
      <c r="D25" s="763">
        <v>-0.43</v>
      </c>
      <c r="E25" s="763">
        <v>-0.24549999999999961</v>
      </c>
      <c r="F25" s="763">
        <v>-0.17922999999999978</v>
      </c>
      <c r="G25" s="763">
        <v>-0.11607316249999955</v>
      </c>
      <c r="H25" s="764">
        <v>-5.5892746874999677E-2</v>
      </c>
      <c r="R25" s="176"/>
      <c r="S25" t="s">
        <v>48</v>
      </c>
      <c r="T25" s="176"/>
      <c r="X25" s="177"/>
    </row>
    <row r="26" spans="1:24" x14ac:dyDescent="0.2">
      <c r="B26" s="176"/>
      <c r="C26" s="420" t="s">
        <v>42</v>
      </c>
      <c r="D26" s="765">
        <f>D25-0.025</f>
        <v>-0.45500000000000002</v>
      </c>
      <c r="E26" s="765">
        <f>E25-0.025</f>
        <v>-0.27049999999999963</v>
      </c>
      <c r="F26" s="765">
        <f>F25-0.025</f>
        <v>-0.20422999999999977</v>
      </c>
      <c r="G26" s="765">
        <f>G25-0.025</f>
        <v>-0.14107316249999954</v>
      </c>
      <c r="H26" s="766">
        <f>H25-0.025</f>
        <v>-8.0892746874999671E-2</v>
      </c>
      <c r="R26" s="176"/>
      <c r="S26" t="s">
        <v>28</v>
      </c>
      <c r="T26" s="188">
        <v>15056.648417117904</v>
      </c>
      <c r="U26" s="122">
        <v>20071.473696869623</v>
      </c>
      <c r="V26" s="122">
        <v>26005.726354874292</v>
      </c>
      <c r="W26" s="122">
        <v>31396.916610597604</v>
      </c>
      <c r="X26" s="189">
        <v>36521.543780241715</v>
      </c>
    </row>
    <row r="27" spans="1:24" x14ac:dyDescent="0.2">
      <c r="B27" s="176"/>
      <c r="C27" s="126" t="s">
        <v>44</v>
      </c>
      <c r="D27" s="767">
        <f ca="1">OFFSET(D23,$L$10,0)</f>
        <v>-0.45500000000000002</v>
      </c>
      <c r="E27" s="767">
        <f ca="1">OFFSET(E23,$L$10,0)</f>
        <v>-0.27049999999999963</v>
      </c>
      <c r="F27" s="767">
        <f ca="1">OFFSET(F23,$L$10,0)</f>
        <v>-0.20422999999999977</v>
      </c>
      <c r="G27" s="767">
        <f ca="1">OFFSET(G23,$L$10,0)</f>
        <v>-0.14107316249999954</v>
      </c>
      <c r="H27" s="768">
        <f ca="1">OFFSET(H23,$L$10,0)</f>
        <v>-8.0892746874999671E-2</v>
      </c>
      <c r="R27" s="176"/>
      <c r="S27" t="s">
        <v>41</v>
      </c>
      <c r="T27" s="188">
        <v>15006.786104518236</v>
      </c>
      <c r="U27" s="122">
        <v>19904.08751221752</v>
      </c>
      <c r="V27" s="122">
        <v>25671.180027562834</v>
      </c>
      <c r="W27" s="122">
        <v>30843.331382147357</v>
      </c>
      <c r="X27" s="189">
        <v>35693.9224409163</v>
      </c>
    </row>
    <row r="28" spans="1:24" x14ac:dyDescent="0.2">
      <c r="B28" s="176"/>
      <c r="C28" s="126"/>
      <c r="D28" s="655"/>
      <c r="E28" s="655"/>
      <c r="F28" s="655"/>
      <c r="G28" s="655"/>
      <c r="H28" s="656"/>
      <c r="R28" s="176"/>
      <c r="S28" t="s">
        <v>29</v>
      </c>
      <c r="T28" s="188">
        <v>14956.923791918583</v>
      </c>
      <c r="U28" s="122">
        <v>19739.349979335384</v>
      </c>
      <c r="V28" s="122">
        <v>25348.988632207242</v>
      </c>
      <c r="W28" s="122">
        <v>30321.861130337667</v>
      </c>
      <c r="X28" s="189">
        <v>34931.732951955986</v>
      </c>
    </row>
    <row r="29" spans="1:24" x14ac:dyDescent="0.2">
      <c r="B29" s="176"/>
      <c r="C29" s="126" t="s">
        <v>64</v>
      </c>
      <c r="D29" s="655"/>
      <c r="E29" s="655"/>
      <c r="F29" s="655"/>
      <c r="G29" s="655"/>
      <c r="H29" s="656"/>
      <c r="R29" s="176"/>
      <c r="T29" s="176"/>
      <c r="X29" s="177"/>
    </row>
    <row r="30" spans="1:24" x14ac:dyDescent="0.2">
      <c r="B30" s="176"/>
      <c r="C30" s="420" t="s">
        <v>38</v>
      </c>
      <c r="D30" s="765">
        <f>D31+0.025</f>
        <v>0.37</v>
      </c>
      <c r="E30" s="765">
        <f>E31+0.025</f>
        <v>0.32500000000000001</v>
      </c>
      <c r="F30" s="765">
        <f>F31+0.025</f>
        <v>0.27500000000000002</v>
      </c>
      <c r="G30" s="765">
        <f>G31+0.025</f>
        <v>0.17499999999999999</v>
      </c>
      <c r="H30" s="766">
        <f>H31+0.025</f>
        <v>0.125</v>
      </c>
      <c r="R30" s="176"/>
      <c r="S30" t="s">
        <v>51</v>
      </c>
      <c r="T30" s="176"/>
      <c r="X30" s="177"/>
    </row>
    <row r="31" spans="1:24" x14ac:dyDescent="0.2">
      <c r="B31" s="176"/>
      <c r="C31" s="420" t="s">
        <v>41</v>
      </c>
      <c r="D31" s="763">
        <v>0.34499999999999997</v>
      </c>
      <c r="E31" s="763">
        <v>0.3</v>
      </c>
      <c r="F31" s="763">
        <v>0.25</v>
      </c>
      <c r="G31" s="763">
        <v>0.15</v>
      </c>
      <c r="H31" s="764">
        <v>0.1</v>
      </c>
      <c r="R31" s="176"/>
      <c r="S31" t="s">
        <v>28</v>
      </c>
      <c r="T31" s="188">
        <v>12681.946105174115</v>
      </c>
      <c r="U31" s="122">
        <v>18283.977850320603</v>
      </c>
      <c r="V31" s="122">
        <v>25451.652449720077</v>
      </c>
      <c r="W31" s="122">
        <v>35236.512433599666</v>
      </c>
      <c r="X31" s="189">
        <v>48553.034999999996</v>
      </c>
    </row>
    <row r="32" spans="1:24" x14ac:dyDescent="0.2">
      <c r="B32" s="176"/>
      <c r="C32" s="420" t="s">
        <v>42</v>
      </c>
      <c r="D32" s="765">
        <f>D31-0.025</f>
        <v>0.31999999999999995</v>
      </c>
      <c r="E32" s="765">
        <f>E31-0.025</f>
        <v>0.27499999999999997</v>
      </c>
      <c r="F32" s="765">
        <f>F31-0.025</f>
        <v>0.22500000000000001</v>
      </c>
      <c r="G32" s="765">
        <f>G31-0.025</f>
        <v>0.125</v>
      </c>
      <c r="H32" s="766">
        <f>H31-0.025</f>
        <v>7.5000000000000011E-2</v>
      </c>
      <c r="R32" s="176"/>
      <c r="S32" t="s">
        <v>41</v>
      </c>
      <c r="T32" s="188">
        <v>11792.39614718878</v>
      </c>
      <c r="U32" s="122">
        <v>16456.676182281499</v>
      </c>
      <c r="V32" s="122">
        <v>22141.316310368384</v>
      </c>
      <c r="W32" s="122">
        <v>29617.595583414561</v>
      </c>
      <c r="X32" s="189">
        <v>39420.737500000003</v>
      </c>
    </row>
    <row r="33" spans="1:24" x14ac:dyDescent="0.2">
      <c r="B33" s="176"/>
      <c r="C33" s="126" t="s">
        <v>44</v>
      </c>
      <c r="D33" s="767">
        <f ca="1">OFFSET(D29,$L$10,0)</f>
        <v>0.31999999999999995</v>
      </c>
      <c r="E33" s="767">
        <f ca="1">OFFSET(E29,$L$10,0)</f>
        <v>0.27499999999999997</v>
      </c>
      <c r="F33" s="767">
        <f ca="1">OFFSET(F29,$L$10,0)</f>
        <v>0.22500000000000001</v>
      </c>
      <c r="G33" s="767">
        <f ca="1">OFFSET(G29,$L$10,0)</f>
        <v>0.125</v>
      </c>
      <c r="H33" s="768">
        <f ca="1">OFFSET(H29,$L$10,0)</f>
        <v>7.5000000000000011E-2</v>
      </c>
      <c r="R33" s="176"/>
      <c r="S33" t="s">
        <v>29</v>
      </c>
      <c r="T33" s="188">
        <v>10861.252231190849</v>
      </c>
      <c r="U33" s="122">
        <v>14556.329078225614</v>
      </c>
      <c r="V33" s="122">
        <v>18778.124477031924</v>
      </c>
      <c r="W33" s="122">
        <v>24075.591665009655</v>
      </c>
      <c r="X33" s="189">
        <v>30704.489999999994</v>
      </c>
    </row>
    <row r="34" spans="1:24" x14ac:dyDescent="0.2">
      <c r="B34" s="176"/>
      <c r="C34" s="126"/>
      <c r="D34" s="655"/>
      <c r="E34" s="655"/>
      <c r="F34" s="655"/>
      <c r="G34" s="655"/>
      <c r="H34" s="656"/>
      <c r="R34" s="178"/>
      <c r="S34" s="179"/>
      <c r="T34" s="178"/>
      <c r="U34" s="179"/>
      <c r="V34" s="179"/>
      <c r="W34" s="179"/>
      <c r="X34" s="180"/>
    </row>
    <row r="35" spans="1:24" x14ac:dyDescent="0.2">
      <c r="B35" s="176"/>
      <c r="C35" s="126" t="s">
        <v>65</v>
      </c>
      <c r="D35" s="655"/>
      <c r="E35" s="655"/>
      <c r="F35" s="655"/>
      <c r="G35" s="655"/>
      <c r="H35" s="656"/>
      <c r="R35" s="201" t="s">
        <v>66</v>
      </c>
      <c r="S35" s="174"/>
      <c r="T35" s="173"/>
      <c r="U35" s="174"/>
      <c r="V35" s="174"/>
      <c r="W35" s="174"/>
      <c r="X35" s="175"/>
    </row>
    <row r="36" spans="1:24" x14ac:dyDescent="0.2">
      <c r="B36" s="176"/>
      <c r="C36" s="420" t="s">
        <v>38</v>
      </c>
      <c r="D36" s="765">
        <f>D37+0.025</f>
        <v>0.37</v>
      </c>
      <c r="E36" s="765">
        <f>E37+0.025</f>
        <v>0.32500000000000001</v>
      </c>
      <c r="F36" s="765">
        <f>F37+0.025</f>
        <v>0.27500000000000002</v>
      </c>
      <c r="G36" s="765">
        <f>G37+0.025</f>
        <v>0.17499999999999999</v>
      </c>
      <c r="H36" s="766">
        <f>H37+0.025</f>
        <v>0.125</v>
      </c>
      <c r="R36" s="176"/>
      <c r="S36" t="s">
        <v>40</v>
      </c>
      <c r="T36" s="176"/>
      <c r="X36" s="177"/>
    </row>
    <row r="37" spans="1:24" x14ac:dyDescent="0.2">
      <c r="B37" s="176"/>
      <c r="C37" s="420" t="s">
        <v>41</v>
      </c>
      <c r="D37" s="763">
        <v>0.34499999999999997</v>
      </c>
      <c r="E37" s="763">
        <v>0.3</v>
      </c>
      <c r="F37" s="763">
        <v>0.25</v>
      </c>
      <c r="G37" s="763">
        <v>0.15</v>
      </c>
      <c r="H37" s="764">
        <v>0.1</v>
      </c>
      <c r="R37" s="176"/>
      <c r="S37" t="s">
        <v>28</v>
      </c>
      <c r="T37" s="227">
        <f t="shared" ref="T37:X39" si="2">T21/T5</f>
        <v>-2.1999999999999947E-2</v>
      </c>
      <c r="U37" s="211">
        <f t="shared" si="2"/>
        <v>-1.5908726085814423E-2</v>
      </c>
      <c r="V37" s="211">
        <f t="shared" si="2"/>
        <v>2.2050916013066626E-3</v>
      </c>
      <c r="W37" s="211">
        <f t="shared" si="2"/>
        <v>2.0362457565666299E-2</v>
      </c>
      <c r="X37" s="228">
        <f t="shared" si="2"/>
        <v>3.8778928870748408E-2</v>
      </c>
    </row>
    <row r="38" spans="1:24" x14ac:dyDescent="0.2">
      <c r="B38" s="176"/>
      <c r="C38" s="420" t="s">
        <v>42</v>
      </c>
      <c r="D38" s="765">
        <f>D37-0.025</f>
        <v>0.31999999999999995</v>
      </c>
      <c r="E38" s="765">
        <f>E37-0.025</f>
        <v>0.27499999999999997</v>
      </c>
      <c r="F38" s="765">
        <f>F37-0.025</f>
        <v>0.22500000000000001</v>
      </c>
      <c r="G38" s="765">
        <f>G37-0.025</f>
        <v>0.125</v>
      </c>
      <c r="H38" s="766">
        <f>H37-0.025</f>
        <v>7.5000000000000011E-2</v>
      </c>
      <c r="R38" s="176"/>
      <c r="S38" t="s">
        <v>41</v>
      </c>
      <c r="T38" s="227">
        <f t="shared" si="2"/>
        <v>-4.1999999999999989E-2</v>
      </c>
      <c r="U38" s="211">
        <f t="shared" si="2"/>
        <v>-3.5908726085814545E-2</v>
      </c>
      <c r="V38" s="211">
        <f t="shared" si="2"/>
        <v>-1.7794908398693365E-2</v>
      </c>
      <c r="W38" s="211">
        <f t="shared" si="2"/>
        <v>3.6245756566645167E-4</v>
      </c>
      <c r="X38" s="228">
        <f t="shared" si="2"/>
        <v>1.8778928870748463E-2</v>
      </c>
    </row>
    <row r="39" spans="1:24" x14ac:dyDescent="0.2">
      <c r="B39" s="176"/>
      <c r="C39" s="126" t="s">
        <v>44</v>
      </c>
      <c r="D39" s="767">
        <f ca="1">OFFSET(D35,$L$10,0)</f>
        <v>0.31999999999999995</v>
      </c>
      <c r="E39" s="767">
        <f ca="1">OFFSET(E35,$L$10,0)</f>
        <v>0.27499999999999997</v>
      </c>
      <c r="F39" s="767">
        <f ca="1">OFFSET(F35,$L$10,0)</f>
        <v>0.22500000000000001</v>
      </c>
      <c r="G39" s="767">
        <f ca="1">OFFSET(G35,$L$10,0)</f>
        <v>0.125</v>
      </c>
      <c r="H39" s="768">
        <f ca="1">OFFSET(H35,$L$10,0)</f>
        <v>7.5000000000000011E-2</v>
      </c>
      <c r="R39" s="176"/>
      <c r="S39" t="s">
        <v>29</v>
      </c>
      <c r="T39" s="227">
        <f t="shared" si="2"/>
        <v>-6.2000000000000083E-2</v>
      </c>
      <c r="U39" s="211">
        <f t="shared" si="2"/>
        <v>-5.5908726085814459E-2</v>
      </c>
      <c r="V39" s="211">
        <f t="shared" si="2"/>
        <v>-3.7794908398693372E-2</v>
      </c>
      <c r="W39" s="211">
        <f t="shared" si="2"/>
        <v>-1.9637542434333723E-2</v>
      </c>
      <c r="X39" s="228">
        <f t="shared" si="2"/>
        <v>-1.2210711292517215E-3</v>
      </c>
    </row>
    <row r="40" spans="1:24" x14ac:dyDescent="0.2">
      <c r="B40" s="178"/>
      <c r="C40" s="139"/>
      <c r="D40" s="305"/>
      <c r="E40" s="305"/>
      <c r="F40" s="305"/>
      <c r="G40" s="305"/>
      <c r="H40" s="307"/>
      <c r="R40" s="176"/>
      <c r="T40" s="227"/>
      <c r="U40" s="211"/>
      <c r="V40" s="211"/>
      <c r="W40" s="211"/>
      <c r="X40" s="228"/>
    </row>
    <row r="41" spans="1:24" x14ac:dyDescent="0.2">
      <c r="C41" s="488" t="s">
        <v>67</v>
      </c>
      <c r="R41" s="176"/>
      <c r="S41" t="s">
        <v>48</v>
      </c>
      <c r="T41" s="227"/>
      <c r="U41" s="211"/>
      <c r="V41" s="211"/>
      <c r="W41" s="211"/>
      <c r="X41" s="228"/>
    </row>
    <row r="42" spans="1:24" x14ac:dyDescent="0.2">
      <c r="A42" s="716" t="s">
        <v>609</v>
      </c>
      <c r="B42" s="135" t="s">
        <v>68</v>
      </c>
      <c r="C42" s="284"/>
      <c r="D42" s="284">
        <f>D22</f>
        <v>2020</v>
      </c>
      <c r="E42" s="284">
        <f t="shared" ref="E42:H42" si="3">E22</f>
        <v>2021</v>
      </c>
      <c r="F42" s="284">
        <f t="shared" si="3"/>
        <v>2022</v>
      </c>
      <c r="G42" s="284">
        <f t="shared" si="3"/>
        <v>2023</v>
      </c>
      <c r="H42" s="286">
        <f t="shared" si="3"/>
        <v>2024</v>
      </c>
      <c r="R42" s="176"/>
      <c r="S42" t="s">
        <v>28</v>
      </c>
      <c r="T42" s="671">
        <f t="shared" ref="T42:X44" si="4">T26/T10</f>
        <v>0.12975222693319632</v>
      </c>
      <c r="U42" s="129">
        <f t="shared" si="4"/>
        <v>0.14056498156299205</v>
      </c>
      <c r="V42" s="129">
        <f t="shared" si="4"/>
        <v>0.15052967052230903</v>
      </c>
      <c r="W42" s="129">
        <f t="shared" si="4"/>
        <v>0.16026689766900451</v>
      </c>
      <c r="X42" s="672">
        <f t="shared" si="4"/>
        <v>0.17045395501020413</v>
      </c>
    </row>
    <row r="43" spans="1:24" x14ac:dyDescent="0.2">
      <c r="B43" s="176"/>
      <c r="C43" s="126" t="s">
        <v>69</v>
      </c>
      <c r="E43" s="124"/>
      <c r="F43" s="124"/>
      <c r="G43" s="124"/>
      <c r="H43" s="224"/>
      <c r="R43" s="176"/>
      <c r="S43" t="s">
        <v>41</v>
      </c>
      <c r="T43" s="671">
        <f t="shared" si="4"/>
        <v>0.12971615354100843</v>
      </c>
      <c r="U43" s="129">
        <f t="shared" si="4"/>
        <v>0.14048744373630945</v>
      </c>
      <c r="V43" s="129">
        <f t="shared" si="4"/>
        <v>0.15041322358874876</v>
      </c>
      <c r="W43" s="129">
        <f t="shared" si="4"/>
        <v>0.16010475360614679</v>
      </c>
      <c r="X43" s="672">
        <f t="shared" si="4"/>
        <v>0.17023849047541986</v>
      </c>
    </row>
    <row r="44" spans="1:24" x14ac:dyDescent="0.2">
      <c r="B44" s="176"/>
      <c r="C44" s="420" t="s">
        <v>38</v>
      </c>
      <c r="D44" s="458"/>
      <c r="E44" s="458"/>
      <c r="F44" s="458"/>
      <c r="G44" s="458"/>
      <c r="H44" s="764">
        <v>0.15</v>
      </c>
      <c r="R44" s="176"/>
      <c r="S44" t="s">
        <v>29</v>
      </c>
      <c r="T44" s="671">
        <f t="shared" si="4"/>
        <v>0.12967985988453204</v>
      </c>
      <c r="U44" s="129">
        <f t="shared" si="4"/>
        <v>0.14040993446009586</v>
      </c>
      <c r="V44" s="129">
        <f t="shared" si="4"/>
        <v>0.15029834841619691</v>
      </c>
      <c r="W44" s="129">
        <f t="shared" si="4"/>
        <v>0.15994691643706424</v>
      </c>
      <c r="X44" s="672">
        <f t="shared" si="4"/>
        <v>0.17003154378638288</v>
      </c>
    </row>
    <row r="45" spans="1:24" x14ac:dyDescent="0.2">
      <c r="B45" s="176"/>
      <c r="C45" s="420" t="s">
        <v>41</v>
      </c>
      <c r="D45" s="458"/>
      <c r="E45" s="458"/>
      <c r="F45" s="458"/>
      <c r="G45" s="458"/>
      <c r="H45" s="764">
        <v>0.125</v>
      </c>
      <c r="R45" s="176"/>
      <c r="T45" s="227"/>
      <c r="U45" s="211"/>
      <c r="V45" s="211"/>
      <c r="W45" s="211"/>
      <c r="X45" s="228"/>
    </row>
    <row r="46" spans="1:24" x14ac:dyDescent="0.2">
      <c r="B46" s="176"/>
      <c r="C46" s="420" t="s">
        <v>42</v>
      </c>
      <c r="D46" s="458"/>
      <c r="E46" s="458"/>
      <c r="F46" s="458"/>
      <c r="G46" s="458"/>
      <c r="H46" s="764">
        <v>0.1</v>
      </c>
      <c r="R46" s="176"/>
      <c r="S46" t="s">
        <v>51</v>
      </c>
      <c r="T46" s="227"/>
      <c r="U46" s="211"/>
      <c r="V46" s="211"/>
      <c r="W46" s="211"/>
      <c r="X46" s="228"/>
    </row>
    <row r="47" spans="1:24" x14ac:dyDescent="0.2">
      <c r="B47" s="176"/>
      <c r="C47" s="126" t="s">
        <v>44</v>
      </c>
      <c r="D47" s="655"/>
      <c r="E47" s="655"/>
      <c r="F47" s="655"/>
      <c r="G47" s="655"/>
      <c r="H47" s="768">
        <f ca="1">OFFSET(H43,$L$15,0)</f>
        <v>0.125</v>
      </c>
      <c r="R47" s="176"/>
      <c r="S47" t="s">
        <v>28</v>
      </c>
      <c r="T47" s="227">
        <f t="shared" ref="T47:X49" si="5">T31/T15</f>
        <v>0.28081487715128167</v>
      </c>
      <c r="U47" s="211">
        <f t="shared" si="5"/>
        <v>0.314</v>
      </c>
      <c r="V47" s="211">
        <f t="shared" si="5"/>
        <v>0.33900000000000002</v>
      </c>
      <c r="W47" s="211">
        <f t="shared" si="5"/>
        <v>0.36399999999999999</v>
      </c>
      <c r="X47" s="228">
        <f t="shared" si="5"/>
        <v>0.38899999999999996</v>
      </c>
    </row>
    <row r="48" spans="1:24" x14ac:dyDescent="0.2">
      <c r="B48" s="176"/>
      <c r="D48" s="458"/>
      <c r="E48" s="458"/>
      <c r="F48" s="458"/>
      <c r="G48" s="458"/>
      <c r="H48" s="459"/>
      <c r="R48" s="176"/>
      <c r="S48" t="s">
        <v>41</v>
      </c>
      <c r="T48" s="227">
        <f t="shared" si="5"/>
        <v>0.27081487715128155</v>
      </c>
      <c r="U48" s="211">
        <f t="shared" si="5"/>
        <v>0.30400000000000005</v>
      </c>
      <c r="V48" s="211">
        <f t="shared" si="5"/>
        <v>0.32899999999999996</v>
      </c>
      <c r="W48" s="211">
        <f t="shared" si="5"/>
        <v>0.35400000000000004</v>
      </c>
      <c r="X48" s="228">
        <f t="shared" si="5"/>
        <v>0.379</v>
      </c>
    </row>
    <row r="49" spans="1:24" x14ac:dyDescent="0.2">
      <c r="B49" s="176"/>
      <c r="C49" s="126" t="s">
        <v>70</v>
      </c>
      <c r="D49" s="458"/>
      <c r="E49" s="458"/>
      <c r="F49" s="458"/>
      <c r="G49" s="458"/>
      <c r="H49" s="459"/>
      <c r="R49" s="178"/>
      <c r="S49" s="179" t="s">
        <v>29</v>
      </c>
      <c r="T49" s="306">
        <f t="shared" si="5"/>
        <v>0.26081487715128171</v>
      </c>
      <c r="U49" s="305">
        <f t="shared" si="5"/>
        <v>0.29400000000000004</v>
      </c>
      <c r="V49" s="305">
        <f t="shared" si="5"/>
        <v>0.31899999999999995</v>
      </c>
      <c r="W49" s="305">
        <f t="shared" si="5"/>
        <v>0.34399999999999997</v>
      </c>
      <c r="X49" s="307">
        <f t="shared" si="5"/>
        <v>0.36899999999999994</v>
      </c>
    </row>
    <row r="50" spans="1:24" x14ac:dyDescent="0.2">
      <c r="B50" s="176"/>
      <c r="C50" s="420" t="s">
        <v>38</v>
      </c>
      <c r="D50" s="765">
        <f>D51-0.01</f>
        <v>0.49</v>
      </c>
      <c r="E50" s="765">
        <f>E51-0.01</f>
        <v>0.46499999999999997</v>
      </c>
      <c r="F50" s="765">
        <f>F51-0.01</f>
        <v>0.44</v>
      </c>
      <c r="G50" s="765">
        <f>G51-0.01</f>
        <v>0.41499999999999998</v>
      </c>
      <c r="H50" s="766">
        <f>H51-0.01</f>
        <v>0.39</v>
      </c>
    </row>
    <row r="51" spans="1:24" x14ac:dyDescent="0.2">
      <c r="B51" s="176"/>
      <c r="C51" s="420" t="s">
        <v>41</v>
      </c>
      <c r="D51" s="763">
        <v>0.5</v>
      </c>
      <c r="E51" s="763">
        <v>0.47499999999999998</v>
      </c>
      <c r="F51" s="763">
        <v>0.45</v>
      </c>
      <c r="G51" s="763">
        <v>0.42499999999999999</v>
      </c>
      <c r="H51" s="764">
        <v>0.4</v>
      </c>
    </row>
    <row r="52" spans="1:24" x14ac:dyDescent="0.2">
      <c r="B52" s="176"/>
      <c r="C52" s="420" t="s">
        <v>42</v>
      </c>
      <c r="D52" s="765">
        <f>D51+0.01</f>
        <v>0.51</v>
      </c>
      <c r="E52" s="765">
        <f>E51+0.01</f>
        <v>0.48499999999999999</v>
      </c>
      <c r="F52" s="765">
        <f>F51+0.01</f>
        <v>0.46</v>
      </c>
      <c r="G52" s="765">
        <f>G51+0.01</f>
        <v>0.435</v>
      </c>
      <c r="H52" s="766">
        <f>H51+0.01</f>
        <v>0.41000000000000003</v>
      </c>
    </row>
    <row r="53" spans="1:24" x14ac:dyDescent="0.2">
      <c r="B53" s="176"/>
      <c r="C53" s="126" t="s">
        <v>44</v>
      </c>
      <c r="D53" s="767">
        <f ca="1">OFFSET(D49,$L$15,0)</f>
        <v>0.5</v>
      </c>
      <c r="E53" s="767">
        <f ca="1">OFFSET(E49,$L$15,0)</f>
        <v>0.47499999999999998</v>
      </c>
      <c r="F53" s="767">
        <f ca="1">OFFSET(F49,$L$15,0)</f>
        <v>0.45</v>
      </c>
      <c r="G53" s="767">
        <f ca="1">OFFSET(G49,$L$15,0)</f>
        <v>0.42499999999999999</v>
      </c>
      <c r="H53" s="768">
        <f ca="1">OFFSET(H49,$L$15,0)</f>
        <v>0.4</v>
      </c>
    </row>
    <row r="54" spans="1:24" x14ac:dyDescent="0.2">
      <c r="B54" s="178"/>
      <c r="C54" s="179"/>
      <c r="D54" s="277"/>
      <c r="E54" s="277"/>
      <c r="F54" s="277"/>
      <c r="G54" s="277"/>
      <c r="H54" s="301"/>
    </row>
    <row r="56" spans="1:24" x14ac:dyDescent="0.2">
      <c r="A56" s="716" t="s">
        <v>609</v>
      </c>
      <c r="B56" s="135" t="s">
        <v>71</v>
      </c>
      <c r="C56" s="284"/>
      <c r="D56" s="284">
        <f>D2</f>
        <v>2020</v>
      </c>
      <c r="E56" s="284">
        <f t="shared" ref="E56:H56" si="6">E2</f>
        <v>2021</v>
      </c>
      <c r="F56" s="284">
        <f t="shared" si="6"/>
        <v>2022</v>
      </c>
      <c r="G56" s="284">
        <f t="shared" si="6"/>
        <v>2023</v>
      </c>
      <c r="H56" s="284">
        <f t="shared" si="6"/>
        <v>2024</v>
      </c>
    </row>
    <row r="57" spans="1:24" x14ac:dyDescent="0.2">
      <c r="B57" s="176"/>
      <c r="C57" s="126" t="s">
        <v>72</v>
      </c>
      <c r="D57" s="384"/>
      <c r="E57" s="384"/>
      <c r="F57" s="384"/>
      <c r="G57" s="384"/>
      <c r="H57" s="585"/>
    </row>
    <row r="58" spans="1:24" x14ac:dyDescent="0.2">
      <c r="B58" s="176"/>
      <c r="C58" s="420" t="s">
        <v>56</v>
      </c>
      <c r="D58" s="763">
        <v>0.17</v>
      </c>
      <c r="E58" s="763">
        <v>0.15</v>
      </c>
      <c r="F58" s="763">
        <v>0.15</v>
      </c>
      <c r="G58" s="763">
        <v>0.15</v>
      </c>
      <c r="H58" s="764">
        <v>0.15</v>
      </c>
    </row>
    <row r="59" spans="1:24" x14ac:dyDescent="0.2">
      <c r="B59" s="176"/>
      <c r="C59" s="420" t="s">
        <v>59</v>
      </c>
      <c r="D59" s="763">
        <v>0.17</v>
      </c>
      <c r="E59" s="763">
        <v>0.17</v>
      </c>
      <c r="F59" s="763">
        <v>0.2</v>
      </c>
      <c r="G59" s="763">
        <v>0.2</v>
      </c>
      <c r="H59" s="764">
        <v>0.25</v>
      </c>
    </row>
    <row r="60" spans="1:24" x14ac:dyDescent="0.2">
      <c r="B60" s="176"/>
      <c r="C60" s="420" t="s">
        <v>61</v>
      </c>
      <c r="D60" s="763">
        <v>0.17</v>
      </c>
      <c r="E60" s="763">
        <v>0.21</v>
      </c>
      <c r="F60" s="763">
        <v>0.35</v>
      </c>
      <c r="G60" s="763">
        <v>0.35</v>
      </c>
      <c r="H60" s="764">
        <v>0.35</v>
      </c>
    </row>
    <row r="61" spans="1:24" x14ac:dyDescent="0.2">
      <c r="B61" s="176"/>
      <c r="C61" s="126" t="s">
        <v>44</v>
      </c>
      <c r="D61" s="767">
        <f ca="1">OFFSET(D57,$P$20,0)</f>
        <v>0.17</v>
      </c>
      <c r="E61" s="767">
        <f ca="1">OFFSET(E57,$P$20,0)</f>
        <v>0.17</v>
      </c>
      <c r="F61" s="767">
        <f ca="1">OFFSET(F57,$P$20,0)</f>
        <v>0.2</v>
      </c>
      <c r="G61" s="767">
        <f ca="1">OFFSET(G57,$P$20,0)</f>
        <v>0.2</v>
      </c>
      <c r="H61" s="768">
        <f ca="1">OFFSET(H57,$P$20,0)</f>
        <v>0.25</v>
      </c>
    </row>
    <row r="62" spans="1:24" x14ac:dyDescent="0.2">
      <c r="B62" s="178"/>
      <c r="C62" s="179"/>
      <c r="D62" s="277"/>
      <c r="E62" s="277"/>
      <c r="F62" s="277"/>
      <c r="G62" s="277"/>
      <c r="H62" s="301"/>
    </row>
    <row r="64" spans="1:24" x14ac:dyDescent="0.2">
      <c r="A64" s="716" t="s">
        <v>609</v>
      </c>
      <c r="B64" s="135" t="s">
        <v>73</v>
      </c>
      <c r="C64" s="284"/>
      <c r="D64" s="284">
        <f>D2</f>
        <v>2020</v>
      </c>
      <c r="E64" s="284">
        <f t="shared" ref="E64:H64" si="7">E2</f>
        <v>2021</v>
      </c>
      <c r="F64" s="284">
        <f t="shared" si="7"/>
        <v>2022</v>
      </c>
      <c r="G64" s="284">
        <f t="shared" si="7"/>
        <v>2023</v>
      </c>
      <c r="H64" s="284">
        <f t="shared" si="7"/>
        <v>2024</v>
      </c>
    </row>
    <row r="65" spans="1:8" x14ac:dyDescent="0.2">
      <c r="B65" s="176"/>
      <c r="C65" s="126" t="s">
        <v>25</v>
      </c>
      <c r="D65" s="384"/>
      <c r="E65" s="384"/>
      <c r="F65" s="384"/>
      <c r="G65" s="384"/>
      <c r="H65" s="585"/>
    </row>
    <row r="66" spans="1:8" x14ac:dyDescent="0.2">
      <c r="B66" s="176"/>
      <c r="C66" s="420" t="s">
        <v>74</v>
      </c>
      <c r="D66" s="763">
        <v>0</v>
      </c>
      <c r="E66" s="763">
        <v>-5.0000000000000001E-3</v>
      </c>
      <c r="F66" s="763">
        <v>-5.0000000000000001E-3</v>
      </c>
      <c r="G66" s="763">
        <v>-5.0000000000000001E-3</v>
      </c>
      <c r="H66" s="764">
        <v>-5.0000000000000001E-3</v>
      </c>
    </row>
    <row r="67" spans="1:8" x14ac:dyDescent="0.2">
      <c r="B67" s="176"/>
      <c r="C67" s="420" t="s">
        <v>58</v>
      </c>
      <c r="D67" s="763">
        <v>0</v>
      </c>
      <c r="E67" s="763">
        <v>0</v>
      </c>
      <c r="F67" s="763">
        <v>0</v>
      </c>
      <c r="G67" s="763">
        <v>0</v>
      </c>
      <c r="H67" s="764">
        <v>0</v>
      </c>
    </row>
    <row r="68" spans="1:8" x14ac:dyDescent="0.2">
      <c r="B68" s="176"/>
      <c r="C68" s="420" t="s">
        <v>60</v>
      </c>
      <c r="D68" s="763">
        <v>0</v>
      </c>
      <c r="E68" s="763">
        <v>0.01</v>
      </c>
      <c r="F68" s="763">
        <v>0.01</v>
      </c>
      <c r="G68" s="763">
        <v>0.01</v>
      </c>
      <c r="H68" s="764">
        <v>0.01</v>
      </c>
    </row>
    <row r="69" spans="1:8" x14ac:dyDescent="0.2">
      <c r="B69" s="176"/>
      <c r="C69" s="126" t="s">
        <v>44</v>
      </c>
      <c r="D69" s="767">
        <f ca="1">OFFSET(D65,$L$20,0)</f>
        <v>0</v>
      </c>
      <c r="E69" s="767">
        <f ca="1">OFFSET(E65,$L$20,0)</f>
        <v>0</v>
      </c>
      <c r="F69" s="767">
        <f ca="1">OFFSET(F65,$L$20,0)</f>
        <v>0</v>
      </c>
      <c r="G69" s="767">
        <f ca="1">OFFSET(G65,$L$20,0)</f>
        <v>0</v>
      </c>
      <c r="H69" s="768">
        <f ca="1">OFFSET(H65,$L$20,0)</f>
        <v>0</v>
      </c>
    </row>
    <row r="70" spans="1:8" x14ac:dyDescent="0.2">
      <c r="B70" s="178"/>
      <c r="C70" s="179"/>
      <c r="D70" s="277"/>
      <c r="E70" s="277"/>
      <c r="F70" s="277"/>
      <c r="G70" s="277"/>
      <c r="H70" s="301"/>
    </row>
    <row r="75" spans="1:8" x14ac:dyDescent="0.2">
      <c r="A75" s="716" t="s">
        <v>609</v>
      </c>
    </row>
  </sheetData>
  <dataValidations count="1">
    <dataValidation type="list" allowBlank="1" showInputMessage="1" showErrorMessage="1" sqref="L5 L20 L10 L15 P20:Q20 P5:Q5 P10:Q10 P15:Q15" xr:uid="{00000000-0002-0000-0100-000000000000}">
      <formula1>$J$4:$J$6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Z62"/>
  <sheetViews>
    <sheetView showGridLines="0" workbookViewId="0">
      <selection activeCell="E36" sqref="E36"/>
    </sheetView>
  </sheetViews>
  <sheetFormatPr baseColWidth="10" defaultColWidth="8.83203125" defaultRowHeight="15" x14ac:dyDescent="0.2"/>
  <cols>
    <col min="1" max="1" width="4.83203125" style="716" customWidth="1"/>
    <col min="2" max="2" width="28.1640625" customWidth="1"/>
    <col min="3" max="4" width="15.83203125" customWidth="1"/>
    <col min="5" max="5" width="25.6640625" customWidth="1"/>
    <col min="6" max="6" width="16.83203125" customWidth="1"/>
    <col min="7" max="7" width="4.1640625" customWidth="1"/>
    <col min="8" max="8" width="25.5" customWidth="1"/>
    <col min="9" max="12" width="12.6640625" customWidth="1"/>
    <col min="13" max="13" width="17.6640625" customWidth="1"/>
    <col min="14" max="14" width="12.6640625" customWidth="1"/>
    <col min="15" max="15" width="13" customWidth="1"/>
    <col min="16" max="16" width="13.83203125" customWidth="1"/>
    <col min="17" max="24" width="14.33203125" customWidth="1"/>
  </cols>
  <sheetData>
    <row r="3" spans="1:8" x14ac:dyDescent="0.2">
      <c r="A3" s="716" t="s">
        <v>609</v>
      </c>
      <c r="B3" s="749" t="s">
        <v>82</v>
      </c>
      <c r="C3" s="750"/>
      <c r="H3" s="753"/>
    </row>
    <row r="4" spans="1:8" x14ac:dyDescent="0.2">
      <c r="B4" s="745" t="s">
        <v>75</v>
      </c>
      <c r="C4" s="769">
        <v>3148.02</v>
      </c>
      <c r="E4" s="753"/>
    </row>
    <row r="5" spans="1:8" x14ac:dyDescent="0.2">
      <c r="B5" s="745" t="s">
        <v>76</v>
      </c>
      <c r="C5" s="775">
        <f>'Operating Model'!R32</f>
        <v>508</v>
      </c>
    </row>
    <row r="6" spans="1:8" x14ac:dyDescent="0.2">
      <c r="B6" s="745" t="s">
        <v>77</v>
      </c>
      <c r="C6" s="770">
        <f>C5*C4</f>
        <v>1599194.16</v>
      </c>
    </row>
    <row r="7" spans="1:8" x14ac:dyDescent="0.2">
      <c r="B7" s="745"/>
      <c r="C7" s="746"/>
    </row>
    <row r="8" spans="1:8" x14ac:dyDescent="0.2">
      <c r="B8" s="745" t="s">
        <v>78</v>
      </c>
      <c r="C8" s="771">
        <f>C31</f>
        <v>7.4391438512043842E-2</v>
      </c>
    </row>
    <row r="9" spans="1:8" x14ac:dyDescent="0.2">
      <c r="B9" s="745" t="s">
        <v>79</v>
      </c>
      <c r="C9" s="772">
        <f>C41</f>
        <v>1.0586000000000002E-2</v>
      </c>
    </row>
    <row r="10" spans="1:8" x14ac:dyDescent="0.2">
      <c r="B10" s="745"/>
      <c r="C10" s="747"/>
    </row>
    <row r="11" spans="1:8" x14ac:dyDescent="0.2">
      <c r="B11" s="745" t="s">
        <v>80</v>
      </c>
      <c r="C11" s="773">
        <f>C45/(C6+C45)</f>
        <v>4.4456012338218519E-2</v>
      </c>
    </row>
    <row r="12" spans="1:8" x14ac:dyDescent="0.2">
      <c r="B12" s="745" t="s">
        <v>81</v>
      </c>
      <c r="C12" s="773">
        <f>C6/(C45+C6)</f>
        <v>0.9555439876617815</v>
      </c>
    </row>
    <row r="13" spans="1:8" x14ac:dyDescent="0.2">
      <c r="B13" s="745"/>
      <c r="C13" s="746"/>
    </row>
    <row r="14" spans="1:8" x14ac:dyDescent="0.2">
      <c r="B14" s="745"/>
      <c r="C14" s="746"/>
    </row>
    <row r="15" spans="1:8" x14ac:dyDescent="0.2">
      <c r="A15" s="729"/>
      <c r="B15" s="744" t="s">
        <v>82</v>
      </c>
      <c r="C15" s="774">
        <f>(C8*C12)+(C11*C9)</f>
        <v>7.1554903150306992E-2</v>
      </c>
    </row>
    <row r="16" spans="1:8" x14ac:dyDescent="0.2">
      <c r="A16" s="729"/>
    </row>
    <row r="17" spans="1:26" ht="52.5" customHeight="1" x14ac:dyDescent="0.2">
      <c r="A17" s="716" t="s">
        <v>609</v>
      </c>
      <c r="B17" s="506" t="s">
        <v>83</v>
      </c>
      <c r="C17" s="507" t="s">
        <v>2</v>
      </c>
      <c r="D17" s="507" t="s">
        <v>84</v>
      </c>
      <c r="E17" s="507" t="s">
        <v>85</v>
      </c>
      <c r="F17" s="508" t="s">
        <v>86</v>
      </c>
      <c r="H17" s="503" t="s">
        <v>87</v>
      </c>
      <c r="I17" s="504" t="s">
        <v>88</v>
      </c>
      <c r="J17" s="504" t="s">
        <v>89</v>
      </c>
      <c r="K17" s="504" t="s">
        <v>2</v>
      </c>
      <c r="L17" s="504" t="s">
        <v>90</v>
      </c>
      <c r="M17" s="504" t="s">
        <v>91</v>
      </c>
      <c r="N17" s="504" t="s">
        <v>84</v>
      </c>
      <c r="O17" s="505" t="s">
        <v>92</v>
      </c>
      <c r="T17" s="121"/>
      <c r="U17" s="121"/>
      <c r="V17" s="121"/>
      <c r="W17" s="121"/>
      <c r="X17" s="121"/>
    </row>
    <row r="18" spans="1:26" x14ac:dyDescent="0.2">
      <c r="B18" s="130" t="s">
        <v>93</v>
      </c>
      <c r="C18" s="790">
        <f>' Segments'!H59</f>
        <v>193636</v>
      </c>
      <c r="D18" s="785">
        <f>C18/$C$23</f>
        <v>0.69027028183172801</v>
      </c>
      <c r="E18" s="784">
        <v>5.2299999999999999E-2</v>
      </c>
      <c r="F18" s="788">
        <f>E18*D18</f>
        <v>3.6101135739799374E-2</v>
      </c>
      <c r="H18" s="173" t="s">
        <v>94</v>
      </c>
      <c r="I18" s="174" t="s">
        <v>95</v>
      </c>
      <c r="J18" s="791">
        <v>1.23</v>
      </c>
      <c r="K18" s="802">
        <f>Prime!H9</f>
        <v>148352.85714285713</v>
      </c>
      <c r="L18" s="793">
        <v>3.42</v>
      </c>
      <c r="M18" s="795">
        <f>L18*K18</f>
        <v>507366.77142857137</v>
      </c>
      <c r="N18" s="796">
        <f>M18/$M$23</f>
        <v>0.46275624564251561</v>
      </c>
      <c r="O18" s="797">
        <f>N18*J18</f>
        <v>0.56919018214029415</v>
      </c>
      <c r="T18" s="121"/>
      <c r="U18" s="121"/>
      <c r="V18" s="121"/>
      <c r="W18" s="121"/>
      <c r="X18" s="121"/>
      <c r="Y18" s="121"/>
      <c r="Z18" s="492"/>
    </row>
    <row r="19" spans="1:26" x14ac:dyDescent="0.2">
      <c r="B19" s="130" t="s">
        <v>96</v>
      </c>
      <c r="C19" s="790">
        <f>' Segments'!H60</f>
        <v>22232</v>
      </c>
      <c r="D19" s="785">
        <f>C19/$C$23</f>
        <v>7.9252251160336795E-2</v>
      </c>
      <c r="E19" s="784">
        <v>5.2299999999999999E-2</v>
      </c>
      <c r="F19" s="788">
        <f>E19*D19</f>
        <v>4.1448927356856147E-3</v>
      </c>
      <c r="H19" s="176" t="s">
        <v>97</v>
      </c>
      <c r="I19" t="s">
        <v>51</v>
      </c>
      <c r="J19" s="792">
        <v>1.2</v>
      </c>
      <c r="K19" s="803">
        <f>AWS!H3</f>
        <v>35026</v>
      </c>
      <c r="L19" s="794">
        <v>8.77</v>
      </c>
      <c r="M19" s="491">
        <f>L19*K19</f>
        <v>307178.01999999996</v>
      </c>
      <c r="N19" s="798">
        <f>M19/$M$23</f>
        <v>0.28016920950274266</v>
      </c>
      <c r="O19" s="799">
        <f>N19*J19</f>
        <v>0.33620305140329115</v>
      </c>
      <c r="T19" s="121"/>
      <c r="U19" s="121"/>
      <c r="V19" s="121"/>
      <c r="W19" s="121"/>
      <c r="X19" s="121"/>
    </row>
    <row r="20" spans="1:26" x14ac:dyDescent="0.2">
      <c r="B20" s="130" t="s">
        <v>98</v>
      </c>
      <c r="C20" s="790">
        <f>' Segments'!H61</f>
        <v>17527</v>
      </c>
      <c r="D20" s="785">
        <f>C20/$C$23</f>
        <v>6.2479948096762467E-2</v>
      </c>
      <c r="E20" s="784">
        <v>5.96E-2</v>
      </c>
      <c r="F20" s="788">
        <f>E20*D20</f>
        <v>3.7238049065670431E-3</v>
      </c>
      <c r="H20" s="176" t="s">
        <v>94</v>
      </c>
      <c r="I20" t="s">
        <v>48</v>
      </c>
      <c r="J20" s="792">
        <v>1.23</v>
      </c>
      <c r="K20" s="803">
        <f>Retail!H5</f>
        <v>79951.14285714287</v>
      </c>
      <c r="L20" s="794">
        <v>3.42</v>
      </c>
      <c r="M20" s="491">
        <f>L20*K20</f>
        <v>273432.90857142862</v>
      </c>
      <c r="N20" s="798">
        <f>M20/$M$23</f>
        <v>0.24939115710978563</v>
      </c>
      <c r="O20" s="799">
        <f>N20*J20</f>
        <v>0.30675112324503634</v>
      </c>
      <c r="T20" s="121"/>
      <c r="U20" s="121"/>
      <c r="V20" s="121"/>
      <c r="W20" s="121"/>
      <c r="X20" s="121"/>
    </row>
    <row r="21" spans="1:26" x14ac:dyDescent="0.2">
      <c r="B21" s="130" t="s">
        <v>99</v>
      </c>
      <c r="C21" s="790">
        <f>' Segments'!H62</f>
        <v>16002</v>
      </c>
      <c r="D21" s="785">
        <f>C21/$C$23</f>
        <v>5.7043654330141663E-2</v>
      </c>
      <c r="E21" s="784">
        <v>6.2600000000000003E-2</v>
      </c>
      <c r="F21" s="788">
        <f>E21*D21</f>
        <v>3.5709327610668681E-3</v>
      </c>
      <c r="H21" s="176" t="s">
        <v>100</v>
      </c>
      <c r="I21" t="s">
        <v>101</v>
      </c>
      <c r="J21" s="792">
        <v>0.59</v>
      </c>
      <c r="K21" s="803">
        <f>Retail!H6</f>
        <v>17192</v>
      </c>
      <c r="L21" s="794">
        <v>0.49</v>
      </c>
      <c r="M21" s="491">
        <f>L21*K21</f>
        <v>8424.08</v>
      </c>
      <c r="N21" s="798">
        <f>M21/$M$23</f>
        <v>7.6833877449560507E-3</v>
      </c>
      <c r="O21" s="799">
        <f>N21*J21</f>
        <v>4.5331987695240699E-3</v>
      </c>
    </row>
    <row r="22" spans="1:26" x14ac:dyDescent="0.2">
      <c r="B22" s="130" t="s">
        <v>102</v>
      </c>
      <c r="C22" s="790">
        <f>' Segments'!H63</f>
        <v>31125</v>
      </c>
      <c r="D22" s="785">
        <f>C22/$C$23</f>
        <v>0.11095386458103108</v>
      </c>
      <c r="E22" s="784">
        <v>7.0000000000000007E-2</v>
      </c>
      <c r="F22" s="788">
        <f>E22*D22</f>
        <v>7.7667705206721765E-3</v>
      </c>
      <c r="H22" s="178"/>
      <c r="I22" s="179"/>
      <c r="J22" s="179"/>
      <c r="K22" s="179"/>
      <c r="L22" s="179"/>
      <c r="M22" s="179"/>
      <c r="N22" s="179"/>
      <c r="O22" s="180"/>
      <c r="R22" s="492"/>
    </row>
    <row r="23" spans="1:26" x14ac:dyDescent="0.2">
      <c r="B23" s="500" t="s">
        <v>103</v>
      </c>
      <c r="C23" s="787">
        <f>SUM(C18:C22)</f>
        <v>280522</v>
      </c>
      <c r="D23" s="501"/>
      <c r="E23" s="501"/>
      <c r="F23" s="789">
        <f>SUM(F18:F22)</f>
        <v>5.5307536663791075E-2</v>
      </c>
      <c r="H23" s="209" t="s">
        <v>103</v>
      </c>
      <c r="I23" s="139"/>
      <c r="J23" s="139"/>
      <c r="K23" s="800">
        <f>SUM(K18:K21)</f>
        <v>280522</v>
      </c>
      <c r="L23" s="139"/>
      <c r="M23" s="800">
        <f>SUM(M18:M21)</f>
        <v>1096401.78</v>
      </c>
      <c r="N23" s="139"/>
      <c r="O23" s="801">
        <f>SUM(O18:O21)</f>
        <v>1.2166775555581457</v>
      </c>
    </row>
    <row r="24" spans="1:26" x14ac:dyDescent="0.2">
      <c r="B24" s="739"/>
      <c r="C24" s="740"/>
      <c r="D24" s="741"/>
      <c r="E24" s="741"/>
      <c r="F24" s="742"/>
      <c r="H24" s="741"/>
      <c r="I24" s="741"/>
      <c r="J24" s="741"/>
      <c r="K24" s="740"/>
      <c r="L24" s="741"/>
      <c r="M24" s="740"/>
      <c r="N24" s="741"/>
      <c r="O24" s="743"/>
    </row>
    <row r="25" spans="1:26" x14ac:dyDescent="0.2">
      <c r="B25" t="s">
        <v>610</v>
      </c>
    </row>
    <row r="26" spans="1:26" x14ac:dyDescent="0.2">
      <c r="A26" s="716" t="s">
        <v>609</v>
      </c>
      <c r="B26" s="749" t="s">
        <v>78</v>
      </c>
      <c r="C26" s="750"/>
    </row>
    <row r="27" spans="1:26" x14ac:dyDescent="0.2">
      <c r="B27" s="745" t="s">
        <v>104</v>
      </c>
      <c r="C27" s="772">
        <f>F23</f>
        <v>5.5307536663791075E-2</v>
      </c>
      <c r="R27" s="492"/>
      <c r="S27" s="492"/>
      <c r="T27" s="492"/>
      <c r="U27" s="492"/>
      <c r="V27" s="492"/>
      <c r="W27" s="493"/>
    </row>
    <row r="28" spans="1:26" x14ac:dyDescent="0.2">
      <c r="B28" s="745" t="s">
        <v>105</v>
      </c>
      <c r="C28" s="776">
        <f>O23</f>
        <v>1.2166775555581457</v>
      </c>
      <c r="R28" s="492"/>
    </row>
    <row r="29" spans="1:26" x14ac:dyDescent="0.2">
      <c r="B29" s="745" t="s">
        <v>106</v>
      </c>
      <c r="C29" s="772">
        <f>C38</f>
        <v>7.1000000000000004E-3</v>
      </c>
    </row>
    <row r="30" spans="1:26" x14ac:dyDescent="0.2">
      <c r="B30" s="745"/>
      <c r="C30" s="746"/>
      <c r="R30" s="492"/>
    </row>
    <row r="31" spans="1:26" x14ac:dyDescent="0.2">
      <c r="B31" s="744" t="s">
        <v>107</v>
      </c>
      <c r="C31" s="774">
        <f>C29+(C28*C27)</f>
        <v>7.4391438512043842E-2</v>
      </c>
    </row>
    <row r="32" spans="1:26" x14ac:dyDescent="0.2">
      <c r="D32" s="489"/>
      <c r="R32" s="124"/>
    </row>
    <row r="33" spans="1:18" x14ac:dyDescent="0.2">
      <c r="D33" s="489"/>
      <c r="J33" s="145"/>
      <c r="K33" s="145"/>
      <c r="L33" s="145"/>
      <c r="M33" s="145"/>
      <c r="N33" s="145"/>
      <c r="O33" s="145"/>
      <c r="P33" s="145"/>
      <c r="Q33" s="145"/>
      <c r="R33" s="124"/>
    </row>
    <row r="34" spans="1:18" x14ac:dyDescent="0.2">
      <c r="A34" s="716" t="s">
        <v>609</v>
      </c>
      <c r="B34" s="749" t="s">
        <v>79</v>
      </c>
      <c r="C34" s="750"/>
      <c r="P34" s="145"/>
      <c r="Q34" s="145"/>
    </row>
    <row r="35" spans="1:18" x14ac:dyDescent="0.2">
      <c r="B35" s="745" t="s">
        <v>108</v>
      </c>
      <c r="C35" s="781">
        <f>'Operating Model'!P16/'Operating Model'!P17</f>
        <v>9.0881249999999998</v>
      </c>
      <c r="P35" s="573"/>
      <c r="Q35" s="145"/>
    </row>
    <row r="36" spans="1:18" x14ac:dyDescent="0.2">
      <c r="B36" s="745" t="s">
        <v>109</v>
      </c>
      <c r="C36" s="751" t="s">
        <v>110</v>
      </c>
      <c r="P36" s="576"/>
      <c r="Q36" s="145"/>
    </row>
    <row r="37" spans="1:18" x14ac:dyDescent="0.2">
      <c r="B37" s="745" t="s">
        <v>111</v>
      </c>
      <c r="C37" s="777">
        <v>6.3E-3</v>
      </c>
      <c r="P37" s="576"/>
      <c r="Q37" s="145"/>
    </row>
    <row r="38" spans="1:18" x14ac:dyDescent="0.2">
      <c r="B38" s="745" t="s">
        <v>112</v>
      </c>
      <c r="C38" s="778">
        <v>7.1000000000000004E-3</v>
      </c>
      <c r="P38" s="576"/>
      <c r="Q38" s="145"/>
    </row>
    <row r="39" spans="1:18" x14ac:dyDescent="0.2">
      <c r="B39" s="745"/>
      <c r="C39" s="746"/>
      <c r="J39" s="145"/>
      <c r="K39" s="167"/>
      <c r="L39" s="574"/>
      <c r="M39" s="575"/>
      <c r="N39" s="578"/>
      <c r="O39" s="577"/>
      <c r="P39" s="576"/>
      <c r="Q39" s="145"/>
    </row>
    <row r="40" spans="1:18" x14ac:dyDescent="0.2">
      <c r="B40" s="745" t="s">
        <v>113</v>
      </c>
      <c r="C40" s="779">
        <f>C37+C38</f>
        <v>1.34E-2</v>
      </c>
      <c r="J40" s="145"/>
      <c r="K40" s="167"/>
      <c r="L40" s="574"/>
      <c r="M40" s="575"/>
      <c r="N40" s="578"/>
      <c r="O40" s="577"/>
      <c r="P40" s="576"/>
      <c r="Q40" s="145"/>
    </row>
    <row r="41" spans="1:18" x14ac:dyDescent="0.2">
      <c r="B41" s="752" t="s">
        <v>114</v>
      </c>
      <c r="C41" s="780">
        <f>C40*(1-0.21)</f>
        <v>1.0586000000000002E-2</v>
      </c>
      <c r="J41" s="145"/>
      <c r="K41" s="167"/>
      <c r="L41" s="574"/>
      <c r="M41" s="575"/>
      <c r="N41" s="578"/>
      <c r="O41" s="577"/>
      <c r="P41" s="576"/>
      <c r="Q41" s="145"/>
    </row>
    <row r="42" spans="1:18" x14ac:dyDescent="0.2">
      <c r="E42" s="490"/>
      <c r="J42" s="145"/>
      <c r="K42" s="167"/>
      <c r="L42" s="574"/>
      <c r="M42" s="575"/>
      <c r="N42" s="578"/>
      <c r="O42" s="577"/>
      <c r="P42" s="576"/>
      <c r="Q42" s="145"/>
    </row>
    <row r="43" spans="1:18" x14ac:dyDescent="0.2">
      <c r="A43" s="716" t="s">
        <v>609</v>
      </c>
      <c r="B43" s="587" t="s">
        <v>115</v>
      </c>
      <c r="C43" s="586"/>
      <c r="E43" s="587" t="s">
        <v>116</v>
      </c>
      <c r="F43" s="586"/>
      <c r="H43" s="588" t="s">
        <v>117</v>
      </c>
      <c r="I43" s="589">
        <v>1</v>
      </c>
      <c r="J43" s="589">
        <v>2</v>
      </c>
      <c r="K43" s="589">
        <v>3</v>
      </c>
      <c r="L43" s="589">
        <v>4</v>
      </c>
      <c r="M43" s="589">
        <v>5</v>
      </c>
      <c r="N43" s="590" t="s">
        <v>118</v>
      </c>
      <c r="P43" s="576"/>
      <c r="Q43" s="145"/>
    </row>
    <row r="44" spans="1:18" x14ac:dyDescent="0.2">
      <c r="B44" s="173" t="s">
        <v>119</v>
      </c>
      <c r="C44" s="782">
        <f>SUM(I45:O45)</f>
        <v>36201.384160381444</v>
      </c>
      <c r="E44" s="173" t="s">
        <v>120</v>
      </c>
      <c r="F44" s="804">
        <v>15.8</v>
      </c>
      <c r="H44" s="176" t="s">
        <v>121</v>
      </c>
      <c r="I44" s="806">
        <v>2070</v>
      </c>
      <c r="J44" s="806">
        <v>4313</v>
      </c>
      <c r="K44" s="806">
        <v>3884</v>
      </c>
      <c r="L44" s="806">
        <v>3508</v>
      </c>
      <c r="M44" s="806">
        <v>3193</v>
      </c>
      <c r="N44" s="807">
        <v>19080</v>
      </c>
      <c r="P44" s="576"/>
      <c r="Q44" s="145"/>
    </row>
    <row r="45" spans="1:18" x14ac:dyDescent="0.2">
      <c r="B45" s="209" t="s">
        <v>122</v>
      </c>
      <c r="C45" s="783">
        <f>C44+F45</f>
        <v>74401.384160381451</v>
      </c>
      <c r="E45" s="178" t="s">
        <v>123</v>
      </c>
      <c r="F45" s="805">
        <v>38200</v>
      </c>
      <c r="H45" s="178" t="s">
        <v>124</v>
      </c>
      <c r="I45" s="808">
        <f>I44/(1+$C$40)^I43</f>
        <v>2042.6287744227352</v>
      </c>
      <c r="J45" s="808">
        <f>J44/(1+$C$40)^J43</f>
        <v>4199.6941010198871</v>
      </c>
      <c r="K45" s="808">
        <f>K44/(1+$C$40)^K43</f>
        <v>3731.9560569475543</v>
      </c>
      <c r="L45" s="808">
        <f>L44/(1+$C$40)^L43</f>
        <v>3326.1052279912656</v>
      </c>
      <c r="M45" s="808">
        <f>(M43+N44)/(1+$C$34)^F46</f>
        <v>19085</v>
      </c>
      <c r="N45" s="809">
        <f>N44/5</f>
        <v>3816</v>
      </c>
      <c r="O45" s="145" t="s">
        <v>125</v>
      </c>
      <c r="Q45" s="145"/>
    </row>
    <row r="46" spans="1:18" x14ac:dyDescent="0.2">
      <c r="P46" s="576"/>
      <c r="Q46" s="145"/>
    </row>
    <row r="47" spans="1:18" x14ac:dyDescent="0.2">
      <c r="B47" s="384"/>
      <c r="J47" s="145"/>
      <c r="K47" s="167"/>
      <c r="L47" s="574"/>
      <c r="M47" s="575"/>
      <c r="N47" s="578"/>
      <c r="O47" s="577"/>
      <c r="P47" s="576"/>
      <c r="Q47" s="145"/>
    </row>
    <row r="48" spans="1:18" x14ac:dyDescent="0.2">
      <c r="B48" s="384"/>
      <c r="K48" s="167"/>
      <c r="L48" s="574"/>
      <c r="M48" s="575"/>
      <c r="N48" s="578"/>
      <c r="O48" s="577"/>
      <c r="P48" s="576"/>
      <c r="Q48" s="145"/>
    </row>
    <row r="49" spans="3:17" x14ac:dyDescent="0.2">
      <c r="J49" s="145"/>
      <c r="K49" s="167"/>
      <c r="L49" s="574"/>
      <c r="M49" s="575"/>
      <c r="N49" s="578"/>
      <c r="O49" s="577"/>
      <c r="P49" s="576"/>
      <c r="Q49" s="145"/>
    </row>
    <row r="50" spans="3:17" x14ac:dyDescent="0.2">
      <c r="J50" s="145"/>
      <c r="K50" s="167"/>
      <c r="L50" s="574"/>
      <c r="M50" s="575"/>
      <c r="N50" s="578"/>
      <c r="O50" s="577"/>
      <c r="P50" s="576"/>
      <c r="Q50" s="145"/>
    </row>
    <row r="51" spans="3:17" x14ac:dyDescent="0.2">
      <c r="J51" s="145"/>
      <c r="K51" s="579"/>
      <c r="L51" s="574"/>
      <c r="M51" s="145"/>
      <c r="N51" s="578"/>
      <c r="O51" s="145"/>
      <c r="P51" s="145"/>
      <c r="Q51" s="145"/>
    </row>
    <row r="52" spans="3:17" x14ac:dyDescent="0.2">
      <c r="C52" s="492"/>
      <c r="J52" s="145"/>
      <c r="K52" s="579"/>
      <c r="L52" s="574"/>
      <c r="M52" s="145"/>
      <c r="N52" s="145"/>
      <c r="O52" s="145"/>
      <c r="P52" s="145"/>
      <c r="Q52" s="145"/>
    </row>
    <row r="53" spans="3:17" x14ac:dyDescent="0.2">
      <c r="C53" s="124"/>
      <c r="J53" s="145"/>
      <c r="K53" s="145"/>
      <c r="L53" s="145"/>
      <c r="M53" s="145"/>
      <c r="N53" s="575"/>
      <c r="O53" s="145"/>
      <c r="P53" s="145"/>
      <c r="Q53" s="145"/>
    </row>
    <row r="54" spans="3:17" x14ac:dyDescent="0.2">
      <c r="C54" s="124"/>
      <c r="J54" s="145"/>
      <c r="K54" s="155"/>
      <c r="L54" s="580"/>
      <c r="M54" s="145"/>
      <c r="N54" s="145"/>
      <c r="O54" s="145"/>
      <c r="P54" s="145"/>
      <c r="Q54" s="145"/>
    </row>
    <row r="55" spans="3:17" x14ac:dyDescent="0.2">
      <c r="J55" s="145"/>
      <c r="K55" s="145"/>
      <c r="L55" s="145"/>
      <c r="M55" s="145"/>
      <c r="N55" s="145"/>
      <c r="O55" s="145"/>
      <c r="P55" s="145"/>
      <c r="Q55" s="145"/>
    </row>
    <row r="56" spans="3:17" x14ac:dyDescent="0.2">
      <c r="J56" s="145"/>
      <c r="K56" s="155"/>
      <c r="L56" s="581"/>
      <c r="M56" s="145"/>
      <c r="N56" s="145"/>
      <c r="O56" s="145"/>
      <c r="P56" s="145"/>
      <c r="Q56" s="145"/>
    </row>
    <row r="57" spans="3:17" x14ac:dyDescent="0.2">
      <c r="J57" s="145"/>
      <c r="K57" s="582"/>
      <c r="L57" s="574"/>
      <c r="M57" s="145"/>
      <c r="N57" s="145"/>
      <c r="O57" s="145"/>
      <c r="P57" s="145"/>
      <c r="Q57" s="145"/>
    </row>
    <row r="58" spans="3:17" x14ac:dyDescent="0.2">
      <c r="J58" s="145"/>
      <c r="K58" s="582"/>
      <c r="L58" s="576"/>
      <c r="M58" s="145"/>
      <c r="N58" s="145"/>
      <c r="O58" s="145"/>
      <c r="P58" s="145"/>
      <c r="Q58" s="145"/>
    </row>
    <row r="59" spans="3:17" x14ac:dyDescent="0.2">
      <c r="J59" s="145"/>
      <c r="K59" s="145"/>
      <c r="L59" s="145"/>
      <c r="M59" s="145"/>
      <c r="N59" s="145"/>
      <c r="O59" s="145"/>
      <c r="P59" s="145"/>
      <c r="Q59" s="145"/>
    </row>
    <row r="60" spans="3:17" x14ac:dyDescent="0.2">
      <c r="J60" s="145"/>
      <c r="K60" s="155"/>
      <c r="L60" s="583"/>
      <c r="M60" s="145"/>
      <c r="N60" s="145"/>
      <c r="O60" s="145"/>
      <c r="P60" s="145"/>
      <c r="Q60" s="145"/>
    </row>
    <row r="61" spans="3:17" x14ac:dyDescent="0.2">
      <c r="J61" s="145"/>
      <c r="K61" s="155"/>
      <c r="L61" s="584"/>
      <c r="M61" s="145"/>
      <c r="N61" s="145"/>
      <c r="O61" s="145"/>
      <c r="P61" s="145"/>
      <c r="Q61" s="145"/>
    </row>
    <row r="62" spans="3:17" x14ac:dyDescent="0.2">
      <c r="J62" s="145"/>
      <c r="K62" s="145"/>
      <c r="L62" s="145"/>
      <c r="M62" s="145"/>
      <c r="N62" s="145"/>
      <c r="O62" s="145"/>
      <c r="P62" s="145"/>
      <c r="Q62" s="1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32"/>
  <sheetViews>
    <sheetView showGridLines="0" workbookViewId="0">
      <pane ySplit="2" topLeftCell="A3" activePane="bottomLeft" state="frozen"/>
      <selection activeCell="C28" sqref="C28"/>
      <selection pane="bottomLeft" activeCell="L34" sqref="L34"/>
    </sheetView>
  </sheetViews>
  <sheetFormatPr baseColWidth="10" defaultColWidth="8.83203125" defaultRowHeight="15" x14ac:dyDescent="0.2"/>
  <cols>
    <col min="1" max="1" width="4.83203125" style="716" customWidth="1"/>
    <col min="2" max="2" width="28.5" customWidth="1"/>
    <col min="5" max="5" width="13.33203125" customWidth="1"/>
    <col min="6" max="6" width="10.6640625" customWidth="1"/>
    <col min="7" max="7" width="12" customWidth="1"/>
    <col min="8" max="8" width="12.1640625" customWidth="1"/>
    <col min="9" max="9" width="12" customWidth="1"/>
    <col min="10" max="10" width="11.1640625" customWidth="1"/>
    <col min="11" max="15" width="10.5" bestFit="1" customWidth="1"/>
  </cols>
  <sheetData>
    <row r="2" spans="1:15" x14ac:dyDescent="0.2">
      <c r="D2" s="496">
        <v>2013</v>
      </c>
      <c r="E2" s="496">
        <f>D2+1</f>
        <v>2014</v>
      </c>
      <c r="F2" s="496">
        <f t="shared" ref="F2:O2" si="0">E2+1</f>
        <v>2015</v>
      </c>
      <c r="G2" s="496">
        <f t="shared" si="0"/>
        <v>2016</v>
      </c>
      <c r="H2" s="496">
        <f t="shared" si="0"/>
        <v>2017</v>
      </c>
      <c r="I2" s="496">
        <f t="shared" si="0"/>
        <v>2018</v>
      </c>
      <c r="J2" s="496">
        <f t="shared" si="0"/>
        <v>2019</v>
      </c>
      <c r="K2" s="496">
        <f t="shared" si="0"/>
        <v>2020</v>
      </c>
      <c r="L2" s="496">
        <f t="shared" si="0"/>
        <v>2021</v>
      </c>
      <c r="M2" s="496">
        <f t="shared" si="0"/>
        <v>2022</v>
      </c>
      <c r="N2" s="496">
        <f t="shared" si="0"/>
        <v>2023</v>
      </c>
      <c r="O2" s="496">
        <f t="shared" si="0"/>
        <v>2024</v>
      </c>
    </row>
    <row r="3" spans="1:15" x14ac:dyDescent="0.2">
      <c r="D3" s="496"/>
      <c r="E3" s="496"/>
      <c r="F3" s="496"/>
      <c r="G3" s="496"/>
      <c r="H3" s="496"/>
      <c r="I3" s="496"/>
      <c r="J3" s="496"/>
      <c r="K3" s="496"/>
      <c r="L3" s="496"/>
      <c r="M3" s="496"/>
      <c r="N3" s="496"/>
      <c r="O3" s="496"/>
    </row>
    <row r="4" spans="1:15" x14ac:dyDescent="0.2">
      <c r="A4" s="716" t="s">
        <v>609</v>
      </c>
      <c r="B4" s="422" t="s">
        <v>126</v>
      </c>
      <c r="C4" s="423"/>
      <c r="D4" s="423"/>
      <c r="E4" s="423"/>
      <c r="F4" s="423"/>
      <c r="G4" s="423"/>
      <c r="H4" s="423"/>
      <c r="I4" s="423"/>
      <c r="J4" s="423"/>
      <c r="K4" s="423"/>
      <c r="L4" s="423"/>
      <c r="M4" s="423"/>
      <c r="N4" s="423"/>
      <c r="O4" s="424"/>
    </row>
    <row r="5" spans="1:15" s="121" customFormat="1" x14ac:dyDescent="0.2">
      <c r="A5" s="730"/>
      <c r="B5" s="524"/>
      <c r="K5" s="226"/>
      <c r="L5" s="197"/>
      <c r="M5" s="197"/>
      <c r="N5" s="197"/>
      <c r="O5" s="198"/>
    </row>
    <row r="6" spans="1:15" s="121" customFormat="1" x14ac:dyDescent="0.2">
      <c r="A6" s="730"/>
      <c r="B6" s="525" t="s">
        <v>128</v>
      </c>
      <c r="E6" s="803">
        <f>-'Operating Model'!K99</f>
        <v>4893</v>
      </c>
      <c r="F6" s="803">
        <f>-'Operating Model'!L99</f>
        <v>4589</v>
      </c>
      <c r="G6" s="803">
        <f>-'Operating Model'!M99</f>
        <v>6737</v>
      </c>
      <c r="H6" s="803">
        <f>-'Operating Model'!N99</f>
        <v>11955</v>
      </c>
      <c r="I6" s="803">
        <f>-'Operating Model'!O99</f>
        <v>13427</v>
      </c>
      <c r="J6" s="803">
        <f>-'Operating Model'!P99</f>
        <v>16861</v>
      </c>
      <c r="K6" s="828">
        <f>-'Operating Model'!S99</f>
        <v>24263</v>
      </c>
      <c r="L6" s="491">
        <f t="shared" ref="L6:O9" ca="1" si="1">L$18*L23</f>
        <v>29881.42891833324</v>
      </c>
      <c r="M6" s="491">
        <f t="shared" ca="1" si="1"/>
        <v>32112.879845667379</v>
      </c>
      <c r="N6" s="491">
        <f t="shared" ca="1" si="1"/>
        <v>34021.310592067814</v>
      </c>
      <c r="O6" s="815">
        <f t="shared" ca="1" si="1"/>
        <v>34704.69809058946</v>
      </c>
    </row>
    <row r="7" spans="1:15" s="121" customFormat="1" x14ac:dyDescent="0.2">
      <c r="A7" s="730"/>
      <c r="B7" s="525" t="s">
        <v>129</v>
      </c>
      <c r="E7" s="803">
        <f>-'Operating Model'!K98</f>
        <v>0</v>
      </c>
      <c r="F7" s="803">
        <f>-'Operating Model'!L98</f>
        <v>0</v>
      </c>
      <c r="G7" s="803">
        <f>-'Operating Model'!M98</f>
        <v>0</v>
      </c>
      <c r="H7" s="803">
        <f>-'Operating Model'!N98</f>
        <v>-1897</v>
      </c>
      <c r="I7" s="803">
        <f>-'Operating Model'!O98</f>
        <v>-2104</v>
      </c>
      <c r="J7" s="803">
        <f>-'Operating Model'!P98</f>
        <v>-4172</v>
      </c>
      <c r="K7" s="828">
        <f>-'Operating Model'!S98</f>
        <v>-4896</v>
      </c>
      <c r="L7" s="491">
        <f t="shared" ca="1" si="1"/>
        <v>-4268.7755597618907</v>
      </c>
      <c r="M7" s="491">
        <f t="shared" ca="1" si="1"/>
        <v>-4940.443053179597</v>
      </c>
      <c r="N7" s="491">
        <f t="shared" ca="1" si="1"/>
        <v>-5443.4096947308499</v>
      </c>
      <c r="O7" s="815">
        <f t="shared" ca="1" si="1"/>
        <v>-5784.1163484315775</v>
      </c>
    </row>
    <row r="8" spans="1:15" s="121" customFormat="1" x14ac:dyDescent="0.2">
      <c r="A8" s="730"/>
      <c r="B8" s="525" t="s">
        <v>130</v>
      </c>
      <c r="E8" s="827">
        <f>-'Operating Model'!K103</f>
        <v>979</v>
      </c>
      <c r="F8" s="827">
        <f>-'Operating Model'!L103</f>
        <v>795</v>
      </c>
      <c r="G8" s="827">
        <f>-'Operating Model'!M103</f>
        <v>116</v>
      </c>
      <c r="H8" s="827">
        <f>-'Operating Model'!N103</f>
        <v>13972</v>
      </c>
      <c r="I8" s="827">
        <f>-'Operating Model'!O103</f>
        <v>2186</v>
      </c>
      <c r="J8" s="827">
        <f>-'Operating Model'!P103</f>
        <v>2461</v>
      </c>
      <c r="K8" s="828">
        <f>-'Operating Model'!S103</f>
        <v>1386</v>
      </c>
      <c r="L8" s="491">
        <f t="shared" ca="1" si="1"/>
        <v>4268.7755597618907</v>
      </c>
      <c r="M8" s="491">
        <f t="shared" ca="1" si="1"/>
        <v>4940.443053179597</v>
      </c>
      <c r="N8" s="491">
        <f t="shared" ca="1" si="1"/>
        <v>5443.4096947308499</v>
      </c>
      <c r="O8" s="815">
        <f t="shared" ca="1" si="1"/>
        <v>5784.1163484315775</v>
      </c>
    </row>
    <row r="9" spans="1:15" s="121" customFormat="1" x14ac:dyDescent="0.2">
      <c r="A9" s="730"/>
      <c r="B9" s="525" t="s">
        <v>131</v>
      </c>
      <c r="C9"/>
      <c r="D9"/>
      <c r="E9" s="806">
        <v>1285</v>
      </c>
      <c r="F9" s="806">
        <v>2462</v>
      </c>
      <c r="G9" s="806">
        <v>3860</v>
      </c>
      <c r="H9" s="806">
        <v>4799</v>
      </c>
      <c r="I9" s="806">
        <v>7449</v>
      </c>
      <c r="J9" s="806">
        <v>9628</v>
      </c>
      <c r="K9" s="828">
        <f>-'Operating Model'!S110</f>
        <v>10504</v>
      </c>
      <c r="L9" s="491">
        <f t="shared" ca="1" si="1"/>
        <v>11489.190555192712</v>
      </c>
      <c r="M9" s="491">
        <f t="shared" ca="1" si="1"/>
        <v>13296.949176738772</v>
      </c>
      <c r="N9" s="491">
        <f t="shared" ca="1" si="1"/>
        <v>14650.658104928472</v>
      </c>
      <c r="O9" s="815">
        <f t="shared" ca="1" si="1"/>
        <v>15567.652595031872</v>
      </c>
    </row>
    <row r="10" spans="1:15" s="121" customFormat="1" x14ac:dyDescent="0.2">
      <c r="A10" s="730"/>
      <c r="B10" s="188" t="s">
        <v>132</v>
      </c>
      <c r="E10" s="816">
        <f t="shared" ref="E10:O10" si="2">SUM(E6:E9)</f>
        <v>7157</v>
      </c>
      <c r="F10" s="816">
        <f t="shared" si="2"/>
        <v>7846</v>
      </c>
      <c r="G10" s="816">
        <f t="shared" si="2"/>
        <v>10713</v>
      </c>
      <c r="H10" s="816">
        <f t="shared" si="2"/>
        <v>28829</v>
      </c>
      <c r="I10" s="816">
        <f t="shared" si="2"/>
        <v>20958</v>
      </c>
      <c r="J10" s="816">
        <f t="shared" si="2"/>
        <v>24778</v>
      </c>
      <c r="K10" s="817">
        <f t="shared" si="2"/>
        <v>31257</v>
      </c>
      <c r="L10" s="816">
        <f t="shared" ca="1" si="2"/>
        <v>41370.619473525949</v>
      </c>
      <c r="M10" s="816">
        <f t="shared" ca="1" si="2"/>
        <v>45409.829022406149</v>
      </c>
      <c r="N10" s="816">
        <f t="shared" ca="1" si="2"/>
        <v>48671.968696996286</v>
      </c>
      <c r="O10" s="818">
        <f t="shared" ca="1" si="2"/>
        <v>50272.350685621335</v>
      </c>
    </row>
    <row r="11" spans="1:15" s="121" customFormat="1" x14ac:dyDescent="0.2">
      <c r="A11" s="730"/>
      <c r="B11" s="186"/>
      <c r="K11" s="186"/>
      <c r="O11" s="187"/>
    </row>
    <row r="12" spans="1:15" s="121" customFormat="1" x14ac:dyDescent="0.2">
      <c r="A12" s="730"/>
      <c r="B12" s="186" t="s">
        <v>133</v>
      </c>
      <c r="E12" s="803">
        <f>'Operating Model'!K15</f>
        <v>4746</v>
      </c>
      <c r="F12" s="803">
        <f>'Operating Model'!L15</f>
        <v>6281</v>
      </c>
      <c r="G12" s="803">
        <f>'Operating Model'!M15</f>
        <v>8116</v>
      </c>
      <c r="H12" s="803">
        <f>'Operating Model'!N15</f>
        <v>11478</v>
      </c>
      <c r="I12" s="803">
        <f>'Operating Model'!O15</f>
        <v>15341</v>
      </c>
      <c r="J12" s="803">
        <f>'Operating Model'!P15</f>
        <v>21789</v>
      </c>
      <c r="K12" s="828">
        <f ca="1">'Operating Model'!T15</f>
        <v>25466.87661483468</v>
      </c>
      <c r="L12" s="803">
        <f ca="1">'Operating Model'!U15</f>
        <v>30948.622808273707</v>
      </c>
      <c r="M12" s="803">
        <f ca="1">'Operating Model'!V15</f>
        <v>37053.322898846978</v>
      </c>
      <c r="N12" s="803">
        <f ca="1">'Operating Model'!W15</f>
        <v>42186.425134164092</v>
      </c>
      <c r="O12" s="829">
        <f ca="1">'Operating Model'!X15</f>
        <v>46272.93078745262</v>
      </c>
    </row>
    <row r="13" spans="1:15" s="121" customFormat="1" x14ac:dyDescent="0.2">
      <c r="A13" s="730"/>
      <c r="B13" s="186" t="s">
        <v>134</v>
      </c>
      <c r="E13" s="491">
        <f t="shared" ref="E13:J13" si="3">E10</f>
        <v>7157</v>
      </c>
      <c r="F13" s="491">
        <f t="shared" si="3"/>
        <v>7846</v>
      </c>
      <c r="G13" s="491">
        <f t="shared" si="3"/>
        <v>10713</v>
      </c>
      <c r="H13" s="491">
        <f t="shared" si="3"/>
        <v>28829</v>
      </c>
      <c r="I13" s="491">
        <f t="shared" si="3"/>
        <v>20958</v>
      </c>
      <c r="J13" s="491">
        <f t="shared" si="3"/>
        <v>24778</v>
      </c>
      <c r="K13" s="814">
        <f>K10</f>
        <v>31257</v>
      </c>
      <c r="L13" s="491">
        <f t="shared" ref="L13:O13" ca="1" si="4">L10</f>
        <v>41370.619473525949</v>
      </c>
      <c r="M13" s="491">
        <f t="shared" ca="1" si="4"/>
        <v>45409.829022406149</v>
      </c>
      <c r="N13" s="491">
        <f t="shared" ca="1" si="4"/>
        <v>48671.968696996286</v>
      </c>
      <c r="O13" s="815">
        <f t="shared" ca="1" si="4"/>
        <v>50272.350685621335</v>
      </c>
    </row>
    <row r="14" spans="1:15" s="121" customFormat="1" x14ac:dyDescent="0.2">
      <c r="A14" s="730"/>
      <c r="B14" s="526" t="s">
        <v>135</v>
      </c>
      <c r="C14" s="527"/>
      <c r="D14" s="527"/>
      <c r="E14" s="819">
        <f t="shared" ref="E14:O14" si="5">E12/E13</f>
        <v>0.66312700852312423</v>
      </c>
      <c r="F14" s="819">
        <f t="shared" si="5"/>
        <v>0.80053530461381595</v>
      </c>
      <c r="G14" s="819">
        <f t="shared" si="5"/>
        <v>0.75758424344254649</v>
      </c>
      <c r="H14" s="819">
        <f t="shared" si="5"/>
        <v>0.39814076103923135</v>
      </c>
      <c r="I14" s="819">
        <f t="shared" si="5"/>
        <v>0.73198778509399753</v>
      </c>
      <c r="J14" s="819">
        <f t="shared" si="5"/>
        <v>0.87936879489870046</v>
      </c>
      <c r="K14" s="820">
        <f t="shared" ca="1" si="5"/>
        <v>0.8147575459844093</v>
      </c>
      <c r="L14" s="819">
        <f t="shared" ca="1" si="5"/>
        <v>0.74808217044171821</v>
      </c>
      <c r="M14" s="819">
        <f t="shared" ca="1" si="5"/>
        <v>0.81597582938627899</v>
      </c>
      <c r="N14" s="819">
        <f t="shared" ca="1" si="5"/>
        <v>0.8667499232832051</v>
      </c>
      <c r="O14" s="821">
        <f t="shared" ca="1" si="5"/>
        <v>0.92044493954183426</v>
      </c>
    </row>
    <row r="15" spans="1:15" s="121" customFormat="1" x14ac:dyDescent="0.2">
      <c r="A15" s="730"/>
      <c r="B15" s="186"/>
      <c r="E15" s="125"/>
      <c r="F15" s="125"/>
      <c r="G15" s="125"/>
      <c r="H15" s="125"/>
      <c r="I15" s="125"/>
      <c r="J15" s="125"/>
      <c r="K15" s="186"/>
      <c r="O15" s="187"/>
    </row>
    <row r="16" spans="1:15" s="121" customFormat="1" x14ac:dyDescent="0.2">
      <c r="A16" s="730"/>
      <c r="B16" s="188" t="s">
        <v>136</v>
      </c>
      <c r="E16" s="816">
        <f t="shared" ref="E16:O16" si="6">E13-E12</f>
        <v>2411</v>
      </c>
      <c r="F16" s="816">
        <f t="shared" si="6"/>
        <v>1565</v>
      </c>
      <c r="G16" s="816">
        <f t="shared" si="6"/>
        <v>2597</v>
      </c>
      <c r="H16" s="816">
        <f t="shared" si="6"/>
        <v>17351</v>
      </c>
      <c r="I16" s="816">
        <f t="shared" si="6"/>
        <v>5617</v>
      </c>
      <c r="J16" s="816">
        <f t="shared" si="6"/>
        <v>2989</v>
      </c>
      <c r="K16" s="817">
        <f ca="1">K13-K12</f>
        <v>5790.1233851653196</v>
      </c>
      <c r="L16" s="816">
        <f t="shared" ca="1" si="6"/>
        <v>10421.996665252242</v>
      </c>
      <c r="M16" s="816">
        <f t="shared" ca="1" si="6"/>
        <v>8356.5061235591711</v>
      </c>
      <c r="N16" s="816">
        <f t="shared" ca="1" si="6"/>
        <v>6485.5435628321939</v>
      </c>
      <c r="O16" s="818">
        <f t="shared" ca="1" si="6"/>
        <v>3999.419898168715</v>
      </c>
    </row>
    <row r="17" spans="1:15" s="121" customFormat="1" x14ac:dyDescent="0.2">
      <c r="A17" s="730"/>
      <c r="B17" s="186"/>
      <c r="K17" s="186"/>
      <c r="O17" s="187"/>
    </row>
    <row r="18" spans="1:15" s="121" customFormat="1" x14ac:dyDescent="0.2">
      <c r="A18" s="730"/>
      <c r="B18" s="540" t="s">
        <v>37</v>
      </c>
      <c r="E18" s="803">
        <f>'Operating Model'!K9</f>
        <v>88988</v>
      </c>
      <c r="F18" s="803">
        <f>'Operating Model'!L9</f>
        <v>107006</v>
      </c>
      <c r="G18" s="803">
        <f>'Operating Model'!M9</f>
        <v>135987</v>
      </c>
      <c r="H18" s="803">
        <f>'Operating Model'!N9</f>
        <v>177866</v>
      </c>
      <c r="I18" s="803">
        <f>'Operating Model'!O9</f>
        <v>232887</v>
      </c>
      <c r="J18" s="803">
        <f>'Operating Model'!P9</f>
        <v>280522</v>
      </c>
      <c r="K18" s="828">
        <f ca="1">'Operating Model'!T9</f>
        <v>358743.70664425573</v>
      </c>
      <c r="L18" s="803">
        <f ca="1">'Operating Model'!U9</f>
        <v>426877.55597618909</v>
      </c>
      <c r="M18" s="803">
        <f ca="1">'Operating Model'!V9</f>
        <v>494044.30531795969</v>
      </c>
      <c r="N18" s="803">
        <f ca="1">'Operating Model'!W9</f>
        <v>544340.96947308502</v>
      </c>
      <c r="O18" s="829">
        <f ca="1">'Operating Model'!X9</f>
        <v>578411.63484315772</v>
      </c>
    </row>
    <row r="19" spans="1:15" s="121" customFormat="1" x14ac:dyDescent="0.2">
      <c r="A19" s="730"/>
      <c r="B19" s="528"/>
      <c r="C19" s="210"/>
      <c r="D19" s="210"/>
      <c r="E19" s="210"/>
      <c r="F19" s="210"/>
      <c r="G19" s="210"/>
      <c r="H19" s="210"/>
      <c r="I19" s="210"/>
      <c r="J19" s="210"/>
      <c r="K19" s="528"/>
      <c r="L19" s="210"/>
      <c r="M19" s="210"/>
      <c r="N19" s="210"/>
      <c r="O19" s="529"/>
    </row>
    <row r="20" spans="1:15" x14ac:dyDescent="0.2">
      <c r="D20" s="491"/>
      <c r="E20" s="491"/>
      <c r="F20" s="491"/>
      <c r="G20" s="491"/>
      <c r="H20" s="491"/>
      <c r="I20" s="491"/>
      <c r="J20" s="491"/>
      <c r="K20" s="491"/>
      <c r="L20" s="491"/>
      <c r="M20" s="491"/>
      <c r="N20" s="511"/>
    </row>
    <row r="21" spans="1:15" x14ac:dyDescent="0.2">
      <c r="A21" s="716" t="s">
        <v>609</v>
      </c>
      <c r="B21" s="531" t="s">
        <v>138</v>
      </c>
      <c r="C21" s="532"/>
      <c r="D21" s="533"/>
      <c r="E21" s="533"/>
      <c r="F21" s="533"/>
      <c r="G21" s="533"/>
      <c r="H21" s="533"/>
      <c r="I21" s="533"/>
      <c r="J21" s="533"/>
      <c r="K21" s="533"/>
      <c r="L21" s="533"/>
      <c r="M21" s="533"/>
      <c r="N21" s="534"/>
      <c r="O21" s="535"/>
    </row>
    <row r="22" spans="1:15" x14ac:dyDescent="0.2">
      <c r="B22" s="176"/>
      <c r="D22" s="491"/>
      <c r="E22" s="491"/>
      <c r="F22" s="491"/>
      <c r="G22" s="491"/>
      <c r="H22" s="491"/>
      <c r="I22" s="491"/>
      <c r="J22" s="491"/>
      <c r="K22" s="539"/>
      <c r="L22" s="491"/>
      <c r="M22" s="491"/>
      <c r="N22" s="511"/>
      <c r="O22" s="177"/>
    </row>
    <row r="23" spans="1:15" x14ac:dyDescent="0.2">
      <c r="B23" s="536" t="s">
        <v>128</v>
      </c>
      <c r="C23" s="121"/>
      <c r="D23" s="121"/>
      <c r="E23" s="512">
        <f t="shared" ref="E23:K23" si="7">E6/E18</f>
        <v>5.4984941789904256E-2</v>
      </c>
      <c r="F23" s="512">
        <f t="shared" si="7"/>
        <v>4.2885445675943407E-2</v>
      </c>
      <c r="G23" s="512">
        <f t="shared" si="7"/>
        <v>4.9541500290468943E-2</v>
      </c>
      <c r="H23" s="512">
        <f t="shared" si="7"/>
        <v>6.7213520290555814E-2</v>
      </c>
      <c r="I23" s="512">
        <f t="shared" si="7"/>
        <v>5.7654570671613274E-2</v>
      </c>
      <c r="J23" s="512">
        <f t="shared" si="7"/>
        <v>6.0105802753438235E-2</v>
      </c>
      <c r="K23" s="822">
        <f t="shared" ca="1" si="7"/>
        <v>6.7633242202239208E-2</v>
      </c>
      <c r="L23" s="810">
        <v>7.0000000000000007E-2</v>
      </c>
      <c r="M23" s="810">
        <v>6.5000000000000002E-2</v>
      </c>
      <c r="N23" s="810">
        <v>6.25E-2</v>
      </c>
      <c r="O23" s="811">
        <v>0.06</v>
      </c>
    </row>
    <row r="24" spans="1:15" x14ac:dyDescent="0.2">
      <c r="B24" s="537" t="s">
        <v>129</v>
      </c>
      <c r="E24" s="512">
        <f t="shared" ref="E24:K24" si="8">E7/E18</f>
        <v>0</v>
      </c>
      <c r="F24" s="512">
        <f t="shared" si="8"/>
        <v>0</v>
      </c>
      <c r="G24" s="512">
        <f t="shared" si="8"/>
        <v>0</v>
      </c>
      <c r="H24" s="512">
        <f t="shared" si="8"/>
        <v>-1.0665332328831817E-2</v>
      </c>
      <c r="I24" s="512">
        <f t="shared" si="8"/>
        <v>-9.0344244204270743E-3</v>
      </c>
      <c r="J24" s="512">
        <f t="shared" si="8"/>
        <v>-1.4872273832355395E-2</v>
      </c>
      <c r="K24" s="823">
        <f t="shared" ca="1" si="8"/>
        <v>-1.3647626172450364E-2</v>
      </c>
      <c r="L24" s="812">
        <v>-0.01</v>
      </c>
      <c r="M24" s="812">
        <v>-0.01</v>
      </c>
      <c r="N24" s="812">
        <v>-0.01</v>
      </c>
      <c r="O24" s="813">
        <v>-0.01</v>
      </c>
    </row>
    <row r="25" spans="1:15" x14ac:dyDescent="0.2">
      <c r="B25" s="536" t="s">
        <v>139</v>
      </c>
      <c r="C25" s="121"/>
      <c r="D25" s="121"/>
      <c r="E25" s="512">
        <f t="shared" ref="E25:K25" si="9">E8/E18</f>
        <v>1.1001483346069133E-2</v>
      </c>
      <c r="F25" s="512">
        <f t="shared" si="9"/>
        <v>7.4294899351438235E-3</v>
      </c>
      <c r="G25" s="512">
        <f t="shared" si="9"/>
        <v>8.5302271540661973E-4</v>
      </c>
      <c r="H25" s="512">
        <f t="shared" si="9"/>
        <v>7.8553517816783422E-2</v>
      </c>
      <c r="I25" s="512">
        <f t="shared" si="9"/>
        <v>9.3865265128581666E-3</v>
      </c>
      <c r="J25" s="512">
        <f t="shared" si="9"/>
        <v>8.7729304653467472E-3</v>
      </c>
      <c r="K25" s="823">
        <f t="shared" ca="1" si="9"/>
        <v>3.8634824091127867E-3</v>
      </c>
      <c r="L25" s="812">
        <v>0.01</v>
      </c>
      <c r="M25" s="812">
        <v>0.01</v>
      </c>
      <c r="N25" s="812">
        <v>0.01</v>
      </c>
      <c r="O25" s="813">
        <v>0.01</v>
      </c>
    </row>
    <row r="26" spans="1:15" x14ac:dyDescent="0.2">
      <c r="B26" s="538" t="s">
        <v>131</v>
      </c>
      <c r="C26" s="179"/>
      <c r="D26" s="530"/>
      <c r="E26" s="824">
        <f t="shared" ref="E26:K26" si="10">E9/E18</f>
        <v>1.4440149233604531E-2</v>
      </c>
      <c r="F26" s="824">
        <f t="shared" si="10"/>
        <v>2.3008055623049174E-2</v>
      </c>
      <c r="G26" s="824">
        <f t="shared" si="10"/>
        <v>2.8385066219565106E-2</v>
      </c>
      <c r="H26" s="824">
        <f t="shared" si="10"/>
        <v>2.6980985685853394E-2</v>
      </c>
      <c r="I26" s="824">
        <f t="shared" si="10"/>
        <v>3.1985469347795281E-2</v>
      </c>
      <c r="J26" s="824">
        <f t="shared" si="10"/>
        <v>3.4321728777065616E-2</v>
      </c>
      <c r="K26" s="825">
        <f t="shared" ca="1" si="10"/>
        <v>2.9279956151025046E-2</v>
      </c>
      <c r="L26" s="824">
        <f ca="1">AVERAGE(E26:K26)</f>
        <v>2.6914487291136876E-2</v>
      </c>
      <c r="M26" s="824">
        <f ca="1">L26</f>
        <v>2.6914487291136876E-2</v>
      </c>
      <c r="N26" s="824">
        <f ca="1">M26</f>
        <v>2.6914487291136876E-2</v>
      </c>
      <c r="O26" s="826">
        <f ca="1">N26</f>
        <v>2.6914487291136876E-2</v>
      </c>
    </row>
    <row r="27" spans="1:15" x14ac:dyDescent="0.2">
      <c r="D27" s="452"/>
      <c r="E27" s="452"/>
      <c r="F27" s="452"/>
      <c r="G27" s="452"/>
      <c r="H27" s="452"/>
      <c r="I27" s="452"/>
      <c r="J27" s="452"/>
      <c r="K27" s="452"/>
      <c r="L27" s="452"/>
      <c r="M27" s="452"/>
      <c r="N27" s="510"/>
    </row>
    <row r="28" spans="1:15" x14ac:dyDescent="0.2">
      <c r="D28" s="452"/>
      <c r="E28" s="660"/>
      <c r="F28" s="660"/>
      <c r="G28" s="660"/>
      <c r="H28" s="660"/>
      <c r="I28" s="660"/>
      <c r="J28" s="660"/>
      <c r="K28" s="660"/>
      <c r="L28" s="660"/>
      <c r="M28" s="660"/>
      <c r="N28" s="660"/>
      <c r="O28" s="660"/>
    </row>
    <row r="29" spans="1:15" x14ac:dyDescent="0.2">
      <c r="D29" s="452"/>
      <c r="E29" s="660"/>
      <c r="F29" s="660"/>
      <c r="G29" s="660"/>
      <c r="H29" s="660"/>
      <c r="I29" s="660"/>
      <c r="J29" s="660"/>
      <c r="K29" s="660"/>
      <c r="L29" s="660"/>
      <c r="M29" s="660"/>
      <c r="N29" s="660"/>
      <c r="O29" s="660"/>
    </row>
    <row r="30" spans="1:15" x14ac:dyDescent="0.2">
      <c r="D30" s="452"/>
      <c r="E30" s="452"/>
      <c r="F30" s="452"/>
      <c r="G30" s="452"/>
      <c r="H30" s="452"/>
      <c r="I30" s="452"/>
      <c r="J30" s="452"/>
      <c r="K30" s="452"/>
      <c r="L30" s="452"/>
      <c r="M30" s="452"/>
      <c r="N30" s="510"/>
    </row>
    <row r="31" spans="1:15" x14ac:dyDescent="0.2">
      <c r="D31" s="510"/>
      <c r="E31" s="510"/>
      <c r="F31" s="510"/>
      <c r="G31" s="510"/>
      <c r="H31" s="510"/>
      <c r="I31" s="510"/>
      <c r="J31" s="510"/>
      <c r="K31" s="510"/>
      <c r="L31" s="510"/>
      <c r="M31" s="510"/>
      <c r="N31" s="510"/>
    </row>
    <row r="32" spans="1:15" x14ac:dyDescent="0.2">
      <c r="D32" s="510"/>
      <c r="E32" s="510"/>
      <c r="F32" s="510"/>
      <c r="G32" s="510"/>
      <c r="H32" s="510"/>
      <c r="I32" s="510"/>
      <c r="J32" s="510"/>
      <c r="K32" s="510"/>
      <c r="L32" s="510"/>
      <c r="M32" s="510"/>
      <c r="N32" s="5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Q22"/>
  <sheetViews>
    <sheetView showGridLines="0" workbookViewId="0">
      <pane ySplit="2" topLeftCell="A3" activePane="bottomLeft" state="frozen"/>
      <selection activeCell="C28" sqref="C28"/>
      <selection pane="bottomLeft" activeCell="N35" sqref="N35"/>
    </sheetView>
  </sheetViews>
  <sheetFormatPr baseColWidth="10" defaultColWidth="8.83203125" defaultRowHeight="15" x14ac:dyDescent="0.2"/>
  <cols>
    <col min="1" max="1" width="4.83203125" style="716" customWidth="1"/>
    <col min="5" max="5" width="9.83203125" customWidth="1"/>
    <col min="6" max="16" width="12.6640625" customWidth="1"/>
  </cols>
  <sheetData>
    <row r="2" spans="1:17" x14ac:dyDescent="0.2">
      <c r="F2" s="496">
        <v>2014</v>
      </c>
      <c r="G2" s="496">
        <f>F2+1</f>
        <v>2015</v>
      </c>
      <c r="H2" s="496">
        <f t="shared" ref="H2:P2" si="0">G2+1</f>
        <v>2016</v>
      </c>
      <c r="I2" s="496">
        <f t="shared" si="0"/>
        <v>2017</v>
      </c>
      <c r="J2" s="496">
        <f t="shared" si="0"/>
        <v>2018</v>
      </c>
      <c r="K2" s="496">
        <f t="shared" si="0"/>
        <v>2019</v>
      </c>
      <c r="L2" s="496">
        <f t="shared" si="0"/>
        <v>2020</v>
      </c>
      <c r="M2" s="496">
        <f t="shared" si="0"/>
        <v>2021</v>
      </c>
      <c r="N2" s="496">
        <f t="shared" si="0"/>
        <v>2022</v>
      </c>
      <c r="O2" s="496">
        <f t="shared" si="0"/>
        <v>2023</v>
      </c>
      <c r="P2" s="496">
        <f t="shared" si="0"/>
        <v>2024</v>
      </c>
    </row>
    <row r="3" spans="1:17" x14ac:dyDescent="0.2"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</row>
    <row r="4" spans="1:17" x14ac:dyDescent="0.2">
      <c r="A4" s="716" t="s">
        <v>609</v>
      </c>
      <c r="B4" s="422" t="s">
        <v>140</v>
      </c>
      <c r="C4" s="423"/>
      <c r="D4" s="567"/>
      <c r="E4" s="567"/>
      <c r="F4" s="567"/>
      <c r="G4" s="567"/>
      <c r="H4" s="567"/>
      <c r="I4" s="567"/>
      <c r="J4" s="567"/>
      <c r="K4" s="567"/>
      <c r="L4" s="567"/>
      <c r="M4" s="567"/>
      <c r="N4" s="567"/>
      <c r="O4" s="567"/>
      <c r="P4" s="509"/>
    </row>
    <row r="5" spans="1:17" s="145" customFormat="1" x14ac:dyDescent="0.2">
      <c r="A5" s="725"/>
      <c r="B5" s="308"/>
      <c r="C5" s="566"/>
      <c r="D5" s="148"/>
      <c r="E5" s="148"/>
      <c r="F5" s="148"/>
      <c r="G5" s="148"/>
      <c r="H5" s="148"/>
      <c r="I5" s="148"/>
      <c r="J5" s="148"/>
      <c r="K5" s="148"/>
      <c r="L5" s="316"/>
      <c r="M5" s="148"/>
      <c r="N5" s="148"/>
      <c r="O5" s="148"/>
      <c r="P5" s="149"/>
    </row>
    <row r="6" spans="1:17" s="145" customFormat="1" x14ac:dyDescent="0.2">
      <c r="A6" s="725"/>
      <c r="B6" s="238" t="s">
        <v>37</v>
      </c>
      <c r="C6"/>
      <c r="D6"/>
      <c r="E6"/>
      <c r="F6" s="836">
        <f>'Operating Model'!K9</f>
        <v>88988</v>
      </c>
      <c r="G6" s="836">
        <f>'Operating Model'!L9</f>
        <v>107006</v>
      </c>
      <c r="H6" s="836">
        <f>'Operating Model'!M9</f>
        <v>135987</v>
      </c>
      <c r="I6" s="836">
        <f>'Operating Model'!N9</f>
        <v>177866</v>
      </c>
      <c r="J6" s="836">
        <f>'Operating Model'!O9</f>
        <v>232887</v>
      </c>
      <c r="K6" s="836">
        <f>'Operating Model'!P9</f>
        <v>280522</v>
      </c>
      <c r="L6" s="837">
        <f ca="1">'Operating Model'!T9</f>
        <v>358743.70664425573</v>
      </c>
      <c r="M6" s="836">
        <f ca="1">'Operating Model'!U9</f>
        <v>426877.55597618909</v>
      </c>
      <c r="N6" s="836">
        <f ca="1">'Operating Model'!V9</f>
        <v>494044.30531795969</v>
      </c>
      <c r="O6" s="836">
        <f ca="1">'Operating Model'!W9</f>
        <v>544340.96947308502</v>
      </c>
      <c r="P6" s="838">
        <f ca="1">'Operating Model'!X9</f>
        <v>578411.63484315772</v>
      </c>
    </row>
    <row r="7" spans="1:17" s="145" customFormat="1" x14ac:dyDescent="0.2">
      <c r="A7" s="725"/>
      <c r="B7" s="569" t="s">
        <v>141</v>
      </c>
      <c r="C7" s="155"/>
      <c r="F7" s="839">
        <f>'Operating Model'!K25</f>
        <v>-241</v>
      </c>
      <c r="G7" s="839">
        <f>'Operating Model'!L25</f>
        <v>596</v>
      </c>
      <c r="H7" s="839">
        <f>'Operating Model'!M25</f>
        <v>2371</v>
      </c>
      <c r="I7" s="839">
        <f>'Operating Model'!N25</f>
        <v>3033</v>
      </c>
      <c r="J7" s="839">
        <f>'Operating Model'!O25</f>
        <v>10073</v>
      </c>
      <c r="K7" s="839">
        <f>'Operating Model'!P25</f>
        <v>11588</v>
      </c>
      <c r="L7" s="840">
        <f ca="1">'Operating Model'!T25</f>
        <v>13407.07602045911</v>
      </c>
      <c r="M7" s="839">
        <f ca="1">'Operating Model'!U25</f>
        <v>21455.877566457119</v>
      </c>
      <c r="N7" s="839">
        <f ca="1">'Operating Model'!V25</f>
        <v>32235.726760129932</v>
      </c>
      <c r="O7" s="839">
        <f ca="1">'Operating Model'!W25</f>
        <v>46211.775433913572</v>
      </c>
      <c r="P7" s="841">
        <f ca="1">'Operating Model'!X25</f>
        <v>56489.388695880647</v>
      </c>
    </row>
    <row r="8" spans="1:17" s="145" customFormat="1" x14ac:dyDescent="0.2">
      <c r="A8" s="725"/>
      <c r="B8" s="569"/>
      <c r="C8" s="155"/>
      <c r="F8" s="117"/>
      <c r="G8" s="117"/>
      <c r="H8" s="117"/>
      <c r="I8" s="117"/>
      <c r="J8" s="117"/>
      <c r="K8" s="117"/>
      <c r="L8" s="274"/>
      <c r="M8" s="117"/>
      <c r="N8" s="117"/>
      <c r="O8" s="117"/>
      <c r="P8" s="336"/>
    </row>
    <row r="9" spans="1:17" x14ac:dyDescent="0.2">
      <c r="B9" s="570" t="s">
        <v>142</v>
      </c>
      <c r="D9" s="1"/>
      <c r="E9" s="1"/>
      <c r="F9" s="839">
        <f>'Operating Model'!K128</f>
        <v>974</v>
      </c>
      <c r="G9" s="839">
        <f>'Operating Model'!L128</f>
        <v>2557</v>
      </c>
      <c r="H9" s="839">
        <f>'Operating Model'!M128</f>
        <v>3916</v>
      </c>
      <c r="I9" s="839">
        <f>'Operating Model'!N128</f>
        <v>-242</v>
      </c>
      <c r="J9" s="839">
        <f>'Operating Model'!O128</f>
        <v>-1043</v>
      </c>
      <c r="K9" s="839">
        <f>'Operating Model'!P128</f>
        <v>-2438</v>
      </c>
      <c r="L9" s="834">
        <f ca="1">L6*L19</f>
        <v>717.48741328851145</v>
      </c>
      <c r="M9" s="419">
        <f ca="1">M6*M19</f>
        <v>1707.5102239047565</v>
      </c>
      <c r="N9" s="419">
        <f ca="1">N6*N19</f>
        <v>2964.2658319077582</v>
      </c>
      <c r="O9" s="419">
        <f ca="1">O6*O19</f>
        <v>4354.7277557846801</v>
      </c>
      <c r="P9" s="835">
        <f ca="1">P6*P19</f>
        <v>5784.1163484315775</v>
      </c>
    </row>
    <row r="10" spans="1:17" x14ac:dyDescent="0.2">
      <c r="B10" s="238"/>
      <c r="L10" s="176"/>
      <c r="P10" s="177"/>
    </row>
    <row r="11" spans="1:17" x14ac:dyDescent="0.2">
      <c r="B11" s="238" t="s">
        <v>143</v>
      </c>
      <c r="F11" s="354">
        <v>1497</v>
      </c>
      <c r="G11" s="354">
        <v>2119</v>
      </c>
      <c r="H11" s="354">
        <v>2975</v>
      </c>
      <c r="I11" s="354">
        <v>4215</v>
      </c>
      <c r="J11" s="354">
        <v>5418</v>
      </c>
      <c r="K11" s="354">
        <v>6864</v>
      </c>
      <c r="L11" s="832">
        <f ca="1">L6*L20</f>
        <v>8968.5926661063932</v>
      </c>
      <c r="M11" s="831">
        <f ca="1">M6*M20</f>
        <v>11312.255233369011</v>
      </c>
      <c r="N11" s="831">
        <f ca="1">N6*N20</f>
        <v>13586.218396243892</v>
      </c>
      <c r="O11" s="831">
        <f ca="1">O6*O20</f>
        <v>15513.717629982924</v>
      </c>
      <c r="P11" s="833">
        <f ca="1">P6*P20</f>
        <v>17063.143227873152</v>
      </c>
    </row>
    <row r="12" spans="1:17" x14ac:dyDescent="0.2">
      <c r="B12" s="238" t="s">
        <v>144</v>
      </c>
      <c r="F12" s="831">
        <f>129+59-316-6</f>
        <v>-134</v>
      </c>
      <c r="G12" s="831">
        <f>155+250+81-119</f>
        <v>367</v>
      </c>
      <c r="H12" s="831">
        <f>160-20-246-829</f>
        <v>-935</v>
      </c>
      <c r="I12" s="831">
        <f>202-292-29</f>
        <v>-119</v>
      </c>
      <c r="J12" s="831">
        <f>274+219+441</f>
        <v>934</v>
      </c>
      <c r="K12" s="831">
        <f>164-249+796</f>
        <v>711</v>
      </c>
      <c r="L12" s="832">
        <f ca="1">L6*L21</f>
        <v>55.263408116596516</v>
      </c>
      <c r="M12" s="831">
        <f ca="1">M6*M21</f>
        <v>42.68775559761891</v>
      </c>
      <c r="N12" s="831">
        <f ca="1">N6*N21</f>
        <v>49.404430531795974</v>
      </c>
      <c r="O12" s="831">
        <f ca="1">O6*O21</f>
        <v>54.434096947308504</v>
      </c>
      <c r="P12" s="833">
        <f ca="1">P6*P21</f>
        <v>57.841163484315771</v>
      </c>
    </row>
    <row r="13" spans="1:17" x14ac:dyDescent="0.2">
      <c r="B13" s="571" t="s">
        <v>145</v>
      </c>
      <c r="F13" s="419">
        <f t="shared" ref="F13:P13" si="1">SUM(F11:F12)</f>
        <v>1363</v>
      </c>
      <c r="G13" s="419">
        <f t="shared" si="1"/>
        <v>2486</v>
      </c>
      <c r="H13" s="419">
        <f t="shared" si="1"/>
        <v>2040</v>
      </c>
      <c r="I13" s="419">
        <f t="shared" si="1"/>
        <v>4096</v>
      </c>
      <c r="J13" s="419">
        <f t="shared" si="1"/>
        <v>6352</v>
      </c>
      <c r="K13" s="419">
        <f t="shared" si="1"/>
        <v>7575</v>
      </c>
      <c r="L13" s="834">
        <f t="shared" ca="1" si="1"/>
        <v>9023.8560742229893</v>
      </c>
      <c r="M13" s="419">
        <f t="shared" ca="1" si="1"/>
        <v>11354.94298896663</v>
      </c>
      <c r="N13" s="419">
        <f t="shared" ca="1" si="1"/>
        <v>13635.622826775689</v>
      </c>
      <c r="O13" s="419">
        <f t="shared" ca="1" si="1"/>
        <v>15568.151726930233</v>
      </c>
      <c r="P13" s="419">
        <f t="shared" ca="1" si="1"/>
        <v>17120.984391357466</v>
      </c>
      <c r="Q13" s="176"/>
    </row>
    <row r="14" spans="1:17" x14ac:dyDescent="0.2">
      <c r="B14" s="571"/>
      <c r="L14" s="176"/>
      <c r="P14" s="177"/>
    </row>
    <row r="15" spans="1:17" x14ac:dyDescent="0.2">
      <c r="B15" s="571" t="s">
        <v>146</v>
      </c>
      <c r="F15" s="419">
        <f t="shared" ref="F15:P15" si="2">F7+F9+F13</f>
        <v>2096</v>
      </c>
      <c r="G15" s="419">
        <f t="shared" si="2"/>
        <v>5639</v>
      </c>
      <c r="H15" s="419">
        <f t="shared" si="2"/>
        <v>8327</v>
      </c>
      <c r="I15" s="419">
        <f t="shared" si="2"/>
        <v>6887</v>
      </c>
      <c r="J15" s="419">
        <f t="shared" si="2"/>
        <v>15382</v>
      </c>
      <c r="K15" s="419">
        <f t="shared" si="2"/>
        <v>16725</v>
      </c>
      <c r="L15" s="834">
        <f t="shared" ca="1" si="2"/>
        <v>23148.419507970611</v>
      </c>
      <c r="M15" s="419">
        <f t="shared" ca="1" si="2"/>
        <v>34518.330779328506</v>
      </c>
      <c r="N15" s="419">
        <f t="shared" ca="1" si="2"/>
        <v>48835.615418813381</v>
      </c>
      <c r="O15" s="419">
        <f t="shared" ca="1" si="2"/>
        <v>66134.654916628482</v>
      </c>
      <c r="P15" s="419">
        <f t="shared" ca="1" si="2"/>
        <v>79394.48943566969</v>
      </c>
      <c r="Q15" s="176"/>
    </row>
    <row r="16" spans="1:17" x14ac:dyDescent="0.2">
      <c r="B16" s="572"/>
      <c r="C16" s="179"/>
      <c r="D16" s="179"/>
      <c r="E16" s="179"/>
      <c r="F16" s="179"/>
      <c r="G16" s="179"/>
      <c r="H16" s="179"/>
      <c r="I16" s="179"/>
      <c r="J16" s="179"/>
      <c r="K16" s="179"/>
      <c r="L16" s="178"/>
      <c r="M16" s="179"/>
      <c r="N16" s="179"/>
      <c r="O16" s="179"/>
      <c r="P16" s="180"/>
    </row>
    <row r="18" spans="1:16" x14ac:dyDescent="0.2">
      <c r="A18" s="716" t="s">
        <v>609</v>
      </c>
      <c r="B18" s="568" t="s">
        <v>138</v>
      </c>
      <c r="C18" s="532"/>
      <c r="D18" s="532"/>
      <c r="E18" s="532"/>
      <c r="F18" s="532"/>
      <c r="G18" s="532"/>
      <c r="H18" s="532"/>
      <c r="I18" s="532"/>
      <c r="J18" s="532"/>
      <c r="K18" s="532"/>
      <c r="L18" s="532"/>
      <c r="M18" s="532"/>
      <c r="N18" s="532"/>
      <c r="O18" s="532"/>
      <c r="P18" s="535"/>
    </row>
    <row r="19" spans="1:16" x14ac:dyDescent="0.2">
      <c r="B19" s="478" t="s">
        <v>147</v>
      </c>
      <c r="F19" s="658">
        <f t="shared" ref="F19:K19" si="3">F9/F6</f>
        <v>1.0945295994965614E-2</v>
      </c>
      <c r="G19" s="658">
        <f t="shared" si="3"/>
        <v>2.3895856307122966E-2</v>
      </c>
      <c r="H19" s="658">
        <f t="shared" si="3"/>
        <v>2.8796870289071748E-2</v>
      </c>
      <c r="I19" s="658">
        <f t="shared" si="3"/>
        <v>-1.3605748147481813E-3</v>
      </c>
      <c r="J19" s="658">
        <f t="shared" si="3"/>
        <v>-4.4785668586052466E-3</v>
      </c>
      <c r="K19" s="658">
        <f t="shared" si="3"/>
        <v>-8.6909404609977117E-3</v>
      </c>
      <c r="L19" s="830">
        <v>2E-3</v>
      </c>
      <c r="M19" s="810">
        <v>4.0000000000000001E-3</v>
      </c>
      <c r="N19" s="810">
        <v>6.0000000000000001E-3</v>
      </c>
      <c r="O19" s="810">
        <v>8.0000000000000002E-3</v>
      </c>
      <c r="P19" s="811">
        <v>0.01</v>
      </c>
    </row>
    <row r="20" spans="1:16" x14ac:dyDescent="0.2">
      <c r="B20" s="478" t="s">
        <v>143</v>
      </c>
      <c r="F20" s="658">
        <f t="shared" ref="F20:J20" si="4">F11/F6</f>
        <v>1.6822492920393763E-2</v>
      </c>
      <c r="G20" s="658">
        <f t="shared" si="4"/>
        <v>1.9802627890024859E-2</v>
      </c>
      <c r="H20" s="658">
        <f t="shared" si="4"/>
        <v>2.1877091192540464E-2</v>
      </c>
      <c r="I20" s="658">
        <f t="shared" si="4"/>
        <v>2.3697615058527206E-2</v>
      </c>
      <c r="J20" s="658">
        <f t="shared" si="4"/>
        <v>2.3264501668191009E-2</v>
      </c>
      <c r="K20" s="658">
        <f>K11/K6</f>
        <v>2.4468669123990275E-2</v>
      </c>
      <c r="L20" s="830">
        <v>2.5000000000000001E-2</v>
      </c>
      <c r="M20" s="810">
        <v>2.6499999999999999E-2</v>
      </c>
      <c r="N20" s="810">
        <v>2.75E-2</v>
      </c>
      <c r="O20" s="810">
        <v>2.8500000000000001E-2</v>
      </c>
      <c r="P20" s="811">
        <v>2.9499999999999998E-2</v>
      </c>
    </row>
    <row r="21" spans="1:16" x14ac:dyDescent="0.2">
      <c r="B21" s="478" t="s">
        <v>144</v>
      </c>
      <c r="F21" s="658">
        <f t="shared" ref="F21:K21" si="5">F12/F6</f>
        <v>-1.5058210095743247E-3</v>
      </c>
      <c r="G21" s="658">
        <f t="shared" si="5"/>
        <v>3.429714221632432E-3</v>
      </c>
      <c r="H21" s="658">
        <f t="shared" si="5"/>
        <v>-6.8756572319412885E-3</v>
      </c>
      <c r="I21" s="658">
        <f t="shared" si="5"/>
        <v>-6.6904298741749402E-4</v>
      </c>
      <c r="J21" s="658">
        <f t="shared" si="5"/>
        <v>4.0105287113492809E-3</v>
      </c>
      <c r="K21" s="658">
        <f t="shared" si="5"/>
        <v>2.5345605692245173E-3</v>
      </c>
      <c r="L21" s="822">
        <f>AVERAGE(F21:K21)</f>
        <v>1.5404704554552052E-4</v>
      </c>
      <c r="M21" s="810">
        <v>1E-4</v>
      </c>
      <c r="N21" s="810">
        <v>1E-4</v>
      </c>
      <c r="O21" s="810">
        <v>1E-4</v>
      </c>
      <c r="P21" s="811">
        <v>1E-4</v>
      </c>
    </row>
    <row r="22" spans="1:16" x14ac:dyDescent="0.2">
      <c r="B22" s="178"/>
      <c r="C22" s="179"/>
      <c r="D22" s="179"/>
      <c r="E22" s="179"/>
      <c r="F22" s="179"/>
      <c r="G22" s="179"/>
      <c r="H22" s="179"/>
      <c r="I22" s="179"/>
      <c r="J22" s="179"/>
      <c r="K22" s="179"/>
      <c r="L22" s="178"/>
      <c r="M22" s="179"/>
      <c r="N22" s="179"/>
      <c r="O22" s="179"/>
      <c r="P22" s="18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31"/>
  <sheetViews>
    <sheetView topLeftCell="A67" zoomScale="85" zoomScaleNormal="85" workbookViewId="0">
      <pane xSplit="7" topLeftCell="H1" activePane="topRight" state="frozen"/>
      <selection activeCell="U73" sqref="U73"/>
      <selection pane="topRight" activeCell="V88" sqref="V88"/>
    </sheetView>
  </sheetViews>
  <sheetFormatPr baseColWidth="10" defaultColWidth="9.1640625" defaultRowHeight="15" outlineLevelRow="1" outlineLevelCol="1" x14ac:dyDescent="0.2"/>
  <cols>
    <col min="1" max="1" width="4.83203125" style="720" customWidth="1"/>
    <col min="2" max="2" width="0.83203125" style="1" customWidth="1"/>
    <col min="3" max="3" width="9.1640625" style="1" customWidth="1"/>
    <col min="4" max="4" width="12.33203125" style="1" customWidth="1"/>
    <col min="5" max="5" width="11.6640625" style="1" customWidth="1"/>
    <col min="6" max="6" width="9" style="1" customWidth="1"/>
    <col min="7" max="7" width="17.6640625" style="1" customWidth="1"/>
    <col min="8" max="8" width="9" style="1" customWidth="1"/>
    <col min="9" max="9" width="5.33203125" style="1" customWidth="1"/>
    <col min="10" max="10" width="11.1640625" style="1" customWidth="1"/>
    <col min="11" max="11" width="14.5" style="1" customWidth="1"/>
    <col min="12" max="12" width="12.6640625" style="1" bestFit="1" customWidth="1"/>
    <col min="13" max="13" width="14.1640625" style="1" customWidth="1"/>
    <col min="14" max="14" width="12.83203125" style="1" customWidth="1"/>
    <col min="15" max="15" width="14.5" style="1" customWidth="1"/>
    <col min="16" max="16" width="13.33203125" style="1" customWidth="1"/>
    <col min="17" max="18" width="12.6640625" style="1" customWidth="1" outlineLevel="1"/>
    <col min="19" max="19" width="14.1640625" style="1" customWidth="1" outlineLevel="1"/>
    <col min="20" max="20" width="14.1640625" style="68" customWidth="1"/>
    <col min="21" max="21" width="14" style="68" customWidth="1"/>
    <col min="22" max="22" width="14.1640625" style="68" customWidth="1"/>
    <col min="23" max="23" width="14.33203125" style="68" customWidth="1"/>
    <col min="24" max="24" width="14" style="68" customWidth="1"/>
    <col min="25" max="25" width="14.1640625" style="68" customWidth="1"/>
    <col min="26" max="26" width="2.5" style="68" customWidth="1"/>
    <col min="27" max="27" width="14" style="68" customWidth="1"/>
    <col min="28" max="28" width="13.83203125" style="68" customWidth="1"/>
    <col min="29" max="29" width="16.1640625" style="68" customWidth="1"/>
    <col min="30" max="30" width="15.83203125" style="68" customWidth="1"/>
    <col min="31" max="32" width="13.5" style="68" customWidth="1"/>
    <col min="33" max="33" width="14.33203125" style="68" bestFit="1" customWidth="1"/>
    <col min="34" max="34" width="11.83203125" style="68" bestFit="1" customWidth="1"/>
    <col min="35" max="16384" width="9.1640625" style="68"/>
  </cols>
  <sheetData>
    <row r="1" spans="1:35" s="1" customFormat="1" x14ac:dyDescent="0.2">
      <c r="A1" s="720"/>
    </row>
    <row r="2" spans="1:35" s="1" customFormat="1" ht="24" x14ac:dyDescent="0.3">
      <c r="A2" s="720" t="s">
        <v>609</v>
      </c>
      <c r="B2" s="2" t="s">
        <v>148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3"/>
      <c r="R2" s="3"/>
      <c r="S2" s="4"/>
      <c r="T2" s="12"/>
      <c r="U2" s="13"/>
      <c r="V2" s="13"/>
      <c r="W2" s="13"/>
      <c r="X2" s="321"/>
    </row>
    <row r="3" spans="1:35" s="1" customFormat="1" x14ac:dyDescent="0.2">
      <c r="A3" s="720"/>
      <c r="B3" s="5" t="s">
        <v>149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6"/>
      <c r="R3" s="6"/>
      <c r="S3" s="7"/>
      <c r="T3" s="5"/>
      <c r="U3" s="6"/>
      <c r="V3" s="6"/>
      <c r="W3" s="6"/>
      <c r="X3" s="322"/>
      <c r="Y3" s="57"/>
      <c r="Z3" s="57"/>
      <c r="AA3" s="57"/>
      <c r="AB3" s="57"/>
      <c r="AC3" s="57"/>
      <c r="AD3" s="57"/>
    </row>
    <row r="4" spans="1:35" s="1" customFormat="1" x14ac:dyDescent="0.2">
      <c r="A4" s="720"/>
      <c r="B4" s="8"/>
      <c r="C4" s="9" t="s">
        <v>150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Q4" s="10"/>
      <c r="R4" s="10"/>
      <c r="S4" s="11"/>
      <c r="T4" s="8"/>
      <c r="U4" s="10"/>
      <c r="V4" s="10"/>
      <c r="W4" s="10"/>
      <c r="X4" s="323"/>
      <c r="Y4" s="57"/>
      <c r="AA4" s="57"/>
      <c r="AB4" s="57"/>
      <c r="AC4" s="57"/>
      <c r="AD4" s="57"/>
      <c r="AE4" s="57"/>
      <c r="AF4" s="57"/>
      <c r="AG4" s="57"/>
      <c r="AH4" s="57"/>
      <c r="AI4" s="57"/>
    </row>
    <row r="5" spans="1:35" s="1" customFormat="1" ht="22" outlineLevel="1" x14ac:dyDescent="0.4">
      <c r="A5" s="720"/>
      <c r="B5" s="14"/>
      <c r="C5" s="15"/>
      <c r="D5" s="15"/>
      <c r="E5" s="15"/>
      <c r="F5" s="15"/>
      <c r="G5" s="15"/>
      <c r="H5" s="15"/>
      <c r="I5" s="15"/>
      <c r="J5" s="15"/>
      <c r="K5" s="562" t="s">
        <v>151</v>
      </c>
      <c r="L5" s="17"/>
      <c r="M5" s="16"/>
      <c r="N5" s="16"/>
      <c r="O5" s="16"/>
      <c r="P5" s="18"/>
      <c r="Q5" s="16"/>
      <c r="R5" s="16"/>
      <c r="S5" s="18"/>
      <c r="T5" s="563" t="s">
        <v>152</v>
      </c>
      <c r="U5" s="91"/>
      <c r="V5" s="91"/>
      <c r="W5" s="91"/>
      <c r="X5" s="324"/>
      <c r="Y5" s="84"/>
      <c r="Z5" s="58"/>
      <c r="AA5" s="59"/>
      <c r="AC5" s="60"/>
      <c r="AD5" s="60"/>
      <c r="AE5" s="60"/>
      <c r="AF5" s="60"/>
      <c r="AG5" s="60"/>
      <c r="AH5" s="60"/>
      <c r="AI5" s="60"/>
    </row>
    <row r="6" spans="1:35" outlineLevel="1" x14ac:dyDescent="0.2">
      <c r="B6" s="14"/>
      <c r="C6" s="15" t="s">
        <v>153</v>
      </c>
      <c r="D6" s="15"/>
      <c r="E6" s="15"/>
      <c r="F6" s="15"/>
      <c r="G6" s="15"/>
      <c r="H6" s="15"/>
      <c r="I6" s="15"/>
      <c r="J6" s="19">
        <f t="shared" ref="J6:O6" si="0">K6-1</f>
        <v>2013</v>
      </c>
      <c r="K6" s="19">
        <f t="shared" si="0"/>
        <v>2014</v>
      </c>
      <c r="L6" s="19">
        <f t="shared" si="0"/>
        <v>2015</v>
      </c>
      <c r="M6" s="19">
        <f t="shared" si="0"/>
        <v>2016</v>
      </c>
      <c r="N6" s="19">
        <f t="shared" si="0"/>
        <v>2017</v>
      </c>
      <c r="O6" s="19">
        <f t="shared" si="0"/>
        <v>2018</v>
      </c>
      <c r="P6" s="20">
        <v>2019</v>
      </c>
      <c r="Q6" s="19" t="s">
        <v>154</v>
      </c>
      <c r="R6" s="19" t="s">
        <v>155</v>
      </c>
      <c r="S6" s="20" t="s">
        <v>156</v>
      </c>
      <c r="T6" s="21">
        <f>P6+1</f>
        <v>2020</v>
      </c>
      <c r="U6" s="19">
        <f>T6+1</f>
        <v>2021</v>
      </c>
      <c r="V6" s="19">
        <f>U6+1</f>
        <v>2022</v>
      </c>
      <c r="W6" s="19">
        <f>V6+1</f>
        <v>2023</v>
      </c>
      <c r="X6" s="325">
        <f>W6+1</f>
        <v>2024</v>
      </c>
      <c r="Y6" s="69"/>
      <c r="AA6" s="69"/>
      <c r="AD6" s="69"/>
      <c r="AE6" s="69"/>
      <c r="AF6" s="69"/>
      <c r="AG6" s="69"/>
      <c r="AH6" s="69"/>
      <c r="AI6" s="69"/>
    </row>
    <row r="7" spans="1:35" outlineLevel="1" x14ac:dyDescent="0.2">
      <c r="B7" s="14"/>
      <c r="C7" s="15" t="s">
        <v>157</v>
      </c>
      <c r="D7" s="15"/>
      <c r="E7" s="15"/>
      <c r="F7" s="15"/>
      <c r="G7" s="15"/>
      <c r="H7" s="15"/>
      <c r="I7" s="15"/>
      <c r="J7" s="15"/>
      <c r="K7" s="66">
        <f>IF(ISERROR(EOMONTH(L7,-12)),0,EOMONTH(L7,-12))</f>
        <v>42004</v>
      </c>
      <c r="L7" s="66">
        <f>IF(ISERROR(EOMONTH(M7,-12)),0,EOMONTH(M7,-12))</f>
        <v>42369</v>
      </c>
      <c r="M7" s="66">
        <f>IF(ISERROR(EOMONTH(N7,-12)),0,EOMONTH(N7,-12))</f>
        <v>42735</v>
      </c>
      <c r="N7" s="66">
        <f>IF(ISERROR(EOMONTH(O7,-12)),0,EOMONTH(O7,-12))</f>
        <v>43100</v>
      </c>
      <c r="O7" s="66">
        <f>IF(ISERROR(EOMONTH(P7,-12)),0,EOMONTH(P7,-12))</f>
        <v>43465</v>
      </c>
      <c r="P7" s="67">
        <v>43830</v>
      </c>
      <c r="Q7" s="22" t="s">
        <v>158</v>
      </c>
      <c r="R7" s="22" t="s">
        <v>159</v>
      </c>
      <c r="S7" s="23"/>
      <c r="T7" s="14"/>
      <c r="U7" s="15"/>
      <c r="V7" s="15"/>
      <c r="W7" s="15"/>
      <c r="X7" s="326"/>
    </row>
    <row r="8" spans="1:35" outlineLevel="1" x14ac:dyDescent="0.2">
      <c r="B8" s="14"/>
      <c r="C8" s="61" t="s">
        <v>160</v>
      </c>
      <c r="D8" s="15"/>
      <c r="E8" s="15"/>
      <c r="F8" s="15"/>
      <c r="G8" s="15"/>
      <c r="H8" s="15"/>
      <c r="I8" s="15"/>
      <c r="J8" s="15"/>
      <c r="K8" s="22" t="s">
        <v>161</v>
      </c>
      <c r="L8" s="22" t="s">
        <v>161</v>
      </c>
      <c r="M8" s="22" t="s">
        <v>161</v>
      </c>
      <c r="N8" s="22" t="s">
        <v>161</v>
      </c>
      <c r="O8" s="22" t="s">
        <v>161</v>
      </c>
      <c r="P8" s="42" t="s">
        <v>161</v>
      </c>
      <c r="Q8" s="22" t="s">
        <v>161</v>
      </c>
      <c r="R8" s="22" t="s">
        <v>161</v>
      </c>
      <c r="S8" s="42" t="s">
        <v>161</v>
      </c>
      <c r="T8" s="564" t="s">
        <v>161</v>
      </c>
      <c r="U8" s="22" t="s">
        <v>161</v>
      </c>
      <c r="V8" s="22" t="s">
        <v>161</v>
      </c>
      <c r="W8" s="22" t="s">
        <v>161</v>
      </c>
      <c r="X8" s="565" t="s">
        <v>161</v>
      </c>
    </row>
    <row r="9" spans="1:35" outlineLevel="1" x14ac:dyDescent="0.2">
      <c r="B9" s="130"/>
      <c r="C9" s="29" t="s">
        <v>162</v>
      </c>
      <c r="K9" s="513">
        <v>88988</v>
      </c>
      <c r="L9" s="513">
        <v>107006</v>
      </c>
      <c r="M9" s="513">
        <v>135987</v>
      </c>
      <c r="N9" s="513">
        <v>177866</v>
      </c>
      <c r="O9" s="513">
        <v>232887</v>
      </c>
      <c r="P9" s="513">
        <v>280522</v>
      </c>
      <c r="Q9" s="842">
        <v>123104</v>
      </c>
      <c r="R9" s="843">
        <v>164364</v>
      </c>
      <c r="S9" s="844">
        <v>321782</v>
      </c>
      <c r="T9" s="907">
        <f ca="1">' Segments'!L5+' Segments'!L14+' Segments'!L23</f>
        <v>358743.70664425573</v>
      </c>
      <c r="U9" s="908">
        <f ca="1">' Segments'!M5+' Segments'!M14+' Segments'!M23</f>
        <v>426877.55597618909</v>
      </c>
      <c r="V9" s="908">
        <f ca="1">' Segments'!N5+' Segments'!N14+' Segments'!N23</f>
        <v>494044.30531795969</v>
      </c>
      <c r="W9" s="908">
        <f ca="1">' Segments'!O5+' Segments'!O14+' Segments'!O23</f>
        <v>544340.96947308502</v>
      </c>
      <c r="X9" s="909">
        <f ca="1">' Segments'!P5+' Segments'!P14+' Segments'!P23</f>
        <v>578411.63484315772</v>
      </c>
      <c r="Y9" s="71"/>
      <c r="Z9" s="51"/>
      <c r="AA9" s="71"/>
      <c r="AD9" s="71"/>
      <c r="AE9" s="71"/>
      <c r="AF9" s="71"/>
      <c r="AG9" s="71"/>
      <c r="AH9" s="71"/>
      <c r="AI9" s="71"/>
    </row>
    <row r="10" spans="1:35" outlineLevel="1" x14ac:dyDescent="0.2">
      <c r="B10" s="130"/>
      <c r="C10" s="32" t="s">
        <v>163</v>
      </c>
      <c r="K10" s="354">
        <v>-62752</v>
      </c>
      <c r="L10" s="354">
        <v>-71651</v>
      </c>
      <c r="M10" s="354">
        <v>-88265</v>
      </c>
      <c r="N10" s="354">
        <v>-111934</v>
      </c>
      <c r="O10" s="354">
        <v>-139156</v>
      </c>
      <c r="P10" s="354">
        <v>-165536</v>
      </c>
      <c r="Q10" s="675">
        <v>-70257</v>
      </c>
      <c r="R10" s="676">
        <v>-96917</v>
      </c>
      <c r="S10" s="870">
        <f>P10+R10-Q10</f>
        <v>-192196</v>
      </c>
      <c r="T10" s="837">
        <f ca="1">-(' Segments'!L6+' Segments'!L15)</f>
        <v>-210230.21643198063</v>
      </c>
      <c r="U10" s="836">
        <f ca="1">-(' Segments'!M6+' Segments'!M15)</f>
        <v>-243107.72329367479</v>
      </c>
      <c r="V10" s="836">
        <f ca="1">-(' Segments'!N6+' Segments'!N15)</f>
        <v>-270344.36401115893</v>
      </c>
      <c r="W10" s="836">
        <f ca="1">-(' Segments'!O6+' Segments'!O15)</f>
        <v>-283679.30327915866</v>
      </c>
      <c r="X10" s="838">
        <f ca="1">-(' Segments'!P6+' Segments'!P15)</f>
        <v>-283600.956951803</v>
      </c>
      <c r="Y10" s="70"/>
      <c r="Z10" s="353"/>
      <c r="AA10" s="70"/>
      <c r="AD10" s="70"/>
      <c r="AE10" s="70"/>
      <c r="AF10" s="70"/>
      <c r="AG10" s="70"/>
      <c r="AH10" s="70"/>
      <c r="AI10" s="70"/>
    </row>
    <row r="11" spans="1:35" outlineLevel="1" x14ac:dyDescent="0.2">
      <c r="B11" s="130"/>
      <c r="C11" s="29" t="s">
        <v>164</v>
      </c>
      <c r="K11" s="864">
        <f>K9+K10</f>
        <v>26236</v>
      </c>
      <c r="L11" s="864">
        <f>L9+L10</f>
        <v>35355</v>
      </c>
      <c r="M11" s="864">
        <f>M9+M10</f>
        <v>47722</v>
      </c>
      <c r="N11" s="864">
        <f>N9+N10</f>
        <v>65932</v>
      </c>
      <c r="O11" s="864">
        <f>O9+O10</f>
        <v>93731</v>
      </c>
      <c r="P11" s="864">
        <f t="shared" ref="P11:X11" si="1">P9+P10</f>
        <v>114986</v>
      </c>
      <c r="Q11" s="439">
        <f t="shared" si="1"/>
        <v>52847</v>
      </c>
      <c r="R11" s="371">
        <f t="shared" si="1"/>
        <v>67447</v>
      </c>
      <c r="S11" s="871">
        <f t="shared" si="1"/>
        <v>129586</v>
      </c>
      <c r="T11" s="854">
        <f ca="1">T9+T10</f>
        <v>148513.49021227509</v>
      </c>
      <c r="U11" s="855">
        <f t="shared" ca="1" si="1"/>
        <v>183769.8326825143</v>
      </c>
      <c r="V11" s="855">
        <f t="shared" ca="1" si="1"/>
        <v>223699.94130680076</v>
      </c>
      <c r="W11" s="855">
        <f t="shared" ca="1" si="1"/>
        <v>260661.66619392636</v>
      </c>
      <c r="X11" s="856">
        <f t="shared" ca="1" si="1"/>
        <v>294810.67789135472</v>
      </c>
      <c r="Y11" s="71"/>
      <c r="Z11" s="353"/>
      <c r="AA11" s="71"/>
      <c r="AC11" s="70"/>
      <c r="AD11" s="71"/>
      <c r="AE11" s="71"/>
      <c r="AF11" s="71"/>
      <c r="AG11" s="71"/>
      <c r="AH11" s="71"/>
      <c r="AI11" s="71"/>
    </row>
    <row r="12" spans="1:35" outlineLevel="1" x14ac:dyDescent="0.2">
      <c r="B12" s="130"/>
      <c r="C12" s="32" t="s">
        <v>165</v>
      </c>
      <c r="K12" s="913">
        <f>' Segments'!C135+' Segments'!C136+' Segments'!C137+' Segments'!C140-K15</f>
        <v>21179</v>
      </c>
      <c r="L12" s="913">
        <f>' Segments'!D135+' Segments'!D136+' Segments'!D137+' Segments'!D140-L15</f>
        <v>26670</v>
      </c>
      <c r="M12" s="913">
        <f>' Segments'!E135+' Segments'!E136+' Segments'!E137+' Segments'!E140-M15</f>
        <v>35253</v>
      </c>
      <c r="N12" s="913">
        <f>' Segments'!F135+' Segments'!F136+' Segments'!F137+' Segments'!F140-N15</f>
        <v>50134</v>
      </c>
      <c r="O12" s="913">
        <f>' Segments'!G135+' Segments'!G136+' Segments'!G137+' Segments'!G140-O15</f>
        <v>65673</v>
      </c>
      <c r="P12" s="913">
        <f>' Segments'!H135+' Segments'!H136+' Segments'!H137+' Segments'!H140-P15</f>
        <v>78455</v>
      </c>
      <c r="Q12" s="866">
        <f>17872+16991+7955+2444-Q15</f>
        <v>35206</v>
      </c>
      <c r="R12" s="867">
        <f>25337+19713+9173+3032-R15</f>
        <v>46145</v>
      </c>
      <c r="S12" s="872">
        <f>R12+P12-Q12</f>
        <v>89394</v>
      </c>
      <c r="T12" s="837">
        <f ca="1">' Segments'!L135+' Segments'!L136+' Segments'!L137+' Segments'!L140-T15</f>
        <v>104132.90395883165</v>
      </c>
      <c r="U12" s="836">
        <f ca="1">' Segments'!M135+' Segments'!M136+' Segments'!M137+' Segments'!M140-U15</f>
        <v>124534.87741891848</v>
      </c>
      <c r="V12" s="836">
        <f ca="1">' Segments'!N135+' Segments'!N136+' Segments'!N137+' Segments'!N140-V15</f>
        <v>143254.9156524734</v>
      </c>
      <c r="W12" s="836">
        <f ca="1">' Segments'!O135+' Segments'!O136+' Segments'!O137+' Segments'!O140-W15</f>
        <v>157893.18079789722</v>
      </c>
      <c r="X12" s="838">
        <f ca="1">' Segments'!P135+' Segments'!P136+' Segments'!P137+' Segments'!P140-X15</f>
        <v>168556.15054121808</v>
      </c>
      <c r="Y12" s="70"/>
      <c r="AA12" s="70"/>
      <c r="AC12" s="70"/>
      <c r="AD12" s="70"/>
      <c r="AE12" s="70"/>
      <c r="AF12" s="70"/>
      <c r="AG12" s="70"/>
      <c r="AH12" s="70"/>
      <c r="AI12" s="70"/>
    </row>
    <row r="13" spans="1:35" outlineLevel="1" x14ac:dyDescent="0.2">
      <c r="B13" s="130"/>
      <c r="C13" s="32" t="s">
        <v>166</v>
      </c>
      <c r="K13" s="836">
        <f>' Segments'!C141</f>
        <v>133</v>
      </c>
      <c r="L13" s="836">
        <f>' Segments'!D141</f>
        <v>171</v>
      </c>
      <c r="M13" s="836">
        <f>' Segments'!E141</f>
        <v>167</v>
      </c>
      <c r="N13" s="836">
        <f>' Segments'!F141</f>
        <v>214</v>
      </c>
      <c r="O13" s="836">
        <f>' Segments'!G141</f>
        <v>296</v>
      </c>
      <c r="P13" s="836">
        <f>' Segments'!H141</f>
        <v>201</v>
      </c>
      <c r="Q13" s="369">
        <v>81</v>
      </c>
      <c r="R13" s="357">
        <v>360</v>
      </c>
      <c r="S13" s="873">
        <f>P13+R13-Q13</f>
        <v>480</v>
      </c>
      <c r="T13" s="910">
        <f ca="1">' Segments'!L141</f>
        <v>558.60599950139863</v>
      </c>
      <c r="U13" s="911">
        <f ca="1">' Segments'!M141</f>
        <v>426.87755597618906</v>
      </c>
      <c r="V13" s="911">
        <f ca="1">' Segments'!N141</f>
        <v>494.04430531795975</v>
      </c>
      <c r="W13" s="911">
        <f ca="1">' Segments'!O141</f>
        <v>544.34096947308501</v>
      </c>
      <c r="X13" s="912">
        <f ca="1">' Segments'!P141</f>
        <v>578.41163484315769</v>
      </c>
      <c r="Y13" s="70"/>
      <c r="AA13" s="70"/>
      <c r="AC13" s="71"/>
      <c r="AD13" s="70"/>
      <c r="AE13" s="70"/>
      <c r="AF13" s="70"/>
      <c r="AG13" s="70"/>
      <c r="AH13" s="70"/>
      <c r="AI13" s="70"/>
    </row>
    <row r="14" spans="1:35" outlineLevel="1" x14ac:dyDescent="0.2">
      <c r="B14" s="130"/>
      <c r="C14" s="29" t="s">
        <v>167</v>
      </c>
      <c r="K14" s="864">
        <f>K11-K12-K13</f>
        <v>4924</v>
      </c>
      <c r="L14" s="864">
        <f>L11-L12-L13</f>
        <v>8514</v>
      </c>
      <c r="M14" s="864">
        <f>M11-M12-M13</f>
        <v>12302</v>
      </c>
      <c r="N14" s="864">
        <f>N11-N12-N13</f>
        <v>15584</v>
      </c>
      <c r="O14" s="864">
        <f>O11-O12-O13</f>
        <v>27762</v>
      </c>
      <c r="P14" s="864">
        <f t="shared" ref="P14:X14" si="2">P11-P12-P13</f>
        <v>36330</v>
      </c>
      <c r="Q14" s="439">
        <f t="shared" si="2"/>
        <v>17560</v>
      </c>
      <c r="R14" s="371">
        <f t="shared" si="2"/>
        <v>20942</v>
      </c>
      <c r="S14" s="871">
        <f t="shared" si="2"/>
        <v>39712</v>
      </c>
      <c r="T14" s="857">
        <f t="shared" ca="1" si="2"/>
        <v>43821.980253942042</v>
      </c>
      <c r="U14" s="858">
        <f ca="1">U11-U12-U13</f>
        <v>58808.077707619632</v>
      </c>
      <c r="V14" s="858">
        <f t="shared" ca="1" si="2"/>
        <v>79950.981349009395</v>
      </c>
      <c r="W14" s="858">
        <f t="shared" ca="1" si="2"/>
        <v>102224.14442655606</v>
      </c>
      <c r="X14" s="859">
        <f t="shared" ca="1" si="2"/>
        <v>125676.11571529348</v>
      </c>
      <c r="Y14" s="71"/>
      <c r="AA14" s="71"/>
      <c r="AC14" s="70"/>
      <c r="AD14" s="71"/>
      <c r="AE14" s="71"/>
      <c r="AF14" s="71"/>
      <c r="AG14" s="71"/>
      <c r="AH14" s="71"/>
      <c r="AI14" s="71"/>
    </row>
    <row r="15" spans="1:35" outlineLevel="1" x14ac:dyDescent="0.2">
      <c r="B15" s="130"/>
      <c r="C15" s="32" t="s">
        <v>168</v>
      </c>
      <c r="K15" s="861">
        <f>4746</f>
        <v>4746</v>
      </c>
      <c r="L15" s="861">
        <f>6281</f>
        <v>6281</v>
      </c>
      <c r="M15" s="861">
        <f>8116</f>
        <v>8116</v>
      </c>
      <c r="N15" s="861">
        <f>11478</f>
        <v>11478</v>
      </c>
      <c r="O15" s="861">
        <f>15341</f>
        <v>15341</v>
      </c>
      <c r="P15" s="861">
        <f>21789</f>
        <v>21789</v>
      </c>
      <c r="Q15" s="391">
        <v>10056</v>
      </c>
      <c r="R15" s="363">
        <v>11110</v>
      </c>
      <c r="S15" s="872">
        <f>P15+R15-Q15</f>
        <v>22843</v>
      </c>
      <c r="T15" s="860">
        <f ca="1">T9*T39</f>
        <v>25466.87661483468</v>
      </c>
      <c r="U15" s="861">
        <f ca="1">U9*U39</f>
        <v>30948.622808273707</v>
      </c>
      <c r="V15" s="861">
        <f ca="1">V9*V39</f>
        <v>37053.322898846978</v>
      </c>
      <c r="W15" s="861">
        <f ca="1">W9*W39</f>
        <v>42186.425134164092</v>
      </c>
      <c r="X15" s="862">
        <f ca="1">X9*X39</f>
        <v>46272.93078745262</v>
      </c>
      <c r="Y15" s="70"/>
      <c r="AA15" s="70"/>
      <c r="AC15" s="71"/>
      <c r="AD15" s="70"/>
      <c r="AE15" s="70"/>
      <c r="AF15" s="70"/>
      <c r="AG15" s="70"/>
      <c r="AH15" s="70"/>
      <c r="AI15" s="70"/>
    </row>
    <row r="16" spans="1:35" outlineLevel="1" x14ac:dyDescent="0.2">
      <c r="B16" s="130"/>
      <c r="C16" s="29" t="s">
        <v>169</v>
      </c>
      <c r="K16" s="864">
        <f t="shared" ref="K16:X16" si="3">K14-K15</f>
        <v>178</v>
      </c>
      <c r="L16" s="864">
        <f t="shared" si="3"/>
        <v>2233</v>
      </c>
      <c r="M16" s="864">
        <f t="shared" si="3"/>
        <v>4186</v>
      </c>
      <c r="N16" s="864">
        <f t="shared" si="3"/>
        <v>4106</v>
      </c>
      <c r="O16" s="864">
        <f t="shared" si="3"/>
        <v>12421</v>
      </c>
      <c r="P16" s="864">
        <f t="shared" si="3"/>
        <v>14541</v>
      </c>
      <c r="Q16" s="439">
        <f t="shared" si="3"/>
        <v>7504</v>
      </c>
      <c r="R16" s="371">
        <f t="shared" si="3"/>
        <v>9832</v>
      </c>
      <c r="S16" s="874">
        <f t="shared" si="3"/>
        <v>16869</v>
      </c>
      <c r="T16" s="863">
        <f t="shared" ca="1" si="3"/>
        <v>18355.103639107361</v>
      </c>
      <c r="U16" s="864">
        <f t="shared" ca="1" si="3"/>
        <v>27859.454899345925</v>
      </c>
      <c r="V16" s="864">
        <f t="shared" ca="1" si="3"/>
        <v>42897.658450162417</v>
      </c>
      <c r="W16" s="864">
        <f t="shared" ca="1" si="3"/>
        <v>60037.719292391965</v>
      </c>
      <c r="X16" s="865">
        <f t="shared" ca="1" si="3"/>
        <v>79403.184927840863</v>
      </c>
      <c r="Y16" s="71"/>
      <c r="AA16" s="71"/>
      <c r="AC16" s="70"/>
      <c r="AD16" s="71"/>
      <c r="AE16" s="71"/>
      <c r="AF16" s="71"/>
      <c r="AG16" s="71"/>
      <c r="AH16" s="71"/>
      <c r="AI16" s="71"/>
    </row>
    <row r="17" spans="2:35" outlineLevel="1" x14ac:dyDescent="0.2">
      <c r="B17" s="130"/>
      <c r="C17" s="32" t="s">
        <v>170</v>
      </c>
      <c r="K17" s="354">
        <v>210</v>
      </c>
      <c r="L17" s="354">
        <v>459</v>
      </c>
      <c r="M17" s="354">
        <v>484</v>
      </c>
      <c r="N17" s="354">
        <v>848</v>
      </c>
      <c r="O17" s="354">
        <v>1417</v>
      </c>
      <c r="P17" s="354">
        <v>1600</v>
      </c>
      <c r="Q17" s="369">
        <v>749</v>
      </c>
      <c r="R17" s="357">
        <v>805</v>
      </c>
      <c r="S17" s="873">
        <f>P17+R17-Q17</f>
        <v>1656</v>
      </c>
      <c r="T17" s="837">
        <f>'Debt &amp; Acquisitions'!E49</f>
        <v>2202</v>
      </c>
      <c r="U17" s="836">
        <f>'Debt &amp; Acquisitions'!F49</f>
        <v>2009</v>
      </c>
      <c r="V17" s="836">
        <f>'Debt &amp; Acquisitions'!G49</f>
        <v>2603</v>
      </c>
      <c r="W17" s="836">
        <f>'Debt &amp; Acquisitions'!H49</f>
        <v>2273</v>
      </c>
      <c r="X17" s="838">
        <f>'Debt &amp; Acquisitions'!I49</f>
        <v>4084</v>
      </c>
      <c r="Y17" s="51"/>
      <c r="Z17" s="51"/>
      <c r="AA17" s="51"/>
      <c r="AC17" s="71"/>
      <c r="AD17" s="70"/>
      <c r="AE17" s="70"/>
      <c r="AF17" s="70"/>
      <c r="AG17" s="70"/>
      <c r="AH17" s="70"/>
      <c r="AI17" s="70"/>
    </row>
    <row r="18" spans="2:35" outlineLevel="1" x14ac:dyDescent="0.2">
      <c r="B18" s="130"/>
      <c r="C18" s="32" t="s">
        <v>171</v>
      </c>
      <c r="K18" s="831">
        <f>-39+118</f>
        <v>79</v>
      </c>
      <c r="L18" s="831">
        <f>-50+256</f>
        <v>206</v>
      </c>
      <c r="M18" s="831">
        <f>-100-90</f>
        <v>-190</v>
      </c>
      <c r="N18" s="831">
        <f>-202-346</f>
        <v>-548</v>
      </c>
      <c r="O18" s="831">
        <f>-440+183</f>
        <v>-257</v>
      </c>
      <c r="P18" s="831">
        <f>-832-203</f>
        <v>-1035</v>
      </c>
      <c r="Q18" s="868">
        <f>-398-138</f>
        <v>-536</v>
      </c>
      <c r="R18" s="869">
        <f>-337-240</f>
        <v>-577</v>
      </c>
      <c r="S18" s="873">
        <f>P18+R18-Q18</f>
        <v>-1076</v>
      </c>
      <c r="T18" s="416">
        <v>0</v>
      </c>
      <c r="U18" s="417">
        <v>0</v>
      </c>
      <c r="V18" s="417">
        <v>0</v>
      </c>
      <c r="W18" s="417">
        <v>0</v>
      </c>
      <c r="X18" s="418">
        <v>0</v>
      </c>
      <c r="Y18" s="70"/>
      <c r="AC18" s="70"/>
      <c r="AD18" s="70"/>
      <c r="AE18" s="70"/>
      <c r="AF18" s="70"/>
      <c r="AG18" s="70"/>
      <c r="AH18" s="70"/>
      <c r="AI18" s="70"/>
    </row>
    <row r="19" spans="2:35" outlineLevel="1" x14ac:dyDescent="0.2">
      <c r="B19" s="130"/>
      <c r="C19" s="29" t="s">
        <v>172</v>
      </c>
      <c r="K19" s="864">
        <f>K16-K17-K18</f>
        <v>-111</v>
      </c>
      <c r="L19" s="864">
        <f t="shared" ref="L19:R19" si="4">L16-L17-L18</f>
        <v>1568</v>
      </c>
      <c r="M19" s="864">
        <f t="shared" si="4"/>
        <v>3892</v>
      </c>
      <c r="N19" s="864">
        <f t="shared" si="4"/>
        <v>3806</v>
      </c>
      <c r="O19" s="864">
        <f t="shared" si="4"/>
        <v>11261</v>
      </c>
      <c r="P19" s="864">
        <f t="shared" si="4"/>
        <v>13976</v>
      </c>
      <c r="Q19" s="439">
        <f t="shared" si="4"/>
        <v>7291</v>
      </c>
      <c r="R19" s="371">
        <f t="shared" si="4"/>
        <v>9604</v>
      </c>
      <c r="S19" s="874">
        <f t="shared" ref="S19:X19" si="5">S16-S17-S18</f>
        <v>16289</v>
      </c>
      <c r="T19" s="863">
        <f t="shared" ca="1" si="5"/>
        <v>16153.103639107361</v>
      </c>
      <c r="U19" s="864">
        <f t="shared" ca="1" si="5"/>
        <v>25850.454899345925</v>
      </c>
      <c r="V19" s="864">
        <f t="shared" ca="1" si="5"/>
        <v>40294.658450162417</v>
      </c>
      <c r="W19" s="864">
        <f t="shared" ca="1" si="5"/>
        <v>57764.719292391965</v>
      </c>
      <c r="X19" s="865">
        <f t="shared" ca="1" si="5"/>
        <v>75319.184927840863</v>
      </c>
      <c r="Y19" s="71"/>
      <c r="AA19" s="71"/>
      <c r="AC19" s="70"/>
      <c r="AD19" s="71"/>
      <c r="AE19" s="71"/>
      <c r="AF19" s="71"/>
      <c r="AG19" s="71"/>
      <c r="AH19" s="71"/>
      <c r="AI19" s="71"/>
    </row>
    <row r="20" spans="2:35" outlineLevel="1" x14ac:dyDescent="0.2">
      <c r="B20" s="130"/>
      <c r="C20" s="32" t="s">
        <v>173</v>
      </c>
      <c r="K20" s="354">
        <v>0</v>
      </c>
      <c r="L20" s="354">
        <v>0</v>
      </c>
      <c r="M20" s="354">
        <v>0</v>
      </c>
      <c r="N20" s="354">
        <v>0</v>
      </c>
      <c r="O20" s="354">
        <v>0</v>
      </c>
      <c r="P20" s="354">
        <v>0</v>
      </c>
      <c r="Q20" s="369">
        <v>0</v>
      </c>
      <c r="R20" s="357">
        <v>0</v>
      </c>
      <c r="S20" s="873">
        <f>P20+R20-Q20</f>
        <v>0</v>
      </c>
      <c r="T20" s="416">
        <v>0</v>
      </c>
      <c r="U20" s="417">
        <v>0</v>
      </c>
      <c r="V20" s="417">
        <v>0</v>
      </c>
      <c r="W20" s="417">
        <v>0</v>
      </c>
      <c r="X20" s="418">
        <v>0</v>
      </c>
      <c r="Y20" s="70"/>
      <c r="AA20" s="70"/>
      <c r="AC20" s="71"/>
      <c r="AD20" s="70"/>
      <c r="AE20" s="70"/>
      <c r="AF20" s="70"/>
      <c r="AG20" s="70"/>
      <c r="AH20" s="70"/>
      <c r="AI20" s="70"/>
    </row>
    <row r="21" spans="2:35" outlineLevel="1" x14ac:dyDescent="0.2">
      <c r="B21" s="130"/>
      <c r="C21" s="33" t="s">
        <v>174</v>
      </c>
      <c r="K21" s="864">
        <f t="shared" ref="K21:R21" si="6">K19-K20</f>
        <v>-111</v>
      </c>
      <c r="L21" s="864">
        <f t="shared" si="6"/>
        <v>1568</v>
      </c>
      <c r="M21" s="864">
        <f t="shared" si="6"/>
        <v>3892</v>
      </c>
      <c r="N21" s="864">
        <f t="shared" si="6"/>
        <v>3806</v>
      </c>
      <c r="O21" s="864">
        <f t="shared" si="6"/>
        <v>11261</v>
      </c>
      <c r="P21" s="864">
        <f t="shared" si="6"/>
        <v>13976</v>
      </c>
      <c r="Q21" s="439">
        <f t="shared" si="6"/>
        <v>7291</v>
      </c>
      <c r="R21" s="371">
        <f t="shared" si="6"/>
        <v>9604</v>
      </c>
      <c r="S21" s="874">
        <f t="shared" ref="S21:X21" si="7">S19-S20</f>
        <v>16289</v>
      </c>
      <c r="T21" s="863">
        <f t="shared" ca="1" si="7"/>
        <v>16153.103639107361</v>
      </c>
      <c r="U21" s="864">
        <f t="shared" ca="1" si="7"/>
        <v>25850.454899345925</v>
      </c>
      <c r="V21" s="864">
        <f t="shared" ca="1" si="7"/>
        <v>40294.658450162417</v>
      </c>
      <c r="W21" s="864">
        <f t="shared" ca="1" si="7"/>
        <v>57764.719292391965</v>
      </c>
      <c r="X21" s="865">
        <f t="shared" ca="1" si="7"/>
        <v>75319.184927840863</v>
      </c>
      <c r="Y21" s="71"/>
      <c r="AA21" s="71"/>
      <c r="AC21" s="71"/>
      <c r="AD21" s="71"/>
      <c r="AE21" s="71"/>
      <c r="AF21" s="71"/>
      <c r="AG21" s="71"/>
      <c r="AH21" s="71"/>
      <c r="AI21" s="71"/>
    </row>
    <row r="22" spans="2:35" outlineLevel="1" x14ac:dyDescent="0.2">
      <c r="B22" s="130"/>
      <c r="C22" s="32" t="s">
        <v>175</v>
      </c>
      <c r="K22" s="354">
        <v>167</v>
      </c>
      <c r="L22" s="354">
        <v>950</v>
      </c>
      <c r="M22" s="354">
        <v>1425</v>
      </c>
      <c r="N22" s="354">
        <v>769</v>
      </c>
      <c r="O22" s="354">
        <v>1197</v>
      </c>
      <c r="P22" s="354">
        <v>2374</v>
      </c>
      <c r="Q22" s="369">
        <v>1094</v>
      </c>
      <c r="R22" s="357">
        <v>1729</v>
      </c>
      <c r="S22" s="873">
        <f>P22+R22-Q22</f>
        <v>3009</v>
      </c>
      <c r="T22" s="832">
        <f ca="1">T19*T42</f>
        <v>2746.0276186482515</v>
      </c>
      <c r="U22" s="831">
        <f ca="1">U19*U42</f>
        <v>4394.5773328888072</v>
      </c>
      <c r="V22" s="831">
        <f ca="1">V19*V42</f>
        <v>8058.9316900324839</v>
      </c>
      <c r="W22" s="831">
        <f ca="1">W19*W42</f>
        <v>11552.943858478393</v>
      </c>
      <c r="X22" s="833">
        <f ca="1">X19*X42</f>
        <v>18829.796231960216</v>
      </c>
      <c r="Y22" s="70"/>
      <c r="AA22" s="70"/>
      <c r="AC22" s="70"/>
      <c r="AD22" s="70"/>
      <c r="AE22" s="70"/>
      <c r="AF22" s="70"/>
      <c r="AG22" s="70"/>
      <c r="AH22" s="70"/>
      <c r="AI22" s="70"/>
    </row>
    <row r="23" spans="2:35" outlineLevel="1" x14ac:dyDescent="0.2">
      <c r="B23" s="130"/>
      <c r="C23" s="32" t="s">
        <v>176</v>
      </c>
      <c r="K23" s="354">
        <v>-37</v>
      </c>
      <c r="L23" s="354">
        <v>22</v>
      </c>
      <c r="M23" s="354">
        <v>96</v>
      </c>
      <c r="N23" s="354">
        <v>4</v>
      </c>
      <c r="O23" s="354">
        <v>-9</v>
      </c>
      <c r="P23" s="354">
        <v>14</v>
      </c>
      <c r="Q23" s="369">
        <v>11</v>
      </c>
      <c r="R23" s="357">
        <v>97</v>
      </c>
      <c r="S23" s="873">
        <f>P23+R23-Q23</f>
        <v>100</v>
      </c>
      <c r="T23" s="379">
        <v>0</v>
      </c>
      <c r="U23" s="354">
        <v>0</v>
      </c>
      <c r="V23" s="354">
        <v>0</v>
      </c>
      <c r="W23" s="354">
        <v>0</v>
      </c>
      <c r="X23" s="370">
        <v>0</v>
      </c>
      <c r="Y23" s="70"/>
      <c r="AA23" s="70"/>
      <c r="AC23" s="70"/>
      <c r="AD23" s="70"/>
      <c r="AE23" s="70"/>
      <c r="AF23" s="70"/>
      <c r="AG23" s="70"/>
      <c r="AH23" s="70"/>
      <c r="AI23" s="70"/>
    </row>
    <row r="24" spans="2:35" ht="15" customHeight="1" outlineLevel="1" x14ac:dyDescent="0.2">
      <c r="B24" s="130"/>
      <c r="C24" s="32" t="s">
        <v>177</v>
      </c>
      <c r="K24" s="354">
        <v>0</v>
      </c>
      <c r="L24" s="354">
        <v>0</v>
      </c>
      <c r="M24" s="354">
        <v>0</v>
      </c>
      <c r="N24" s="354">
        <v>0</v>
      </c>
      <c r="O24" s="354">
        <v>0</v>
      </c>
      <c r="P24" s="354">
        <v>0</v>
      </c>
      <c r="Q24" s="369">
        <v>0</v>
      </c>
      <c r="R24" s="357">
        <v>0</v>
      </c>
      <c r="S24" s="873">
        <f>P24+R24-Q24</f>
        <v>0</v>
      </c>
      <c r="T24" s="416">
        <v>0</v>
      </c>
      <c r="U24" s="417">
        <v>0</v>
      </c>
      <c r="V24" s="417">
        <v>0</v>
      </c>
      <c r="W24" s="417">
        <v>0</v>
      </c>
      <c r="X24" s="418">
        <v>0</v>
      </c>
      <c r="Y24" s="70"/>
      <c r="AA24" s="70"/>
      <c r="AC24" s="70"/>
      <c r="AD24" s="70"/>
      <c r="AE24" s="72"/>
      <c r="AF24" s="72"/>
      <c r="AG24" s="72"/>
      <c r="AH24" s="72"/>
      <c r="AI24" s="72"/>
    </row>
    <row r="25" spans="2:35" outlineLevel="1" x14ac:dyDescent="0.2">
      <c r="B25" s="130"/>
      <c r="C25" s="29" t="s">
        <v>178</v>
      </c>
      <c r="K25" s="864">
        <f t="shared" ref="K25:S25" si="8">K21-SUM(K22:K24)</f>
        <v>-241</v>
      </c>
      <c r="L25" s="864">
        <f t="shared" si="8"/>
        <v>596</v>
      </c>
      <c r="M25" s="864">
        <f t="shared" si="8"/>
        <v>2371</v>
      </c>
      <c r="N25" s="864">
        <f t="shared" si="8"/>
        <v>3033</v>
      </c>
      <c r="O25" s="864">
        <f t="shared" si="8"/>
        <v>10073</v>
      </c>
      <c r="P25" s="864">
        <f t="shared" si="8"/>
        <v>11588</v>
      </c>
      <c r="Q25" s="439">
        <f t="shared" si="8"/>
        <v>6186</v>
      </c>
      <c r="R25" s="371">
        <f t="shared" si="8"/>
        <v>7778</v>
      </c>
      <c r="S25" s="874">
        <f t="shared" si="8"/>
        <v>13180</v>
      </c>
      <c r="T25" s="863">
        <f ca="1">T21-SUM(T22:T24)</f>
        <v>13407.07602045911</v>
      </c>
      <c r="U25" s="864">
        <f ca="1">U21-SUM(U22:U24)</f>
        <v>21455.877566457119</v>
      </c>
      <c r="V25" s="864">
        <f ca="1">V21-SUM(V22:V24)</f>
        <v>32235.726760129932</v>
      </c>
      <c r="W25" s="864">
        <f ca="1">W21-SUM(W22:W24)</f>
        <v>46211.775433913572</v>
      </c>
      <c r="X25" s="865">
        <f ca="1">X21-SUM(X22:X24)</f>
        <v>56489.388695880647</v>
      </c>
      <c r="Y25" s="71"/>
      <c r="AA25" s="71"/>
      <c r="AB25" s="71"/>
      <c r="AC25" s="71"/>
      <c r="AD25" s="71"/>
      <c r="AE25" s="71"/>
      <c r="AF25" s="71"/>
      <c r="AG25" s="71"/>
      <c r="AH25" s="71"/>
      <c r="AI25" s="71"/>
    </row>
    <row r="26" spans="2:35" ht="18" outlineLevel="1" x14ac:dyDescent="0.35">
      <c r="B26" s="130"/>
      <c r="C26" s="34" t="s">
        <v>179</v>
      </c>
      <c r="K26" s="845">
        <v>0.35</v>
      </c>
      <c r="L26" s="845">
        <v>0.35</v>
      </c>
      <c r="M26" s="845">
        <v>0.35</v>
      </c>
      <c r="N26" s="845">
        <v>0.21</v>
      </c>
      <c r="O26" s="845">
        <v>0.21</v>
      </c>
      <c r="P26" s="845">
        <v>0.21</v>
      </c>
      <c r="Q26" s="846">
        <v>0.21</v>
      </c>
      <c r="R26" s="847">
        <v>0.21</v>
      </c>
      <c r="S26" s="875">
        <f>R26</f>
        <v>0.21</v>
      </c>
      <c r="T26" s="914">
        <f ca="1">'Forecast Triggers'!D61</f>
        <v>0.17</v>
      </c>
      <c r="U26" s="915">
        <f ca="1">'Forecast Triggers'!E61</f>
        <v>0.17</v>
      </c>
      <c r="V26" s="915">
        <f ca="1">'Forecast Triggers'!F61</f>
        <v>0.2</v>
      </c>
      <c r="W26" s="915">
        <f ca="1">'Forecast Triggers'!G61</f>
        <v>0.2</v>
      </c>
      <c r="X26" s="916">
        <f ca="1">'Forecast Triggers'!H61</f>
        <v>0.25</v>
      </c>
      <c r="Y26" s="70"/>
      <c r="AB26" s="60"/>
    </row>
    <row r="27" spans="2:35" outlineLevel="1" x14ac:dyDescent="0.2">
      <c r="B27" s="130"/>
      <c r="C27" s="34" t="s">
        <v>180</v>
      </c>
      <c r="K27" s="877">
        <f t="shared" ref="K27:X27" si="9">IF(ISERROR(K22/K19),"NA",K22/K19)</f>
        <v>-1.5045045045045045</v>
      </c>
      <c r="L27" s="877">
        <f t="shared" si="9"/>
        <v>0.60586734693877553</v>
      </c>
      <c r="M27" s="877">
        <f t="shared" si="9"/>
        <v>0.36613566289825283</v>
      </c>
      <c r="N27" s="877">
        <f t="shared" si="9"/>
        <v>0.20204939569101418</v>
      </c>
      <c r="O27" s="877">
        <f t="shared" si="9"/>
        <v>0.10629606606873279</v>
      </c>
      <c r="P27" s="877">
        <f t="shared" si="9"/>
        <v>0.16986262163709215</v>
      </c>
      <c r="Q27" s="879">
        <f t="shared" si="9"/>
        <v>0.1500480043889727</v>
      </c>
      <c r="R27" s="880">
        <f t="shared" si="9"/>
        <v>0.18002915451895043</v>
      </c>
      <c r="S27" s="881">
        <f t="shared" si="9"/>
        <v>0.18472588863650316</v>
      </c>
      <c r="T27" s="876">
        <f t="shared" ca="1" si="9"/>
        <v>0.17</v>
      </c>
      <c r="U27" s="877">
        <f t="shared" ca="1" si="9"/>
        <v>0.17</v>
      </c>
      <c r="V27" s="877">
        <f t="shared" ca="1" si="9"/>
        <v>0.2</v>
      </c>
      <c r="W27" s="877">
        <f t="shared" ca="1" si="9"/>
        <v>0.2</v>
      </c>
      <c r="X27" s="878">
        <f t="shared" ca="1" si="9"/>
        <v>0.25</v>
      </c>
      <c r="Y27" s="70"/>
    </row>
    <row r="28" spans="2:35" ht="19" outlineLevel="1" x14ac:dyDescent="0.35">
      <c r="B28" s="130"/>
      <c r="C28" s="34"/>
      <c r="Q28" s="380"/>
      <c r="R28" s="36"/>
      <c r="S28" s="398"/>
      <c r="T28" s="373"/>
      <c r="X28" s="393"/>
      <c r="Z28" s="73"/>
      <c r="AA28" s="74"/>
      <c r="AC28" s="75"/>
      <c r="AD28" s="75"/>
      <c r="AE28" s="75"/>
      <c r="AF28" s="75"/>
      <c r="AG28" s="75"/>
      <c r="AH28" s="75"/>
      <c r="AI28" s="75"/>
    </row>
    <row r="29" spans="2:35" outlineLevel="1" x14ac:dyDescent="0.2">
      <c r="B29" s="130"/>
      <c r="C29" s="1" t="s">
        <v>181</v>
      </c>
      <c r="K29" s="848">
        <v>462</v>
      </c>
      <c r="L29" s="848">
        <v>467</v>
      </c>
      <c r="M29" s="848">
        <v>474</v>
      </c>
      <c r="N29" s="848">
        <v>480</v>
      </c>
      <c r="O29" s="848">
        <v>487</v>
      </c>
      <c r="P29" s="848">
        <v>494</v>
      </c>
      <c r="Q29" s="849">
        <v>492</v>
      </c>
      <c r="R29" s="850">
        <v>499</v>
      </c>
      <c r="S29" s="882">
        <f>R29</f>
        <v>499</v>
      </c>
      <c r="T29" s="883">
        <f>T32*0.98</f>
        <v>497.84</v>
      </c>
      <c r="U29" s="884">
        <f ca="1">U32*0.98</f>
        <v>497.84</v>
      </c>
      <c r="V29" s="884">
        <f ca="1">V32*0.98</f>
        <v>497.84</v>
      </c>
      <c r="W29" s="884">
        <f ca="1">W32*0.98</f>
        <v>497.84</v>
      </c>
      <c r="X29" s="885">
        <f ca="1">X32*0.98</f>
        <v>497.84</v>
      </c>
      <c r="Y29" s="70"/>
      <c r="Z29" s="76"/>
    </row>
    <row r="30" spans="2:35" outlineLevel="1" x14ac:dyDescent="0.2">
      <c r="B30" s="130"/>
      <c r="C30" s="29" t="s">
        <v>182</v>
      </c>
      <c r="D30" s="29"/>
      <c r="E30" s="29"/>
      <c r="F30" s="29"/>
      <c r="G30" s="29"/>
      <c r="H30" s="29"/>
      <c r="I30" s="29"/>
      <c r="J30" s="29"/>
      <c r="K30" s="886">
        <f>IF(ISERROR(K25/K29),0,K25/K29)</f>
        <v>-0.52164502164502169</v>
      </c>
      <c r="L30" s="886">
        <f t="shared" ref="L30:R30" si="10">IF(ISERROR(L25/L29),0,L25/L29)</f>
        <v>1.2762312633832977</v>
      </c>
      <c r="M30" s="886">
        <f t="shared" si="10"/>
        <v>5.0021097046413505</v>
      </c>
      <c r="N30" s="886">
        <f t="shared" si="10"/>
        <v>6.3187499999999996</v>
      </c>
      <c r="O30" s="886">
        <f t="shared" si="10"/>
        <v>20.683778234086244</v>
      </c>
      <c r="P30" s="886">
        <f t="shared" si="10"/>
        <v>23.457489878542511</v>
      </c>
      <c r="Q30" s="887">
        <f t="shared" si="10"/>
        <v>12.573170731707316</v>
      </c>
      <c r="R30" s="888">
        <f t="shared" si="10"/>
        <v>15.587174348697395</v>
      </c>
      <c r="S30" s="889">
        <f t="shared" ref="S30:X30" si="11">IF(ISERROR(S25/S29),0,S25/S29)</f>
        <v>26.412825651302605</v>
      </c>
      <c r="T30" s="890">
        <f t="shared" ca="1" si="11"/>
        <v>26.93049176534451</v>
      </c>
      <c r="U30" s="886">
        <f t="shared" ca="1" si="11"/>
        <v>43.097938226050779</v>
      </c>
      <c r="V30" s="886">
        <f t="shared" ca="1" si="11"/>
        <v>64.751178611863111</v>
      </c>
      <c r="W30" s="886">
        <f t="shared" ca="1" si="11"/>
        <v>92.824552936512887</v>
      </c>
      <c r="X30" s="891">
        <f t="shared" ca="1" si="11"/>
        <v>113.46896331327464</v>
      </c>
      <c r="Y30" s="70"/>
      <c r="Z30" s="76"/>
    </row>
    <row r="31" spans="2:35" outlineLevel="1" x14ac:dyDescent="0.2">
      <c r="B31" s="130"/>
      <c r="K31" s="37"/>
      <c r="L31" s="30"/>
      <c r="M31" s="30"/>
      <c r="N31" s="30"/>
      <c r="O31" s="30"/>
      <c r="P31" s="30"/>
      <c r="Q31" s="380"/>
      <c r="R31" s="35"/>
      <c r="S31" s="37"/>
      <c r="T31" s="498"/>
      <c r="X31" s="497"/>
      <c r="Z31" s="76"/>
    </row>
    <row r="32" spans="2:35" outlineLevel="1" x14ac:dyDescent="0.2">
      <c r="B32" s="130"/>
      <c r="C32" s="1" t="s">
        <v>183</v>
      </c>
      <c r="K32" s="848">
        <v>462</v>
      </c>
      <c r="L32" s="848">
        <v>477</v>
      </c>
      <c r="M32" s="848">
        <v>484</v>
      </c>
      <c r="N32" s="848">
        <v>493</v>
      </c>
      <c r="O32" s="848">
        <v>500</v>
      </c>
      <c r="P32" s="848">
        <v>504</v>
      </c>
      <c r="Q32" s="849">
        <v>503</v>
      </c>
      <c r="R32" s="850">
        <v>508</v>
      </c>
      <c r="S32" s="882">
        <f>R32</f>
        <v>508</v>
      </c>
      <c r="T32" s="892">
        <f>S32</f>
        <v>508</v>
      </c>
      <c r="U32" s="917">
        <f ca="1">T32*(1+'Forecast Triggers'!E69)</f>
        <v>508</v>
      </c>
      <c r="V32" s="917">
        <f ca="1">U32*(1+'Forecast Triggers'!F69)</f>
        <v>508</v>
      </c>
      <c r="W32" s="917">
        <f ca="1">V32*(1+'Forecast Triggers'!G69)</f>
        <v>508</v>
      </c>
      <c r="X32" s="918">
        <f ca="1">W32*(1+'Forecast Triggers'!H69)</f>
        <v>508</v>
      </c>
      <c r="Y32" s="70"/>
      <c r="Z32" s="76"/>
    </row>
    <row r="33" spans="1:31" outlineLevel="1" x14ac:dyDescent="0.2">
      <c r="B33" s="130"/>
      <c r="C33" s="29" t="s">
        <v>184</v>
      </c>
      <c r="D33" s="29"/>
      <c r="E33" s="29"/>
      <c r="F33" s="29"/>
      <c r="G33" s="29"/>
      <c r="H33" s="29"/>
      <c r="I33" s="29"/>
      <c r="J33" s="29"/>
      <c r="K33" s="886">
        <f t="shared" ref="K33:X33" si="12">IF(ISERROR(K25/K32),0,K25/K32)</f>
        <v>-0.52164502164502169</v>
      </c>
      <c r="L33" s="886">
        <f t="shared" si="12"/>
        <v>1.249475890985325</v>
      </c>
      <c r="M33" s="886">
        <f t="shared" si="12"/>
        <v>4.8987603305785123</v>
      </c>
      <c r="N33" s="886">
        <f t="shared" si="12"/>
        <v>6.1521298174442194</v>
      </c>
      <c r="O33" s="886">
        <f t="shared" si="12"/>
        <v>20.146000000000001</v>
      </c>
      <c r="P33" s="886">
        <f t="shared" si="12"/>
        <v>22.99206349206349</v>
      </c>
      <c r="Q33" s="893">
        <f t="shared" si="12"/>
        <v>12.298210735586482</v>
      </c>
      <c r="R33" s="894">
        <f t="shared" si="12"/>
        <v>15.311023622047244</v>
      </c>
      <c r="S33" s="895">
        <f t="shared" si="12"/>
        <v>25.944881889763778</v>
      </c>
      <c r="T33" s="890">
        <f t="shared" ca="1" si="12"/>
        <v>26.391881930037616</v>
      </c>
      <c r="U33" s="886">
        <f t="shared" ca="1" si="12"/>
        <v>42.235979461529759</v>
      </c>
      <c r="V33" s="886">
        <f t="shared" ca="1" si="12"/>
        <v>63.456155039625848</v>
      </c>
      <c r="W33" s="886">
        <f t="shared" ca="1" si="12"/>
        <v>90.968061877782617</v>
      </c>
      <c r="X33" s="891">
        <f t="shared" ca="1" si="12"/>
        <v>111.19958404700915</v>
      </c>
      <c r="Y33" s="70"/>
      <c r="Z33" s="76"/>
    </row>
    <row r="34" spans="1:31" outlineLevel="1" x14ac:dyDescent="0.2">
      <c r="B34" s="130"/>
      <c r="C34" s="29"/>
      <c r="K34" s="344"/>
      <c r="L34" s="30"/>
      <c r="M34" s="30"/>
      <c r="N34" s="30"/>
      <c r="O34" s="30"/>
      <c r="P34" s="30"/>
      <c r="Q34" s="677"/>
      <c r="R34" s="392"/>
      <c r="S34" s="346"/>
      <c r="T34" s="373"/>
      <c r="U34" s="71"/>
      <c r="V34" s="71"/>
      <c r="W34" s="71"/>
      <c r="X34" s="430"/>
      <c r="Y34" s="71"/>
      <c r="Z34" s="76"/>
      <c r="AB34" s="70"/>
    </row>
    <row r="35" spans="1:31" outlineLevel="1" x14ac:dyDescent="0.2">
      <c r="B35" s="427"/>
      <c r="C35" s="450" t="s">
        <v>185</v>
      </c>
      <c r="D35" s="428"/>
      <c r="E35" s="428"/>
      <c r="F35" s="428"/>
      <c r="G35" s="428"/>
      <c r="H35" s="428"/>
      <c r="I35" s="428"/>
      <c r="J35" s="428"/>
      <c r="K35" s="428"/>
      <c r="L35" s="428"/>
      <c r="M35" s="428"/>
      <c r="N35" s="428"/>
      <c r="O35" s="428"/>
      <c r="P35" s="428"/>
      <c r="Q35" s="427"/>
      <c r="R35" s="428"/>
      <c r="S35" s="429"/>
      <c r="T35" s="428"/>
      <c r="U35" s="428"/>
      <c r="V35" s="428"/>
      <c r="W35" s="428"/>
      <c r="X35" s="429"/>
      <c r="Y35" s="71"/>
      <c r="Z35" s="76"/>
      <c r="AB35" s="70"/>
    </row>
    <row r="36" spans="1:31" outlineLevel="1" x14ac:dyDescent="0.2">
      <c r="B36" s="373"/>
      <c r="C36" s="68" t="s">
        <v>186</v>
      </c>
      <c r="D36" s="68"/>
      <c r="E36" s="68"/>
      <c r="F36" s="68"/>
      <c r="G36" s="68"/>
      <c r="H36" s="68"/>
      <c r="I36" s="68"/>
      <c r="J36" s="68"/>
      <c r="K36" s="682"/>
      <c r="L36" s="896">
        <f>L9/K9-1</f>
        <v>0.20247673843664304</v>
      </c>
      <c r="M36" s="896">
        <f>M9/L9-1</f>
        <v>0.27083528026465808</v>
      </c>
      <c r="N36" s="896">
        <f>N9/M9-1</f>
        <v>0.30796326119408479</v>
      </c>
      <c r="O36" s="896">
        <f>O9/N9-1</f>
        <v>0.3093396152159491</v>
      </c>
      <c r="P36" s="896">
        <f>P9/O9-1</f>
        <v>0.20454125820676983</v>
      </c>
      <c r="Q36" s="431"/>
      <c r="R36" s="392"/>
      <c r="S36" s="432"/>
      <c r="T36" s="897">
        <f ca="1">T9/S9-1</f>
        <v>0.11486567503544554</v>
      </c>
      <c r="U36" s="897">
        <f ca="1">U9/T9-1</f>
        <v>0.18992346923453507</v>
      </c>
      <c r="V36" s="897">
        <f ca="1">V9/U9-1</f>
        <v>0.15734429791740356</v>
      </c>
      <c r="W36" s="897">
        <f ca="1">W9/V9-1</f>
        <v>0.10180597896529764</v>
      </c>
      <c r="X36" s="898">
        <f ca="1">X9/W9-1</f>
        <v>6.2590668865238452E-2</v>
      </c>
      <c r="Y36" s="71"/>
      <c r="Z36" s="76"/>
      <c r="AB36" s="70"/>
    </row>
    <row r="37" spans="1:31" outlineLevel="1" x14ac:dyDescent="0.2">
      <c r="B37" s="373"/>
      <c r="C37" s="394" t="s">
        <v>187</v>
      </c>
      <c r="D37" s="68"/>
      <c r="E37" s="68"/>
      <c r="F37" s="68"/>
      <c r="G37" s="68"/>
      <c r="H37" s="68"/>
      <c r="I37" s="68"/>
      <c r="J37" s="68"/>
      <c r="K37" s="896">
        <f t="shared" ref="K37:X37" si="13">-K10/K9</f>
        <v>0.70517373128961214</v>
      </c>
      <c r="L37" s="896">
        <f t="shared" si="13"/>
        <v>0.66959796646916991</v>
      </c>
      <c r="M37" s="896">
        <f t="shared" si="13"/>
        <v>0.64906939633935601</v>
      </c>
      <c r="N37" s="896">
        <f t="shared" si="13"/>
        <v>0.6293164517108385</v>
      </c>
      <c r="O37" s="896">
        <f t="shared" si="13"/>
        <v>0.59752583871147813</v>
      </c>
      <c r="P37" s="896">
        <f t="shared" si="13"/>
        <v>0.59009988521399392</v>
      </c>
      <c r="Q37" s="899">
        <f t="shared" si="13"/>
        <v>0.57071256823498828</v>
      </c>
      <c r="R37" s="900">
        <f t="shared" si="13"/>
        <v>0.58964858484826366</v>
      </c>
      <c r="S37" s="901">
        <f t="shared" si="13"/>
        <v>0.59728636157398485</v>
      </c>
      <c r="T37" s="897">
        <f t="shared" ca="1" si="13"/>
        <v>0.58601785212765589</v>
      </c>
      <c r="U37" s="897">
        <f t="shared" ca="1" si="13"/>
        <v>0.56950223756255569</v>
      </c>
      <c r="V37" s="897">
        <f t="shared" ca="1" si="13"/>
        <v>0.54720672033081985</v>
      </c>
      <c r="W37" s="897">
        <f t="shared" ca="1" si="13"/>
        <v>0.5211426645945032</v>
      </c>
      <c r="X37" s="898">
        <f t="shared" ca="1" si="13"/>
        <v>0.49030991056862872</v>
      </c>
      <c r="Y37" s="71"/>
      <c r="Z37" s="76"/>
      <c r="AB37" s="70"/>
    </row>
    <row r="38" spans="1:31" outlineLevel="1" x14ac:dyDescent="0.2">
      <c r="B38" s="373"/>
      <c r="C38" s="394" t="s">
        <v>188</v>
      </c>
      <c r="D38" s="68"/>
      <c r="E38" s="68"/>
      <c r="F38" s="68"/>
      <c r="G38" s="68"/>
      <c r="H38" s="68"/>
      <c r="I38" s="68"/>
      <c r="J38" s="68"/>
      <c r="K38" s="896">
        <f t="shared" ref="K38:X38" si="14">(K12+K13)/K9</f>
        <v>0.23949296534364184</v>
      </c>
      <c r="L38" s="896">
        <f t="shared" si="14"/>
        <v>0.25083640169710109</v>
      </c>
      <c r="M38" s="896">
        <f t="shared" si="14"/>
        <v>0.26046607396295235</v>
      </c>
      <c r="N38" s="896">
        <f t="shared" si="14"/>
        <v>0.28306702798736127</v>
      </c>
      <c r="O38" s="896">
        <f t="shared" si="14"/>
        <v>0.28326613336081446</v>
      </c>
      <c r="P38" s="896">
        <f t="shared" si="14"/>
        <v>0.28039155574250862</v>
      </c>
      <c r="Q38" s="899">
        <f t="shared" si="14"/>
        <v>0.28664381336106054</v>
      </c>
      <c r="R38" s="900">
        <f t="shared" si="14"/>
        <v>0.2829390864179504</v>
      </c>
      <c r="S38" s="901">
        <f t="shared" si="14"/>
        <v>0.27930089315126388</v>
      </c>
      <c r="T38" s="897">
        <f t="shared" ca="1" si="14"/>
        <v>0.29182814365618748</v>
      </c>
      <c r="U38" s="897">
        <f t="shared" ca="1" si="14"/>
        <v>0.29273442284668849</v>
      </c>
      <c r="V38" s="897">
        <f t="shared" ca="1" si="14"/>
        <v>0.29096370185924242</v>
      </c>
      <c r="W38" s="897">
        <f t="shared" ca="1" si="14"/>
        <v>0.29106301133411983</v>
      </c>
      <c r="X38" s="898">
        <f t="shared" ca="1" si="14"/>
        <v>0.29241210236361137</v>
      </c>
      <c r="Y38" s="71"/>
      <c r="Z38" s="76"/>
      <c r="AB38" s="70"/>
    </row>
    <row r="39" spans="1:31" outlineLevel="1" x14ac:dyDescent="0.2">
      <c r="B39" s="373"/>
      <c r="C39" s="394" t="s">
        <v>189</v>
      </c>
      <c r="D39" s="68"/>
      <c r="E39" s="68"/>
      <c r="F39" s="68"/>
      <c r="G39" s="68"/>
      <c r="H39" s="68"/>
      <c r="I39" s="68"/>
      <c r="J39" s="68"/>
      <c r="K39" s="896">
        <f t="shared" ref="K39:S39" si="15">K15/K9</f>
        <v>5.3333033667460783E-2</v>
      </c>
      <c r="L39" s="896">
        <f t="shared" si="15"/>
        <v>5.8697643122815543E-2</v>
      </c>
      <c r="M39" s="896">
        <f t="shared" si="15"/>
        <v>5.9682175502070049E-2</v>
      </c>
      <c r="N39" s="896">
        <f t="shared" si="15"/>
        <v>6.4531726130907532E-2</v>
      </c>
      <c r="O39" s="896">
        <f t="shared" si="15"/>
        <v>6.5873148780309768E-2</v>
      </c>
      <c r="P39" s="896">
        <f t="shared" si="15"/>
        <v>7.7673052380918428E-2</v>
      </c>
      <c r="Q39" s="899">
        <f t="shared" si="15"/>
        <v>8.1687028853652199E-2</v>
      </c>
      <c r="R39" s="900">
        <f t="shared" si="15"/>
        <v>6.7593877004696892E-2</v>
      </c>
      <c r="S39" s="901">
        <f t="shared" si="15"/>
        <v>7.0989054701630291E-2</v>
      </c>
      <c r="T39" s="897">
        <f>S39</f>
        <v>7.0989054701630291E-2</v>
      </c>
      <c r="U39" s="851">
        <v>7.2499999999999995E-2</v>
      </c>
      <c r="V39" s="851">
        <v>7.4999999999999997E-2</v>
      </c>
      <c r="W39" s="851">
        <v>7.7499999999999999E-2</v>
      </c>
      <c r="X39" s="852">
        <v>0.08</v>
      </c>
      <c r="Y39" s="71"/>
      <c r="Z39" s="76"/>
      <c r="AB39" s="70"/>
    </row>
    <row r="40" spans="1:31" outlineLevel="1" x14ac:dyDescent="0.2">
      <c r="B40" s="130"/>
      <c r="C40" s="368" t="s">
        <v>190</v>
      </c>
      <c r="K40" s="896">
        <f t="shared" ref="K40:S40" si="16">-K18/K9</f>
        <v>-8.8776014743560932E-4</v>
      </c>
      <c r="L40" s="896">
        <f t="shared" si="16"/>
        <v>-1.9251256938863242E-3</v>
      </c>
      <c r="M40" s="896">
        <f t="shared" si="16"/>
        <v>1.3971923786832564E-3</v>
      </c>
      <c r="N40" s="896">
        <f t="shared" si="16"/>
        <v>3.0809710681074516E-3</v>
      </c>
      <c r="O40" s="896">
        <f t="shared" si="16"/>
        <v>1.1035394848145238E-3</v>
      </c>
      <c r="P40" s="896">
        <f t="shared" si="16"/>
        <v>3.6895501957065757E-3</v>
      </c>
      <c r="Q40" s="899">
        <f t="shared" si="16"/>
        <v>4.3540421107356383E-3</v>
      </c>
      <c r="R40" s="900">
        <f t="shared" si="16"/>
        <v>3.5105010829622058E-3</v>
      </c>
      <c r="S40" s="901">
        <f t="shared" si="16"/>
        <v>3.3438787750713216E-3</v>
      </c>
      <c r="T40" s="897">
        <f>AVERAGE(N40:P40)</f>
        <v>2.6246869162095169E-3</v>
      </c>
      <c r="U40" s="897">
        <f>T40</f>
        <v>2.6246869162095169E-3</v>
      </c>
      <c r="V40" s="897">
        <f>U40</f>
        <v>2.6246869162095169E-3</v>
      </c>
      <c r="W40" s="897">
        <f>V40</f>
        <v>2.6246869162095169E-3</v>
      </c>
      <c r="X40" s="898">
        <f>W40</f>
        <v>2.6246869162095169E-3</v>
      </c>
      <c r="Y40" s="71"/>
      <c r="Z40" s="76"/>
      <c r="AB40" s="70"/>
    </row>
    <row r="41" spans="1:31" outlineLevel="1" x14ac:dyDescent="0.2">
      <c r="B41" s="130"/>
      <c r="C41" s="368" t="s">
        <v>603</v>
      </c>
      <c r="K41" s="896">
        <f>K25/K9</f>
        <v>-2.7082303231896437E-3</v>
      </c>
      <c r="L41" s="896">
        <f t="shared" ref="L41:X41" si="17">L25/L9</f>
        <v>5.5697811337681999E-3</v>
      </c>
      <c r="M41" s="896">
        <f t="shared" si="17"/>
        <v>1.7435490157147373E-2</v>
      </c>
      <c r="N41" s="896">
        <f t="shared" si="17"/>
        <v>1.7052162864178651E-2</v>
      </c>
      <c r="O41" s="896">
        <f t="shared" si="17"/>
        <v>4.3252736305590261E-2</v>
      </c>
      <c r="P41" s="896">
        <f t="shared" si="17"/>
        <v>4.1308703060722513E-2</v>
      </c>
      <c r="Q41" s="899">
        <f t="shared" si="17"/>
        <v>5.0250194957109438E-2</v>
      </c>
      <c r="R41" s="900">
        <f t="shared" si="17"/>
        <v>4.7321797960623982E-2</v>
      </c>
      <c r="S41" s="901">
        <f t="shared" si="17"/>
        <v>4.0959407300594809E-2</v>
      </c>
      <c r="T41" s="897">
        <f t="shared" ca="1" si="17"/>
        <v>3.737229607697088E-2</v>
      </c>
      <c r="U41" s="897">
        <f t="shared" ca="1" si="17"/>
        <v>5.0262369773438995E-2</v>
      </c>
      <c r="V41" s="897">
        <f t="shared" ca="1" si="17"/>
        <v>6.5248655663348837E-2</v>
      </c>
      <c r="W41" s="897">
        <f t="shared" ca="1" si="17"/>
        <v>8.4894905997330988E-2</v>
      </c>
      <c r="X41" s="902">
        <f t="shared" ca="1" si="17"/>
        <v>9.766295367000756E-2</v>
      </c>
      <c r="Y41" s="71"/>
      <c r="Z41" s="76"/>
      <c r="AB41" s="70"/>
    </row>
    <row r="42" spans="1:31" outlineLevel="1" x14ac:dyDescent="0.2">
      <c r="B42" s="132"/>
      <c r="C42" s="395" t="s">
        <v>191</v>
      </c>
      <c r="D42" s="133"/>
      <c r="E42" s="133"/>
      <c r="F42" s="133"/>
      <c r="G42" s="133"/>
      <c r="H42" s="133"/>
      <c r="I42" s="133"/>
      <c r="J42" s="133"/>
      <c r="K42" s="903">
        <f t="shared" ref="K42:S42" si="18">K22/K19</f>
        <v>-1.5045045045045045</v>
      </c>
      <c r="L42" s="903">
        <f t="shared" si="18"/>
        <v>0.60586734693877553</v>
      </c>
      <c r="M42" s="903">
        <f t="shared" si="18"/>
        <v>0.36613566289825283</v>
      </c>
      <c r="N42" s="903">
        <f t="shared" si="18"/>
        <v>0.20204939569101418</v>
      </c>
      <c r="O42" s="903">
        <f t="shared" si="18"/>
        <v>0.10629606606873279</v>
      </c>
      <c r="P42" s="903">
        <f t="shared" si="18"/>
        <v>0.16986262163709215</v>
      </c>
      <c r="Q42" s="904">
        <f t="shared" si="18"/>
        <v>0.1500480043889727</v>
      </c>
      <c r="R42" s="905">
        <f t="shared" si="18"/>
        <v>0.18002915451895043</v>
      </c>
      <c r="S42" s="906">
        <f t="shared" si="18"/>
        <v>0.18472588863650316</v>
      </c>
      <c r="T42" s="919">
        <f ca="1">'Forecast Triggers'!D61</f>
        <v>0.17</v>
      </c>
      <c r="U42" s="919">
        <f ca="1">'Forecast Triggers'!E61</f>
        <v>0.17</v>
      </c>
      <c r="V42" s="919">
        <f ca="1">'Forecast Triggers'!F61</f>
        <v>0.2</v>
      </c>
      <c r="W42" s="919">
        <f ca="1">'Forecast Triggers'!G61</f>
        <v>0.2</v>
      </c>
      <c r="X42" s="920">
        <f ca="1">'Forecast Triggers'!H61</f>
        <v>0.25</v>
      </c>
      <c r="Y42" s="71"/>
      <c r="Z42" s="76"/>
      <c r="AB42" s="70"/>
    </row>
    <row r="43" spans="1:31" x14ac:dyDescent="0.2">
      <c r="C43" s="34"/>
      <c r="D43" s="396"/>
      <c r="E43" s="396"/>
      <c r="F43" s="396"/>
      <c r="G43" s="396"/>
      <c r="H43" s="396"/>
      <c r="I43" s="396"/>
      <c r="J43" s="396"/>
      <c r="K43" s="397"/>
      <c r="L43" s="397"/>
      <c r="M43" s="397"/>
      <c r="N43" s="499"/>
      <c r="O43" s="397"/>
      <c r="P43" s="499"/>
      <c r="Q43" s="138"/>
      <c r="R43" s="138"/>
      <c r="S43" s="138"/>
      <c r="AB43" s="70"/>
    </row>
    <row r="44" spans="1:31" x14ac:dyDescent="0.2">
      <c r="C44" s="34"/>
      <c r="D44" s="396"/>
      <c r="E44" s="396"/>
      <c r="F44" s="396"/>
      <c r="G44" s="396"/>
      <c r="H44" s="396"/>
      <c r="I44" s="396"/>
      <c r="J44" s="396"/>
      <c r="K44" s="397"/>
      <c r="L44" s="397"/>
      <c r="M44" s="397"/>
      <c r="N44" s="499"/>
      <c r="O44" s="499"/>
      <c r="P44" s="499"/>
      <c r="Q44" s="138"/>
      <c r="R44" s="138"/>
      <c r="S44" s="138"/>
      <c r="X44" s="722"/>
      <c r="AB44" s="70"/>
    </row>
    <row r="45" spans="1:31" x14ac:dyDescent="0.2">
      <c r="A45" s="720" t="s">
        <v>609</v>
      </c>
      <c r="B45" s="5" t="s">
        <v>192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7"/>
      <c r="Q45" s="6"/>
      <c r="R45" s="6"/>
      <c r="S45" s="6"/>
      <c r="T45" s="552"/>
      <c r="U45" s="541"/>
      <c r="V45" s="541"/>
      <c r="W45" s="541"/>
      <c r="X45" s="541"/>
    </row>
    <row r="46" spans="1:31" outlineLevel="1" x14ac:dyDescent="0.2">
      <c r="B46" s="8"/>
      <c r="C46" s="9" t="str">
        <f>$C$4</f>
        <v xml:space="preserve">USD in Millions 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1"/>
      <c r="Q46" s="6"/>
      <c r="R46" s="6"/>
      <c r="S46" s="6"/>
      <c r="T46" s="552"/>
      <c r="U46" s="541"/>
      <c r="V46" s="541"/>
      <c r="W46" s="541"/>
      <c r="X46" s="541"/>
    </row>
    <row r="47" spans="1:31" ht="22" outlineLevel="1" x14ac:dyDescent="0.4">
      <c r="B47" s="14"/>
      <c r="C47" s="15"/>
      <c r="D47" s="15"/>
      <c r="E47" s="15"/>
      <c r="F47" s="15"/>
      <c r="G47" s="15"/>
      <c r="H47" s="15"/>
      <c r="I47" s="15"/>
      <c r="J47" s="15"/>
      <c r="K47" s="388"/>
      <c r="L47" s="17"/>
      <c r="M47" s="16"/>
      <c r="N47" s="16"/>
      <c r="O47" s="16"/>
      <c r="P47" s="16"/>
      <c r="Q47" s="400"/>
      <c r="R47" s="401"/>
      <c r="S47" s="402"/>
      <c r="T47" s="553"/>
      <c r="U47" s="542"/>
      <c r="V47" s="542"/>
      <c r="W47" s="542"/>
      <c r="X47" s="542"/>
      <c r="Y47" s="367"/>
      <c r="Z47" s="77"/>
      <c r="AA47" s="74"/>
      <c r="AB47" s="75"/>
      <c r="AC47" s="75"/>
      <c r="AD47" s="75"/>
      <c r="AE47" s="75"/>
    </row>
    <row r="48" spans="1:31" outlineLevel="1" x14ac:dyDescent="0.2">
      <c r="B48" s="14"/>
      <c r="C48" s="15" t="s">
        <v>153</v>
      </c>
      <c r="D48" s="15"/>
      <c r="E48" s="15"/>
      <c r="F48" s="15"/>
      <c r="G48" s="15"/>
      <c r="H48" s="15"/>
      <c r="I48" s="15"/>
      <c r="J48" s="19">
        <f t="shared" ref="J48:P48" si="19">J$6</f>
        <v>2013</v>
      </c>
      <c r="K48" s="19">
        <f t="shared" si="19"/>
        <v>2014</v>
      </c>
      <c r="L48" s="19">
        <f t="shared" si="19"/>
        <v>2015</v>
      </c>
      <c r="M48" s="19">
        <f t="shared" si="19"/>
        <v>2016</v>
      </c>
      <c r="N48" s="19">
        <f t="shared" si="19"/>
        <v>2017</v>
      </c>
      <c r="O48" s="19">
        <f t="shared" si="19"/>
        <v>2018</v>
      </c>
      <c r="P48" s="19">
        <f t="shared" si="19"/>
        <v>2019</v>
      </c>
      <c r="Q48" s="403" t="s">
        <v>154</v>
      </c>
      <c r="R48" s="19" t="s">
        <v>155</v>
      </c>
      <c r="S48" s="20" t="s">
        <v>156</v>
      </c>
      <c r="T48" s="554"/>
      <c r="U48" s="543"/>
      <c r="V48" s="543"/>
      <c r="W48" s="543"/>
      <c r="X48" s="543"/>
      <c r="Y48" s="69"/>
      <c r="AA48" s="69"/>
      <c r="AB48" s="69"/>
      <c r="AC48" s="69"/>
      <c r="AD48" s="69"/>
      <c r="AE48" s="69"/>
    </row>
    <row r="49" spans="2:31" outlineLevel="1" x14ac:dyDescent="0.2">
      <c r="B49" s="14"/>
      <c r="C49" s="15" t="s">
        <v>157</v>
      </c>
      <c r="D49" s="15"/>
      <c r="E49" s="15"/>
      <c r="F49" s="15"/>
      <c r="G49" s="15"/>
      <c r="H49" s="15"/>
      <c r="I49" s="15"/>
      <c r="J49" s="15"/>
      <c r="K49" s="66">
        <f t="shared" ref="K49:P49" si="20">K$7</f>
        <v>42004</v>
      </c>
      <c r="L49" s="66">
        <f t="shared" si="20"/>
        <v>42369</v>
      </c>
      <c r="M49" s="66">
        <f t="shared" si="20"/>
        <v>42735</v>
      </c>
      <c r="N49" s="66">
        <f t="shared" si="20"/>
        <v>43100</v>
      </c>
      <c r="O49" s="66">
        <f t="shared" si="20"/>
        <v>43465</v>
      </c>
      <c r="P49" s="66">
        <f t="shared" si="20"/>
        <v>43830</v>
      </c>
      <c r="Q49" s="404"/>
      <c r="R49" s="22" t="str">
        <f>R$7</f>
        <v>Q2 2020</v>
      </c>
      <c r="S49" s="42">
        <v>1</v>
      </c>
      <c r="T49" s="150"/>
      <c r="U49" s="145"/>
      <c r="V49" s="145"/>
      <c r="W49" s="145"/>
      <c r="X49" s="145"/>
      <c r="Y49" s="374"/>
    </row>
    <row r="50" spans="2:31" outlineLevel="1" x14ac:dyDescent="0.2">
      <c r="B50" s="24"/>
      <c r="C50" s="25" t="s">
        <v>160</v>
      </c>
      <c r="D50" s="26"/>
      <c r="E50" s="26"/>
      <c r="F50" s="26"/>
      <c r="G50" s="26"/>
      <c r="H50" s="26"/>
      <c r="I50" s="26"/>
      <c r="J50" s="26"/>
      <c r="K50" s="27" t="str">
        <f>K$8</f>
        <v>GAAP</v>
      </c>
      <c r="L50" s="27" t="str">
        <f t="shared" ref="L50:S50" si="21">L$8</f>
        <v>GAAP</v>
      </c>
      <c r="M50" s="27" t="str">
        <f t="shared" si="21"/>
        <v>GAAP</v>
      </c>
      <c r="N50" s="27" t="str">
        <f t="shared" si="21"/>
        <v>GAAP</v>
      </c>
      <c r="O50" s="27" t="str">
        <f t="shared" si="21"/>
        <v>GAAP</v>
      </c>
      <c r="P50" s="27" t="str">
        <f t="shared" si="21"/>
        <v>GAAP</v>
      </c>
      <c r="Q50" s="405"/>
      <c r="R50" s="406" t="str">
        <f t="shared" si="21"/>
        <v>GAAP</v>
      </c>
      <c r="S50" s="407" t="str">
        <f t="shared" si="21"/>
        <v>GAAP</v>
      </c>
      <c r="T50" s="150"/>
      <c r="U50" s="145"/>
      <c r="V50" s="145"/>
      <c r="W50" s="145"/>
      <c r="X50" s="145"/>
    </row>
    <row r="51" spans="2:31" outlineLevel="1" x14ac:dyDescent="0.2">
      <c r="B51" s="43"/>
      <c r="C51" s="44" t="s">
        <v>193</v>
      </c>
      <c r="D51" s="45"/>
      <c r="E51" s="45"/>
      <c r="F51" s="45"/>
      <c r="G51" s="45"/>
      <c r="H51" s="45"/>
      <c r="I51" s="45"/>
      <c r="J51" s="46"/>
      <c r="K51" s="47"/>
      <c r="L51" s="47"/>
      <c r="M51" s="47"/>
      <c r="N51" s="47"/>
      <c r="O51" s="47"/>
      <c r="P51" s="48"/>
      <c r="Q51" s="408"/>
      <c r="R51" s="408"/>
      <c r="S51" s="408"/>
      <c r="T51" s="150"/>
      <c r="U51" s="145"/>
      <c r="V51" s="145"/>
      <c r="W51" s="145"/>
      <c r="X51" s="145"/>
      <c r="Y51" s="74"/>
      <c r="Z51" s="74"/>
      <c r="AA51" s="74"/>
      <c r="AB51" s="74"/>
      <c r="AC51" s="74"/>
      <c r="AD51" s="74"/>
      <c r="AE51" s="74"/>
    </row>
    <row r="52" spans="2:31" outlineLevel="1" x14ac:dyDescent="0.2">
      <c r="B52" s="28"/>
      <c r="C52" s="32" t="s">
        <v>194</v>
      </c>
      <c r="J52" s="360">
        <v>8658</v>
      </c>
      <c r="K52" s="360">
        <v>14557</v>
      </c>
      <c r="L52" s="360">
        <v>15890</v>
      </c>
      <c r="M52" s="360">
        <v>19334</v>
      </c>
      <c r="N52" s="360">
        <v>20522</v>
      </c>
      <c r="O52" s="360">
        <v>31750</v>
      </c>
      <c r="P52" s="361">
        <v>36092</v>
      </c>
      <c r="Q52" s="362"/>
      <c r="R52" s="363">
        <v>37466</v>
      </c>
      <c r="S52" s="861">
        <f>IF($S$49&gt;0,R52,P52)</f>
        <v>37466</v>
      </c>
      <c r="T52" s="555"/>
      <c r="U52" s="544"/>
      <c r="V52" s="544"/>
      <c r="W52" s="544"/>
      <c r="X52" s="544"/>
      <c r="Y52" s="78"/>
      <c r="Z52" s="78"/>
      <c r="AA52" s="78"/>
      <c r="AB52" s="78"/>
      <c r="AC52" s="78"/>
      <c r="AD52" s="78"/>
      <c r="AE52" s="79"/>
    </row>
    <row r="53" spans="2:31" outlineLevel="1" x14ac:dyDescent="0.2">
      <c r="B53" s="28"/>
      <c r="C53" s="32" t="s">
        <v>195</v>
      </c>
      <c r="J53" s="354">
        <v>3789</v>
      </c>
      <c r="K53" s="354">
        <v>2859</v>
      </c>
      <c r="L53" s="354">
        <v>3918</v>
      </c>
      <c r="M53" s="354">
        <v>6647</v>
      </c>
      <c r="N53" s="354">
        <v>10464</v>
      </c>
      <c r="O53" s="354">
        <v>9500</v>
      </c>
      <c r="P53" s="355">
        <v>18929</v>
      </c>
      <c r="Q53" s="356"/>
      <c r="R53" s="357">
        <v>33925</v>
      </c>
      <c r="S53" s="831">
        <f>IF($S$49&gt;0,R53,P53)</f>
        <v>33925</v>
      </c>
      <c r="T53" s="555"/>
      <c r="U53" s="544"/>
      <c r="V53" s="544"/>
      <c r="W53" s="544"/>
      <c r="X53" s="544"/>
      <c r="Y53" s="78"/>
      <c r="AA53" s="79"/>
      <c r="AB53" s="79"/>
      <c r="AC53" s="79"/>
      <c r="AD53" s="79"/>
      <c r="AE53" s="79"/>
    </row>
    <row r="54" spans="2:31" outlineLevel="1" x14ac:dyDescent="0.2">
      <c r="B54" s="28"/>
      <c r="C54" s="32" t="s">
        <v>196</v>
      </c>
      <c r="J54" s="354">
        <v>4767</v>
      </c>
      <c r="K54" s="354">
        <v>5612</v>
      </c>
      <c r="L54" s="354">
        <v>6423</v>
      </c>
      <c r="M54" s="354">
        <v>8339</v>
      </c>
      <c r="N54" s="354">
        <v>13164</v>
      </c>
      <c r="O54" s="354">
        <v>16677</v>
      </c>
      <c r="P54" s="355">
        <v>20816</v>
      </c>
      <c r="Q54" s="356"/>
      <c r="R54" s="357">
        <v>19918</v>
      </c>
      <c r="S54" s="831">
        <f>IF($S$49&gt;0,R54,P54)</f>
        <v>19918</v>
      </c>
      <c r="T54" s="555"/>
      <c r="U54" s="544"/>
      <c r="V54" s="544"/>
      <c r="W54" s="544"/>
      <c r="X54" s="544"/>
      <c r="Y54" s="78"/>
      <c r="AA54" s="79"/>
      <c r="AB54" s="79"/>
      <c r="AC54" s="79"/>
      <c r="AD54" s="79"/>
      <c r="AE54" s="79"/>
    </row>
    <row r="55" spans="2:31" outlineLevel="1" x14ac:dyDescent="0.2">
      <c r="B55" s="28"/>
      <c r="C55" s="32" t="s">
        <v>197</v>
      </c>
      <c r="J55" s="354">
        <v>7411</v>
      </c>
      <c r="K55" s="354">
        <v>8299</v>
      </c>
      <c r="L55" s="354">
        <v>10243</v>
      </c>
      <c r="M55" s="354">
        <v>11461</v>
      </c>
      <c r="N55" s="354">
        <v>16047</v>
      </c>
      <c r="O55" s="354">
        <v>17174</v>
      </c>
      <c r="P55" s="355">
        <v>20497</v>
      </c>
      <c r="Q55" s="356"/>
      <c r="R55" s="357">
        <v>19599</v>
      </c>
      <c r="S55" s="831">
        <f>IF($S$49&gt;0,R55,P55)</f>
        <v>19599</v>
      </c>
      <c r="T55" s="555"/>
      <c r="U55" s="544"/>
      <c r="V55" s="544"/>
      <c r="W55" s="544"/>
      <c r="X55" s="544"/>
      <c r="Y55" s="78"/>
      <c r="AA55" s="79"/>
      <c r="AB55" s="79"/>
      <c r="AC55" s="79"/>
      <c r="AD55" s="79"/>
      <c r="AE55" s="79"/>
    </row>
    <row r="56" spans="2:31" outlineLevel="1" x14ac:dyDescent="0.2">
      <c r="B56" s="28"/>
      <c r="C56" s="29" t="s">
        <v>198</v>
      </c>
      <c r="J56" s="358">
        <f t="shared" ref="J56:S56" si="22">SUM(J52:J55)</f>
        <v>24625</v>
      </c>
      <c r="K56" s="864">
        <f t="shared" si="22"/>
        <v>31327</v>
      </c>
      <c r="L56" s="864">
        <f t="shared" si="22"/>
        <v>36474</v>
      </c>
      <c r="M56" s="864">
        <f t="shared" si="22"/>
        <v>45781</v>
      </c>
      <c r="N56" s="864">
        <f t="shared" si="22"/>
        <v>60197</v>
      </c>
      <c r="O56" s="864">
        <f t="shared" si="22"/>
        <v>75101</v>
      </c>
      <c r="P56" s="921">
        <f t="shared" si="22"/>
        <v>96334</v>
      </c>
      <c r="Q56" s="359"/>
      <c r="R56" s="371">
        <f t="shared" si="22"/>
        <v>110908</v>
      </c>
      <c r="S56" s="864">
        <f t="shared" si="22"/>
        <v>110908</v>
      </c>
      <c r="T56" s="556"/>
      <c r="U56" s="545"/>
      <c r="V56" s="545"/>
      <c r="W56" s="545"/>
      <c r="X56" s="545"/>
      <c r="Y56" s="80"/>
      <c r="AA56" s="81"/>
      <c r="AB56" s="81"/>
      <c r="AC56" s="81"/>
      <c r="AD56" s="81"/>
      <c r="AE56" s="81"/>
    </row>
    <row r="57" spans="2:31" outlineLevel="1" x14ac:dyDescent="0.2">
      <c r="B57" s="28"/>
      <c r="C57" s="32" t="s">
        <v>199</v>
      </c>
      <c r="J57" s="354">
        <v>14809</v>
      </c>
      <c r="K57" s="354">
        <v>22730</v>
      </c>
      <c r="L57" s="354">
        <v>30053</v>
      </c>
      <c r="M57" s="354">
        <v>42441</v>
      </c>
      <c r="N57" s="354">
        <v>68573</v>
      </c>
      <c r="O57" s="354">
        <v>95770</v>
      </c>
      <c r="P57" s="355">
        <v>119680</v>
      </c>
      <c r="Q57" s="356"/>
      <c r="R57" s="357">
        <v>86517</v>
      </c>
      <c r="S57" s="873">
        <f>IF($S$49&gt;0,R57,P57)</f>
        <v>86517</v>
      </c>
      <c r="T57" s="555"/>
      <c r="U57" s="544"/>
      <c r="V57" s="544"/>
      <c r="W57" s="544"/>
      <c r="X57" s="544"/>
      <c r="Y57" s="78"/>
      <c r="AA57" s="79"/>
      <c r="AB57" s="79"/>
      <c r="AC57" s="79"/>
      <c r="AD57" s="79"/>
      <c r="AE57" s="79"/>
    </row>
    <row r="58" spans="2:31" outlineLevel="1" x14ac:dyDescent="0.2">
      <c r="B58" s="28"/>
      <c r="C58" s="32" t="s">
        <v>200</v>
      </c>
      <c r="H58" s="378"/>
      <c r="J58" s="354">
        <v>3860</v>
      </c>
      <c r="K58" s="354">
        <v>5763</v>
      </c>
      <c r="L58" s="354">
        <v>8215</v>
      </c>
      <c r="M58" s="354">
        <v>13327</v>
      </c>
      <c r="N58" s="354">
        <v>19707</v>
      </c>
      <c r="O58" s="354">
        <v>33973</v>
      </c>
      <c r="P58" s="355">
        <v>46975</v>
      </c>
      <c r="Q58" s="356"/>
      <c r="R58" s="357">
        <v>0</v>
      </c>
      <c r="S58" s="922">
        <f>IF($S$49&gt;0,R58,P58)</f>
        <v>0</v>
      </c>
      <c r="T58" s="555"/>
      <c r="U58" s="544"/>
      <c r="V58" s="544"/>
      <c r="W58" s="544"/>
      <c r="X58" s="544"/>
      <c r="Y58" s="78"/>
      <c r="AA58" s="79"/>
      <c r="AB58" s="79"/>
      <c r="AC58" s="79"/>
      <c r="AD58" s="79"/>
      <c r="AE58" s="79"/>
    </row>
    <row r="59" spans="2:31" outlineLevel="1" x14ac:dyDescent="0.2">
      <c r="B59" s="28"/>
      <c r="C59" s="50" t="s">
        <v>201</v>
      </c>
      <c r="J59" s="358">
        <f>J57-J58</f>
        <v>10949</v>
      </c>
      <c r="K59" s="864">
        <f>K57-K58</f>
        <v>16967</v>
      </c>
      <c r="L59" s="864">
        <f>L57-L58</f>
        <v>21838</v>
      </c>
      <c r="M59" s="864">
        <f t="shared" ref="M59:R59" si="23">M57-M58</f>
        <v>29114</v>
      </c>
      <c r="N59" s="864">
        <f t="shared" si="23"/>
        <v>48866</v>
      </c>
      <c r="O59" s="864">
        <f t="shared" si="23"/>
        <v>61797</v>
      </c>
      <c r="P59" s="921">
        <f t="shared" si="23"/>
        <v>72705</v>
      </c>
      <c r="Q59" s="359"/>
      <c r="R59" s="371">
        <f t="shared" si="23"/>
        <v>86517</v>
      </c>
      <c r="S59" s="864">
        <f>R59</f>
        <v>86517</v>
      </c>
      <c r="T59" s="556"/>
      <c r="U59" s="545"/>
      <c r="V59" s="545"/>
      <c r="W59" s="545"/>
      <c r="X59" s="545"/>
      <c r="Y59" s="80"/>
      <c r="AA59" s="81"/>
      <c r="AB59" s="81"/>
      <c r="AC59" s="81"/>
      <c r="AD59" s="81"/>
      <c r="AE59" s="81"/>
    </row>
    <row r="60" spans="2:31" outlineLevel="1" x14ac:dyDescent="0.2">
      <c r="B60" s="28"/>
      <c r="C60" s="32" t="s">
        <v>202</v>
      </c>
      <c r="J60" s="354">
        <v>2655</v>
      </c>
      <c r="K60" s="354">
        <v>3319</v>
      </c>
      <c r="L60" s="354">
        <v>3759</v>
      </c>
      <c r="M60" s="354">
        <v>3784</v>
      </c>
      <c r="N60" s="354">
        <v>13350</v>
      </c>
      <c r="O60" s="354">
        <v>14548</v>
      </c>
      <c r="P60" s="355">
        <v>14754</v>
      </c>
      <c r="Q60" s="356"/>
      <c r="R60" s="357">
        <v>14751</v>
      </c>
      <c r="S60" s="831">
        <f>IF($S$49&gt;0,R60,P60)</f>
        <v>14751</v>
      </c>
      <c r="T60" s="555"/>
      <c r="U60" s="544"/>
      <c r="V60" s="544"/>
      <c r="W60" s="544"/>
      <c r="X60" s="544"/>
      <c r="Y60" s="78"/>
      <c r="AA60" s="79"/>
      <c r="AB60" s="79"/>
      <c r="AC60" s="79"/>
      <c r="AD60" s="79"/>
      <c r="AE60" s="79"/>
    </row>
    <row r="61" spans="2:31" outlineLevel="1" x14ac:dyDescent="0.2">
      <c r="B61" s="28"/>
      <c r="C61" s="32" t="s">
        <v>203</v>
      </c>
      <c r="J61" s="354">
        <v>0</v>
      </c>
      <c r="K61" s="354">
        <v>0</v>
      </c>
      <c r="L61" s="354">
        <v>0</v>
      </c>
      <c r="M61" s="354">
        <v>0</v>
      </c>
      <c r="N61" s="354">
        <v>0</v>
      </c>
      <c r="O61" s="354">
        <v>0</v>
      </c>
      <c r="P61" s="355">
        <v>25141</v>
      </c>
      <c r="Q61" s="356"/>
      <c r="R61" s="357">
        <v>28537</v>
      </c>
      <c r="S61" s="831">
        <f>IF($S$49&gt;0,R61,P61)</f>
        <v>28537</v>
      </c>
      <c r="T61" s="555"/>
      <c r="U61" s="544"/>
      <c r="V61" s="544"/>
      <c r="W61" s="544"/>
      <c r="X61" s="544"/>
      <c r="Y61" s="78"/>
      <c r="AA61" s="79"/>
      <c r="AB61" s="79"/>
      <c r="AC61" s="79"/>
      <c r="AD61" s="79"/>
      <c r="AE61" s="79"/>
    </row>
    <row r="62" spans="2:31" outlineLevel="1" x14ac:dyDescent="0.2">
      <c r="B62" s="28"/>
      <c r="C62" s="32" t="s">
        <v>204</v>
      </c>
      <c r="J62" s="354">
        <v>1930</v>
      </c>
      <c r="K62" s="354">
        <v>2892</v>
      </c>
      <c r="L62" s="354">
        <v>3373</v>
      </c>
      <c r="M62" s="354">
        <v>4723</v>
      </c>
      <c r="N62" s="354">
        <v>8897</v>
      </c>
      <c r="O62" s="354">
        <v>11202</v>
      </c>
      <c r="P62" s="355">
        <v>16314</v>
      </c>
      <c r="Q62" s="356"/>
      <c r="R62" s="357">
        <v>17601</v>
      </c>
      <c r="S62" s="831">
        <f>IF($S$49&gt;0,R62,P62)</f>
        <v>17601</v>
      </c>
      <c r="T62" s="555"/>
      <c r="U62" s="544"/>
      <c r="V62" s="544"/>
      <c r="W62" s="544"/>
      <c r="X62" s="544"/>
      <c r="Y62" s="78"/>
      <c r="AA62" s="79"/>
      <c r="AB62" s="79"/>
      <c r="AC62" s="79"/>
      <c r="AD62" s="79"/>
      <c r="AE62" s="79"/>
    </row>
    <row r="63" spans="2:31" outlineLevel="1" x14ac:dyDescent="0.2">
      <c r="B63" s="28"/>
      <c r="C63" s="33" t="s">
        <v>205</v>
      </c>
      <c r="J63" s="358">
        <f t="shared" ref="J63:S63" si="24">SUM(J59:J62)</f>
        <v>15534</v>
      </c>
      <c r="K63" s="864">
        <f t="shared" si="24"/>
        <v>23178</v>
      </c>
      <c r="L63" s="864">
        <f t="shared" si="24"/>
        <v>28970</v>
      </c>
      <c r="M63" s="864">
        <f t="shared" si="24"/>
        <v>37621</v>
      </c>
      <c r="N63" s="864">
        <f t="shared" si="24"/>
        <v>71113</v>
      </c>
      <c r="O63" s="864">
        <f t="shared" si="24"/>
        <v>87547</v>
      </c>
      <c r="P63" s="921">
        <f t="shared" si="24"/>
        <v>128914</v>
      </c>
      <c r="Q63" s="359"/>
      <c r="R63" s="371">
        <f t="shared" si="24"/>
        <v>147406</v>
      </c>
      <c r="S63" s="864">
        <f t="shared" si="24"/>
        <v>147406</v>
      </c>
      <c r="T63" s="556"/>
      <c r="U63" s="545"/>
      <c r="V63" s="545"/>
      <c r="W63" s="545"/>
      <c r="X63" s="545"/>
      <c r="Y63" s="80"/>
      <c r="AA63" s="81"/>
      <c r="AB63" s="81"/>
      <c r="AC63" s="81"/>
      <c r="AD63" s="81"/>
      <c r="AE63" s="81"/>
    </row>
    <row r="64" spans="2:31" outlineLevel="1" x14ac:dyDescent="0.2">
      <c r="B64" s="28"/>
      <c r="C64" s="33" t="s">
        <v>206</v>
      </c>
      <c r="J64" s="117">
        <f t="shared" ref="J64:S64" si="25">J63+J56</f>
        <v>40159</v>
      </c>
      <c r="K64" s="419">
        <f t="shared" si="25"/>
        <v>54505</v>
      </c>
      <c r="L64" s="419">
        <f t="shared" si="25"/>
        <v>65444</v>
      </c>
      <c r="M64" s="419">
        <f t="shared" si="25"/>
        <v>83402</v>
      </c>
      <c r="N64" s="419">
        <f t="shared" si="25"/>
        <v>131310</v>
      </c>
      <c r="O64" s="419">
        <f t="shared" si="25"/>
        <v>162648</v>
      </c>
      <c r="P64" s="923">
        <f t="shared" si="25"/>
        <v>225248</v>
      </c>
      <c r="Q64" s="364"/>
      <c r="R64" s="372">
        <f t="shared" si="25"/>
        <v>258314</v>
      </c>
      <c r="S64" s="419">
        <f t="shared" si="25"/>
        <v>258314</v>
      </c>
      <c r="T64" s="556"/>
      <c r="U64" s="545"/>
      <c r="V64" s="545"/>
      <c r="W64" s="545"/>
      <c r="X64" s="545"/>
      <c r="Y64" s="80"/>
      <c r="AA64" s="81"/>
      <c r="AB64" s="81"/>
      <c r="AC64" s="81"/>
      <c r="AD64" s="81"/>
      <c r="AE64" s="81"/>
    </row>
    <row r="65" spans="2:31" outlineLevel="1" x14ac:dyDescent="0.2">
      <c r="B65" s="28"/>
      <c r="K65" s="138"/>
      <c r="L65" s="138"/>
      <c r="M65" s="138"/>
      <c r="N65" s="138"/>
      <c r="O65" s="138"/>
      <c r="P65" s="138"/>
      <c r="Q65" s="375"/>
      <c r="R65" s="53"/>
      <c r="T65" s="557"/>
      <c r="U65" s="547"/>
      <c r="V65" s="547"/>
      <c r="W65" s="547"/>
      <c r="X65" s="547"/>
      <c r="Y65" s="78"/>
      <c r="AA65" s="79"/>
      <c r="AB65" s="79"/>
      <c r="AC65" s="79"/>
      <c r="AD65" s="79"/>
      <c r="AE65" s="79"/>
    </row>
    <row r="66" spans="2:31" outlineLevel="1" x14ac:dyDescent="0.2">
      <c r="B66" s="43"/>
      <c r="C66" s="44" t="s">
        <v>207</v>
      </c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150"/>
      <c r="U66" s="145"/>
      <c r="V66" s="145"/>
      <c r="W66" s="145"/>
      <c r="X66" s="145"/>
      <c r="Y66" s="82"/>
      <c r="Z66" s="82"/>
      <c r="AA66" s="83"/>
      <c r="AB66" s="83"/>
      <c r="AC66" s="83"/>
      <c r="AD66" s="83"/>
      <c r="AE66" s="83"/>
    </row>
    <row r="67" spans="2:31" outlineLevel="1" x14ac:dyDescent="0.2">
      <c r="B67" s="28"/>
      <c r="C67" s="32" t="s">
        <v>208</v>
      </c>
      <c r="J67" s="360">
        <v>15133</v>
      </c>
      <c r="K67" s="360">
        <v>16459</v>
      </c>
      <c r="L67" s="360">
        <v>20397</v>
      </c>
      <c r="M67" s="360">
        <v>25309</v>
      </c>
      <c r="N67" s="360">
        <v>34616</v>
      </c>
      <c r="O67" s="360">
        <v>38192</v>
      </c>
      <c r="P67" s="361">
        <v>47183</v>
      </c>
      <c r="Q67" s="362"/>
      <c r="R67" s="363">
        <v>51036</v>
      </c>
      <c r="S67" s="861">
        <f>IF($S$49&gt;0,R67,P67)</f>
        <v>51036</v>
      </c>
      <c r="T67" s="555"/>
      <c r="U67" s="544"/>
      <c r="V67" s="544"/>
      <c r="W67" s="544"/>
      <c r="X67" s="544"/>
      <c r="Y67" s="78"/>
      <c r="AA67" s="79"/>
      <c r="AB67" s="79"/>
      <c r="AC67" s="79"/>
      <c r="AD67" s="79"/>
      <c r="AE67" s="79"/>
    </row>
    <row r="68" spans="2:31" outlineLevel="1" x14ac:dyDescent="0.2">
      <c r="B68" s="28"/>
      <c r="C68" s="32" t="s">
        <v>209</v>
      </c>
      <c r="J68" s="354">
        <v>6688</v>
      </c>
      <c r="K68" s="354">
        <v>9807</v>
      </c>
      <c r="L68" s="354">
        <v>10384</v>
      </c>
      <c r="M68" s="354">
        <v>13739</v>
      </c>
      <c r="N68" s="354">
        <v>18170</v>
      </c>
      <c r="O68" s="354">
        <v>23663</v>
      </c>
      <c r="P68" s="355">
        <v>32439</v>
      </c>
      <c r="Q68" s="356"/>
      <c r="R68" s="357">
        <v>33863</v>
      </c>
      <c r="S68" s="831">
        <f>IF($S$49&gt;0,R68,P68)</f>
        <v>33863</v>
      </c>
      <c r="T68" s="555"/>
      <c r="U68" s="544"/>
      <c r="V68" s="544"/>
      <c r="W68" s="544"/>
      <c r="X68" s="544"/>
      <c r="Y68" s="78"/>
      <c r="AA68" s="79"/>
      <c r="AB68" s="79"/>
      <c r="AC68" s="79"/>
      <c r="AD68" s="79"/>
      <c r="AE68" s="79"/>
    </row>
    <row r="69" spans="2:31" outlineLevel="1" x14ac:dyDescent="0.2">
      <c r="B69" s="28"/>
      <c r="C69" s="32" t="s">
        <v>210</v>
      </c>
      <c r="J69" s="354">
        <v>1159</v>
      </c>
      <c r="K69" s="354">
        <v>1823</v>
      </c>
      <c r="L69" s="354">
        <v>3118</v>
      </c>
      <c r="M69" s="354">
        <v>4768</v>
      </c>
      <c r="N69" s="354">
        <v>5097</v>
      </c>
      <c r="O69" s="354">
        <v>6536</v>
      </c>
      <c r="P69" s="355">
        <v>8190</v>
      </c>
      <c r="Q69" s="356"/>
      <c r="R69" s="357">
        <v>8997</v>
      </c>
      <c r="S69" s="831">
        <f>IF($S$49&gt;0,R69,P69)</f>
        <v>8997</v>
      </c>
      <c r="T69" s="555"/>
      <c r="U69" s="544"/>
      <c r="V69" s="544"/>
      <c r="W69" s="544"/>
      <c r="X69" s="544"/>
      <c r="Y69" s="78"/>
      <c r="AA69" s="79"/>
      <c r="AB69" s="79"/>
      <c r="AC69" s="79"/>
      <c r="AD69" s="79"/>
      <c r="AE69" s="79"/>
    </row>
    <row r="70" spans="2:31" outlineLevel="1" x14ac:dyDescent="0.2">
      <c r="B70" s="28"/>
      <c r="C70" s="29" t="s">
        <v>211</v>
      </c>
      <c r="J70" s="358">
        <f t="shared" ref="J70:S70" si="26">SUM(J67:J69)</f>
        <v>22980</v>
      </c>
      <c r="K70" s="864">
        <f t="shared" si="26"/>
        <v>28089</v>
      </c>
      <c r="L70" s="864">
        <f t="shared" si="26"/>
        <v>33899</v>
      </c>
      <c r="M70" s="864">
        <f t="shared" si="26"/>
        <v>43816</v>
      </c>
      <c r="N70" s="864">
        <f t="shared" si="26"/>
        <v>57883</v>
      </c>
      <c r="O70" s="864">
        <f t="shared" si="26"/>
        <v>68391</v>
      </c>
      <c r="P70" s="921">
        <f t="shared" si="26"/>
        <v>87812</v>
      </c>
      <c r="Q70" s="359"/>
      <c r="R70" s="371">
        <f t="shared" si="26"/>
        <v>93896</v>
      </c>
      <c r="S70" s="864">
        <f t="shared" si="26"/>
        <v>93896</v>
      </c>
      <c r="T70" s="556"/>
      <c r="U70" s="545"/>
      <c r="V70" s="545"/>
      <c r="W70" s="545"/>
      <c r="X70" s="545"/>
      <c r="Y70" s="80"/>
      <c r="AA70" s="81"/>
      <c r="AB70" s="81"/>
      <c r="AC70" s="81"/>
      <c r="AD70" s="81"/>
      <c r="AE70" s="81"/>
    </row>
    <row r="71" spans="2:31" outlineLevel="1" x14ac:dyDescent="0.2">
      <c r="B71" s="28"/>
      <c r="C71" s="32" t="s">
        <v>212</v>
      </c>
      <c r="J71" s="354">
        <v>3191</v>
      </c>
      <c r="K71" s="354">
        <v>8265</v>
      </c>
      <c r="L71" s="354">
        <v>8235</v>
      </c>
      <c r="M71" s="354">
        <v>7694</v>
      </c>
      <c r="N71" s="354">
        <v>24743</v>
      </c>
      <c r="O71" s="354">
        <v>23495</v>
      </c>
      <c r="P71" s="355">
        <v>23414</v>
      </c>
      <c r="Q71" s="356"/>
      <c r="R71" s="357">
        <v>33128</v>
      </c>
      <c r="S71" s="831">
        <f>IF($S$49&gt;0,R71,P71)</f>
        <v>33128</v>
      </c>
      <c r="T71" s="555"/>
      <c r="U71" s="544"/>
      <c r="V71" s="544"/>
      <c r="W71" s="544"/>
      <c r="X71" s="544"/>
      <c r="Y71" s="78"/>
      <c r="AA71" s="79"/>
      <c r="AB71" s="79"/>
      <c r="AC71" s="79"/>
      <c r="AD71" s="79"/>
      <c r="AE71" s="79"/>
    </row>
    <row r="72" spans="2:31" outlineLevel="1" x14ac:dyDescent="0.2">
      <c r="B72" s="28"/>
      <c r="C72" s="32" t="s">
        <v>213</v>
      </c>
      <c r="J72" s="354">
        <v>0</v>
      </c>
      <c r="K72" s="354">
        <v>0</v>
      </c>
      <c r="L72" s="354">
        <v>0</v>
      </c>
      <c r="M72" s="354">
        <v>0</v>
      </c>
      <c r="N72" s="354">
        <v>0</v>
      </c>
      <c r="O72" s="354">
        <v>9650</v>
      </c>
      <c r="P72" s="355">
        <v>39791</v>
      </c>
      <c r="Q72" s="356"/>
      <c r="R72" s="357">
        <v>42798</v>
      </c>
      <c r="S72" s="831">
        <f>IF($S$49&gt;0,R72,P72)</f>
        <v>42798</v>
      </c>
      <c r="T72" s="555"/>
      <c r="U72" s="544"/>
      <c r="V72" s="544"/>
      <c r="W72" s="544"/>
      <c r="X72" s="544"/>
      <c r="Y72" s="78"/>
      <c r="AA72" s="79"/>
      <c r="AB72" s="79"/>
      <c r="AC72" s="79"/>
      <c r="AD72" s="79"/>
      <c r="AE72" s="79"/>
    </row>
    <row r="73" spans="2:31" outlineLevel="1" x14ac:dyDescent="0.2">
      <c r="B73" s="28"/>
      <c r="C73" s="32" t="s">
        <v>214</v>
      </c>
      <c r="J73" s="354">
        <v>4242</v>
      </c>
      <c r="K73" s="354">
        <v>7410</v>
      </c>
      <c r="L73" s="354">
        <v>9926</v>
      </c>
      <c r="M73" s="354">
        <v>12607</v>
      </c>
      <c r="N73" s="354">
        <v>20975</v>
      </c>
      <c r="O73" s="831">
        <f>17563</f>
        <v>17563</v>
      </c>
      <c r="P73" s="924">
        <f>12171</f>
        <v>12171</v>
      </c>
      <c r="Q73" s="356"/>
      <c r="R73" s="357">
        <v>14764</v>
      </c>
      <c r="S73" s="831">
        <f>IF($S$49&gt;0,R73,P73)</f>
        <v>14764</v>
      </c>
      <c r="T73" s="555"/>
      <c r="U73" s="544"/>
      <c r="V73" s="544"/>
      <c r="W73" s="544"/>
      <c r="X73" s="544"/>
      <c r="Y73" s="78"/>
      <c r="AA73" s="79"/>
      <c r="AB73" s="79"/>
      <c r="AC73" s="79"/>
      <c r="AD73" s="79"/>
      <c r="AE73" s="79"/>
    </row>
    <row r="74" spans="2:31" outlineLevel="1" x14ac:dyDescent="0.2">
      <c r="B74" s="28"/>
      <c r="C74" s="29" t="s">
        <v>215</v>
      </c>
      <c r="J74" s="358">
        <f t="shared" ref="J74:S74" si="27">SUM(J71:J73)</f>
        <v>7433</v>
      </c>
      <c r="K74" s="864">
        <f t="shared" si="27"/>
        <v>15675</v>
      </c>
      <c r="L74" s="864">
        <f t="shared" si="27"/>
        <v>18161</v>
      </c>
      <c r="M74" s="864">
        <f t="shared" si="27"/>
        <v>20301</v>
      </c>
      <c r="N74" s="864">
        <f t="shared" si="27"/>
        <v>45718</v>
      </c>
      <c r="O74" s="864">
        <f t="shared" si="27"/>
        <v>50708</v>
      </c>
      <c r="P74" s="921">
        <f t="shared" si="27"/>
        <v>75376</v>
      </c>
      <c r="Q74" s="359"/>
      <c r="R74" s="371">
        <f t="shared" si="27"/>
        <v>90690</v>
      </c>
      <c r="S74" s="864">
        <f t="shared" si="27"/>
        <v>90690</v>
      </c>
      <c r="T74" s="556"/>
      <c r="U74" s="545"/>
      <c r="V74" s="545"/>
      <c r="W74" s="545"/>
      <c r="X74" s="545"/>
      <c r="Y74" s="80"/>
      <c r="AA74" s="81"/>
      <c r="AB74" s="81"/>
      <c r="AC74" s="81"/>
      <c r="AD74" s="81"/>
      <c r="AE74" s="81"/>
    </row>
    <row r="75" spans="2:31" outlineLevel="1" x14ac:dyDescent="0.2">
      <c r="B75" s="28"/>
      <c r="C75" s="29" t="s">
        <v>216</v>
      </c>
      <c r="J75" s="117">
        <f t="shared" ref="J75:S75" si="28">J74+J70</f>
        <v>30413</v>
      </c>
      <c r="K75" s="419">
        <f t="shared" si="28"/>
        <v>43764</v>
      </c>
      <c r="L75" s="419">
        <f t="shared" si="28"/>
        <v>52060</v>
      </c>
      <c r="M75" s="419">
        <f t="shared" si="28"/>
        <v>64117</v>
      </c>
      <c r="N75" s="419">
        <f t="shared" si="28"/>
        <v>103601</v>
      </c>
      <c r="O75" s="419">
        <f t="shared" si="28"/>
        <v>119099</v>
      </c>
      <c r="P75" s="923">
        <f t="shared" si="28"/>
        <v>163188</v>
      </c>
      <c r="Q75" s="364"/>
      <c r="R75" s="372">
        <f t="shared" si="28"/>
        <v>184586</v>
      </c>
      <c r="S75" s="419">
        <f t="shared" si="28"/>
        <v>184586</v>
      </c>
      <c r="T75" s="556"/>
      <c r="U75" s="545"/>
      <c r="V75" s="545"/>
      <c r="W75" s="545"/>
      <c r="X75" s="545"/>
      <c r="Y75" s="80"/>
      <c r="AA75" s="81"/>
      <c r="AB75" s="81"/>
      <c r="AC75" s="81"/>
      <c r="AD75" s="81"/>
      <c r="AE75" s="81"/>
    </row>
    <row r="76" spans="2:31" outlineLevel="1" x14ac:dyDescent="0.2">
      <c r="B76" s="28"/>
      <c r="C76" s="32" t="s">
        <v>217</v>
      </c>
      <c r="J76" s="354">
        <v>2190</v>
      </c>
      <c r="K76" s="354">
        <v>1949</v>
      </c>
      <c r="L76" s="354">
        <v>2545</v>
      </c>
      <c r="M76" s="354">
        <v>4916</v>
      </c>
      <c r="N76" s="354">
        <v>8636</v>
      </c>
      <c r="O76" s="354">
        <v>19625</v>
      </c>
      <c r="P76" s="355">
        <v>31220</v>
      </c>
      <c r="Q76" s="356"/>
      <c r="R76" s="357">
        <v>38998</v>
      </c>
      <c r="S76" s="831">
        <f>IF($S$49&gt;0,R76,P76)</f>
        <v>38998</v>
      </c>
      <c r="T76" s="555"/>
      <c r="U76" s="544"/>
      <c r="V76" s="544"/>
      <c r="W76" s="544"/>
      <c r="X76" s="544"/>
      <c r="Y76" s="78"/>
      <c r="AA76" s="79"/>
      <c r="AB76" s="79"/>
      <c r="AC76" s="79"/>
      <c r="AD76" s="79"/>
      <c r="AE76" s="79"/>
    </row>
    <row r="77" spans="2:31" outlineLevel="1" x14ac:dyDescent="0.2">
      <c r="B77" s="28"/>
      <c r="C77" s="32" t="s">
        <v>218</v>
      </c>
      <c r="J77" s="354">
        <f>9573+5</f>
        <v>9578</v>
      </c>
      <c r="K77" s="831">
        <f>11135+5</f>
        <v>11140</v>
      </c>
      <c r="L77" s="831">
        <f>13394+5</f>
        <v>13399</v>
      </c>
      <c r="M77" s="831">
        <f>17186+5</f>
        <v>17191</v>
      </c>
      <c r="N77" s="831">
        <f>21389+5</f>
        <v>21394</v>
      </c>
      <c r="O77" s="831">
        <f>26791+5</f>
        <v>26796</v>
      </c>
      <c r="P77" s="924">
        <f>33658+5</f>
        <v>33663</v>
      </c>
      <c r="Q77" s="356"/>
      <c r="R77" s="869">
        <f>5+38017</f>
        <v>38022</v>
      </c>
      <c r="S77" s="831">
        <f>IF($S$49&gt;0,R77,P77)</f>
        <v>38022</v>
      </c>
      <c r="T77" s="555"/>
      <c r="U77" s="544"/>
      <c r="V77" s="544"/>
      <c r="W77" s="544"/>
      <c r="X77" s="544"/>
      <c r="Y77" s="78"/>
      <c r="AA77" s="79"/>
      <c r="AB77" s="79"/>
      <c r="AC77" s="79"/>
      <c r="AD77" s="79"/>
      <c r="AE77" s="79"/>
    </row>
    <row r="78" spans="2:31" outlineLevel="1" x14ac:dyDescent="0.2">
      <c r="B78" s="28"/>
      <c r="C78" s="32" t="s">
        <v>219</v>
      </c>
      <c r="J78" s="354">
        <f>-1837-185</f>
        <v>-2022</v>
      </c>
      <c r="K78" s="831">
        <f>-1837-511</f>
        <v>-2348</v>
      </c>
      <c r="L78" s="831">
        <f>-1837-723</f>
        <v>-2560</v>
      </c>
      <c r="M78" s="831">
        <f>-1837-985</f>
        <v>-2822</v>
      </c>
      <c r="N78" s="831">
        <f>-1837-484</f>
        <v>-2321</v>
      </c>
      <c r="O78" s="831">
        <f>-1837-1035</f>
        <v>-2872</v>
      </c>
      <c r="P78" s="924">
        <f>-1837-986</f>
        <v>-2823</v>
      </c>
      <c r="Q78" s="356"/>
      <c r="R78" s="869">
        <f>-1837-1455</f>
        <v>-3292</v>
      </c>
      <c r="S78" s="831">
        <f>IF($S$49&gt;0,R78,P78)</f>
        <v>-3292</v>
      </c>
      <c r="T78" s="555"/>
      <c r="U78" s="544"/>
      <c r="V78" s="544"/>
      <c r="W78" s="544"/>
      <c r="X78" s="544"/>
      <c r="Y78" s="78"/>
      <c r="AA78" s="79"/>
      <c r="AB78" s="79"/>
      <c r="AC78" s="79"/>
      <c r="AD78" s="79"/>
      <c r="AE78" s="79"/>
    </row>
    <row r="79" spans="2:31" outlineLevel="1" x14ac:dyDescent="0.2">
      <c r="B79" s="28"/>
      <c r="C79" s="29" t="s">
        <v>220</v>
      </c>
      <c r="J79" s="358">
        <f t="shared" ref="J79:S79" si="29">SUM(J76:J78)</f>
        <v>9746</v>
      </c>
      <c r="K79" s="864">
        <f t="shared" si="29"/>
        <v>10741</v>
      </c>
      <c r="L79" s="864">
        <f t="shared" si="29"/>
        <v>13384</v>
      </c>
      <c r="M79" s="864">
        <f t="shared" si="29"/>
        <v>19285</v>
      </c>
      <c r="N79" s="864">
        <f t="shared" si="29"/>
        <v>27709</v>
      </c>
      <c r="O79" s="864">
        <f t="shared" si="29"/>
        <v>43549</v>
      </c>
      <c r="P79" s="921">
        <f t="shared" si="29"/>
        <v>62060</v>
      </c>
      <c r="Q79" s="359"/>
      <c r="R79" s="371">
        <f t="shared" si="29"/>
        <v>73728</v>
      </c>
      <c r="S79" s="864">
        <f t="shared" si="29"/>
        <v>73728</v>
      </c>
      <c r="T79" s="556"/>
      <c r="U79" s="545"/>
      <c r="V79" s="545"/>
      <c r="W79" s="545"/>
      <c r="X79" s="545"/>
      <c r="Y79" s="80"/>
      <c r="AA79" s="81"/>
      <c r="AB79" s="81"/>
      <c r="AC79" s="81"/>
      <c r="AD79" s="81"/>
      <c r="AE79" s="81"/>
    </row>
    <row r="80" spans="2:31" outlineLevel="1" x14ac:dyDescent="0.2">
      <c r="B80" s="28"/>
      <c r="C80" s="29" t="s">
        <v>221</v>
      </c>
      <c r="J80" s="117">
        <f t="shared" ref="J80:S80" si="30">J79+J75</f>
        <v>40159</v>
      </c>
      <c r="K80" s="419">
        <f t="shared" si="30"/>
        <v>54505</v>
      </c>
      <c r="L80" s="419">
        <f t="shared" si="30"/>
        <v>65444</v>
      </c>
      <c r="M80" s="419">
        <f t="shared" si="30"/>
        <v>83402</v>
      </c>
      <c r="N80" s="419">
        <f t="shared" si="30"/>
        <v>131310</v>
      </c>
      <c r="O80" s="419">
        <f t="shared" si="30"/>
        <v>162648</v>
      </c>
      <c r="P80" s="923">
        <f t="shared" si="30"/>
        <v>225248</v>
      </c>
      <c r="Q80" s="364"/>
      <c r="R80" s="372">
        <f t="shared" si="30"/>
        <v>258314</v>
      </c>
      <c r="S80" s="419">
        <f t="shared" si="30"/>
        <v>258314</v>
      </c>
      <c r="T80" s="556"/>
      <c r="U80" s="545"/>
      <c r="V80" s="545"/>
      <c r="W80" s="545"/>
      <c r="X80" s="545"/>
      <c r="Y80" s="80"/>
      <c r="AA80" s="81"/>
      <c r="AB80" s="81"/>
      <c r="AC80" s="81"/>
      <c r="AD80" s="81"/>
      <c r="AE80" s="81"/>
    </row>
    <row r="81" spans="1:31" outlineLevel="1" x14ac:dyDescent="0.2">
      <c r="B81" s="39"/>
      <c r="C81" s="56" t="s">
        <v>222</v>
      </c>
      <c r="D81" s="40"/>
      <c r="E81" s="40"/>
      <c r="F81" s="40"/>
      <c r="G81" s="40"/>
      <c r="H81" s="40"/>
      <c r="I81" s="40"/>
      <c r="J81" s="756">
        <f t="shared" ref="J81:P81" si="31">J64-J80</f>
        <v>0</v>
      </c>
      <c r="K81" s="925">
        <f t="shared" si="31"/>
        <v>0</v>
      </c>
      <c r="L81" s="925">
        <f t="shared" si="31"/>
        <v>0</v>
      </c>
      <c r="M81" s="925">
        <f t="shared" si="31"/>
        <v>0</v>
      </c>
      <c r="N81" s="925">
        <f t="shared" si="31"/>
        <v>0</v>
      </c>
      <c r="O81" s="925">
        <f t="shared" si="31"/>
        <v>0</v>
      </c>
      <c r="P81" s="926">
        <f t="shared" si="31"/>
        <v>0</v>
      </c>
      <c r="Q81" s="757"/>
      <c r="R81" s="927">
        <f>R64-R80</f>
        <v>0</v>
      </c>
      <c r="S81" s="925">
        <f>S64-S80</f>
        <v>0</v>
      </c>
      <c r="T81" s="558"/>
      <c r="U81" s="548"/>
      <c r="V81" s="548"/>
      <c r="W81" s="548"/>
      <c r="X81" s="548"/>
    </row>
    <row r="82" spans="1:31" x14ac:dyDescent="0.2">
      <c r="J82" s="138"/>
      <c r="K82" s="138"/>
      <c r="L82" s="138"/>
      <c r="M82" s="138"/>
      <c r="N82" s="138"/>
      <c r="O82" s="138"/>
      <c r="P82" s="138"/>
      <c r="T82" s="549"/>
      <c r="U82" s="549"/>
      <c r="V82" s="549"/>
      <c r="W82" s="549"/>
      <c r="X82" s="549"/>
    </row>
    <row r="83" spans="1:31" x14ac:dyDescent="0.2">
      <c r="K83" s="138"/>
      <c r="L83" s="138"/>
      <c r="M83" s="138"/>
      <c r="N83" s="138"/>
      <c r="O83" s="138"/>
      <c r="P83" s="138"/>
      <c r="Q83" s="68"/>
      <c r="S83" s="138"/>
      <c r="T83" s="546"/>
      <c r="U83" s="546"/>
      <c r="V83" s="546"/>
      <c r="W83" s="546"/>
      <c r="X83" s="546"/>
    </row>
    <row r="84" spans="1:31" x14ac:dyDescent="0.2">
      <c r="A84" s="720" t="s">
        <v>609</v>
      </c>
      <c r="B84" s="5" t="s">
        <v>223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409"/>
      <c r="R84" s="410"/>
      <c r="S84" s="411"/>
      <c r="T84" s="552"/>
      <c r="U84" s="541"/>
      <c r="V84" s="541"/>
      <c r="W84" s="541"/>
      <c r="X84" s="541"/>
    </row>
    <row r="85" spans="1:31" outlineLevel="1" x14ac:dyDescent="0.2">
      <c r="B85" s="8"/>
      <c r="C85" s="9" t="str">
        <f>$C$4</f>
        <v xml:space="preserve">USD in Millions 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414"/>
      <c r="R85" s="6"/>
      <c r="S85" s="7"/>
      <c r="T85" s="552"/>
      <c r="U85" s="541"/>
      <c r="V85" s="541"/>
      <c r="W85" s="541"/>
      <c r="X85" s="541"/>
    </row>
    <row r="86" spans="1:31" ht="22" outlineLevel="1" x14ac:dyDescent="0.4">
      <c r="B86" s="14"/>
      <c r="C86" s="15"/>
      <c r="D86" s="15"/>
      <c r="E86" s="15"/>
      <c r="F86" s="15"/>
      <c r="G86" s="15"/>
      <c r="H86" s="15"/>
      <c r="I86" s="15"/>
      <c r="J86" s="15"/>
      <c r="K86" s="561"/>
      <c r="L86" s="17"/>
      <c r="M86" s="16"/>
      <c r="N86" s="16"/>
      <c r="O86" s="16"/>
      <c r="P86" s="16"/>
      <c r="Q86" s="400"/>
      <c r="R86" s="401"/>
      <c r="S86" s="412"/>
      <c r="T86" s="553"/>
      <c r="U86" s="542"/>
      <c r="V86" s="542"/>
      <c r="W86" s="542"/>
      <c r="X86" s="542"/>
      <c r="Y86" s="367"/>
      <c r="Z86" s="77"/>
      <c r="AA86" s="74"/>
      <c r="AB86" s="75"/>
      <c r="AC86" s="75"/>
      <c r="AD86" s="75"/>
      <c r="AE86" s="75"/>
    </row>
    <row r="87" spans="1:31" outlineLevel="1" x14ac:dyDescent="0.2">
      <c r="B87" s="14"/>
      <c r="C87" s="15" t="s">
        <v>153</v>
      </c>
      <c r="D87" s="15"/>
      <c r="E87" s="15"/>
      <c r="F87" s="15"/>
      <c r="G87" s="15"/>
      <c r="H87" s="15"/>
      <c r="I87" s="15"/>
      <c r="J87" s="19">
        <f t="shared" ref="J87:P87" si="32">J$6</f>
        <v>2013</v>
      </c>
      <c r="K87" s="19">
        <f t="shared" si="32"/>
        <v>2014</v>
      </c>
      <c r="L87" s="19">
        <f t="shared" si="32"/>
        <v>2015</v>
      </c>
      <c r="M87" s="19">
        <f t="shared" si="32"/>
        <v>2016</v>
      </c>
      <c r="N87" s="19">
        <f t="shared" si="32"/>
        <v>2017</v>
      </c>
      <c r="O87" s="19">
        <f t="shared" si="32"/>
        <v>2018</v>
      </c>
      <c r="P87" s="19">
        <f t="shared" si="32"/>
        <v>2019</v>
      </c>
      <c r="Q87" s="403" t="s">
        <v>154</v>
      </c>
      <c r="R87" s="19" t="s">
        <v>155</v>
      </c>
      <c r="S87" s="325" t="s">
        <v>156</v>
      </c>
      <c r="T87" s="554"/>
      <c r="U87" s="543"/>
      <c r="V87" s="543"/>
      <c r="W87" s="543"/>
      <c r="X87" s="543"/>
      <c r="Y87" s="69"/>
      <c r="AA87" s="69"/>
      <c r="AB87" s="69"/>
      <c r="AC87" s="69"/>
      <c r="AD87" s="69"/>
      <c r="AE87" s="69"/>
    </row>
    <row r="88" spans="1:31" outlineLevel="1" x14ac:dyDescent="0.2">
      <c r="B88" s="14"/>
      <c r="C88" s="15" t="s">
        <v>157</v>
      </c>
      <c r="D88" s="15"/>
      <c r="E88" s="15"/>
      <c r="F88" s="15"/>
      <c r="G88" s="15"/>
      <c r="H88" s="15"/>
      <c r="I88" s="15"/>
      <c r="J88" s="15"/>
      <c r="K88" s="66">
        <f t="shared" ref="K88:P88" si="33">K$7</f>
        <v>42004</v>
      </c>
      <c r="L88" s="66">
        <f t="shared" si="33"/>
        <v>42369</v>
      </c>
      <c r="M88" s="66">
        <f t="shared" si="33"/>
        <v>42735</v>
      </c>
      <c r="N88" s="66">
        <f t="shared" si="33"/>
        <v>43100</v>
      </c>
      <c r="O88" s="66">
        <f t="shared" si="33"/>
        <v>43465</v>
      </c>
      <c r="P88" s="66">
        <f t="shared" si="33"/>
        <v>43830</v>
      </c>
      <c r="Q88" s="404" t="str">
        <f>Q$7</f>
        <v>Q2 2019</v>
      </c>
      <c r="R88" s="22" t="str">
        <f>R$7</f>
        <v>Q2 2020</v>
      </c>
      <c r="S88" s="326"/>
      <c r="T88" s="150"/>
      <c r="U88" s="145"/>
      <c r="V88" s="145"/>
      <c r="W88" s="145"/>
      <c r="X88" s="145"/>
    </row>
    <row r="89" spans="1:31" outlineLevel="1" x14ac:dyDescent="0.2">
      <c r="B89" s="14"/>
      <c r="C89" s="61" t="s">
        <v>160</v>
      </c>
      <c r="D89" s="15"/>
      <c r="E89" s="15"/>
      <c r="F89" s="15"/>
      <c r="G89" s="15"/>
      <c r="H89" s="15"/>
      <c r="I89" s="15"/>
      <c r="J89" s="15"/>
      <c r="K89" s="22" t="str">
        <f>K$8</f>
        <v>GAAP</v>
      </c>
      <c r="L89" s="22" t="str">
        <f t="shared" ref="L89:S89" si="34">L$8</f>
        <v>GAAP</v>
      </c>
      <c r="M89" s="22" t="str">
        <f t="shared" si="34"/>
        <v>GAAP</v>
      </c>
      <c r="N89" s="22" t="str">
        <f t="shared" si="34"/>
        <v>GAAP</v>
      </c>
      <c r="O89" s="22" t="str">
        <f t="shared" si="34"/>
        <v>GAAP</v>
      </c>
      <c r="P89" s="27" t="str">
        <f t="shared" si="34"/>
        <v>GAAP</v>
      </c>
      <c r="Q89" s="405" t="str">
        <f t="shared" si="34"/>
        <v>GAAP</v>
      </c>
      <c r="R89" s="406" t="str">
        <f t="shared" si="34"/>
        <v>GAAP</v>
      </c>
      <c r="S89" s="413" t="str">
        <f t="shared" si="34"/>
        <v>GAAP</v>
      </c>
      <c r="T89" s="150"/>
      <c r="U89" s="145"/>
      <c r="V89" s="145"/>
      <c r="W89" s="145"/>
      <c r="X89" s="145"/>
    </row>
    <row r="90" spans="1:31" outlineLevel="1" x14ac:dyDescent="0.2">
      <c r="B90" s="446"/>
      <c r="C90" s="447" t="s">
        <v>224</v>
      </c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48"/>
      <c r="Q90" s="94"/>
      <c r="R90" s="94"/>
      <c r="S90" s="94"/>
      <c r="T90" s="150"/>
      <c r="U90" s="145"/>
      <c r="V90" s="145"/>
      <c r="W90" s="145"/>
      <c r="X90" s="145"/>
      <c r="Y90" s="83"/>
    </row>
    <row r="91" spans="1:31" outlineLevel="1" x14ac:dyDescent="0.2">
      <c r="B91" s="425"/>
      <c r="C91" s="444" t="s">
        <v>225</v>
      </c>
      <c r="D91" s="240"/>
      <c r="E91" s="240"/>
      <c r="F91" s="240"/>
      <c r="G91" s="240"/>
      <c r="H91" s="240"/>
      <c r="I91" s="240"/>
      <c r="J91" s="240"/>
      <c r="K91" s="928">
        <f t="shared" ref="K91:S91" si="35">K25</f>
        <v>-241</v>
      </c>
      <c r="L91" s="928">
        <f t="shared" si="35"/>
        <v>596</v>
      </c>
      <c r="M91" s="928">
        <f t="shared" si="35"/>
        <v>2371</v>
      </c>
      <c r="N91" s="928">
        <f t="shared" si="35"/>
        <v>3033</v>
      </c>
      <c r="O91" s="928">
        <f t="shared" si="35"/>
        <v>10073</v>
      </c>
      <c r="P91" s="929">
        <f t="shared" si="35"/>
        <v>11588</v>
      </c>
      <c r="Q91" s="930">
        <f t="shared" si="35"/>
        <v>6186</v>
      </c>
      <c r="R91" s="931">
        <f t="shared" si="35"/>
        <v>7778</v>
      </c>
      <c r="S91" s="928">
        <f t="shared" si="35"/>
        <v>13180</v>
      </c>
      <c r="T91" s="555"/>
      <c r="U91" s="544"/>
      <c r="V91" s="544"/>
      <c r="W91" s="544"/>
      <c r="X91" s="544"/>
      <c r="Y91" s="79"/>
    </row>
    <row r="92" spans="1:31" outlineLevel="1" x14ac:dyDescent="0.2">
      <c r="B92" s="130"/>
      <c r="C92" s="32" t="s">
        <v>226</v>
      </c>
      <c r="K92" s="831">
        <f t="shared" ref="K92:R92" si="36">K15</f>
        <v>4746</v>
      </c>
      <c r="L92" s="831">
        <f t="shared" si="36"/>
        <v>6281</v>
      </c>
      <c r="M92" s="831">
        <f t="shared" si="36"/>
        <v>8116</v>
      </c>
      <c r="N92" s="831">
        <f t="shared" si="36"/>
        <v>11478</v>
      </c>
      <c r="O92" s="831">
        <f t="shared" si="36"/>
        <v>15341</v>
      </c>
      <c r="P92" s="924">
        <f t="shared" si="36"/>
        <v>21789</v>
      </c>
      <c r="Q92" s="932">
        <f t="shared" si="36"/>
        <v>10056</v>
      </c>
      <c r="R92" s="869">
        <f t="shared" si="36"/>
        <v>11110</v>
      </c>
      <c r="S92" s="831">
        <f>P92+R92-Q92</f>
        <v>22843</v>
      </c>
      <c r="T92" s="555"/>
      <c r="U92" s="544"/>
      <c r="V92" s="544"/>
      <c r="W92" s="544"/>
      <c r="X92" s="544"/>
      <c r="Y92" s="79"/>
    </row>
    <row r="93" spans="1:31" outlineLevel="1" x14ac:dyDescent="0.2">
      <c r="B93" s="130"/>
      <c r="C93" s="32" t="s">
        <v>227</v>
      </c>
      <c r="K93" s="831">
        <f>1497+129+59-316-6</f>
        <v>1363</v>
      </c>
      <c r="L93" s="831">
        <f>2119+155+250+81-119</f>
        <v>2486</v>
      </c>
      <c r="M93" s="831">
        <f>2975+160-20-246-829</f>
        <v>2040</v>
      </c>
      <c r="N93" s="831">
        <f>4215+202-292-29</f>
        <v>4096</v>
      </c>
      <c r="O93" s="831">
        <f>5418+274+219+441</f>
        <v>6352</v>
      </c>
      <c r="P93" s="924">
        <f>6864+164-249+796</f>
        <v>7575</v>
      </c>
      <c r="Q93" s="932">
        <f>3245+67-142+520</f>
        <v>3690</v>
      </c>
      <c r="R93" s="869">
        <f>4358+348-204+787</f>
        <v>5289</v>
      </c>
      <c r="S93" s="831">
        <f>P93+R93-Q93</f>
        <v>9174</v>
      </c>
      <c r="T93" s="555"/>
      <c r="U93" s="544"/>
      <c r="V93" s="544"/>
      <c r="W93" s="544"/>
      <c r="X93" s="544"/>
      <c r="Y93" s="79"/>
    </row>
    <row r="94" spans="1:31" outlineLevel="1" x14ac:dyDescent="0.2">
      <c r="B94" s="130"/>
      <c r="C94" s="32" t="s">
        <v>228</v>
      </c>
      <c r="K94" s="831">
        <f>K128</f>
        <v>974</v>
      </c>
      <c r="L94" s="831">
        <f t="shared" ref="L94:Q94" si="37">L128</f>
        <v>2557</v>
      </c>
      <c r="M94" s="831">
        <f t="shared" si="37"/>
        <v>3916</v>
      </c>
      <c r="N94" s="831">
        <f t="shared" si="37"/>
        <v>-242</v>
      </c>
      <c r="O94" s="831">
        <f t="shared" si="37"/>
        <v>-1043</v>
      </c>
      <c r="P94" s="924">
        <f>P128</f>
        <v>-2438</v>
      </c>
      <c r="Q94" s="932">
        <f t="shared" si="37"/>
        <v>-8969</v>
      </c>
      <c r="R94" s="933">
        <f>R128</f>
        <v>-508</v>
      </c>
      <c r="S94" s="831">
        <f>P94+R94-Q94</f>
        <v>6023</v>
      </c>
      <c r="T94" s="555"/>
      <c r="U94" s="544"/>
      <c r="V94" s="544"/>
      <c r="W94" s="544"/>
      <c r="X94" s="544"/>
      <c r="Y94" s="79"/>
    </row>
    <row r="95" spans="1:31" outlineLevel="1" x14ac:dyDescent="0.2">
      <c r="B95" s="130"/>
      <c r="C95" s="29" t="s">
        <v>229</v>
      </c>
      <c r="K95" s="864">
        <f t="shared" ref="K95:S95" si="38">SUM(K91:K94)</f>
        <v>6842</v>
      </c>
      <c r="L95" s="864">
        <f t="shared" si="38"/>
        <v>11920</v>
      </c>
      <c r="M95" s="864">
        <f t="shared" si="38"/>
        <v>16443</v>
      </c>
      <c r="N95" s="864">
        <f t="shared" si="38"/>
        <v>18365</v>
      </c>
      <c r="O95" s="864">
        <f t="shared" si="38"/>
        <v>30723</v>
      </c>
      <c r="P95" s="864">
        <f t="shared" si="38"/>
        <v>38514</v>
      </c>
      <c r="Q95" s="863">
        <f t="shared" si="38"/>
        <v>10963</v>
      </c>
      <c r="R95" s="372">
        <f t="shared" si="38"/>
        <v>23669</v>
      </c>
      <c r="S95" s="864">
        <f t="shared" si="38"/>
        <v>51220</v>
      </c>
      <c r="T95" s="556"/>
      <c r="U95" s="545"/>
      <c r="V95" s="545"/>
      <c r="W95" s="545"/>
      <c r="X95" s="545"/>
      <c r="Y95" s="79"/>
    </row>
    <row r="96" spans="1:31" s="720" customFormat="1" outlineLevel="1" x14ac:dyDescent="0.2">
      <c r="B96" s="936"/>
      <c r="J96" s="937">
        <f>_xlfn.STDEV.S(K96:L96,N96:P96)</f>
        <v>1.032670442821932E-2</v>
      </c>
      <c r="K96" s="938">
        <f t="shared" ref="K96:S96" si="39">K93/K95</f>
        <v>0.19921075708857058</v>
      </c>
      <c r="L96" s="938">
        <f t="shared" si="39"/>
        <v>0.20855704697986577</v>
      </c>
      <c r="M96" s="938">
        <f t="shared" si="39"/>
        <v>0.12406495165115855</v>
      </c>
      <c r="N96" s="938">
        <f t="shared" si="39"/>
        <v>0.22303294309828478</v>
      </c>
      <c r="O96" s="938">
        <f t="shared" si="39"/>
        <v>0.20675064284086841</v>
      </c>
      <c r="P96" s="938">
        <f t="shared" si="39"/>
        <v>0.19668172612556473</v>
      </c>
      <c r="Q96" s="939">
        <f t="shared" si="39"/>
        <v>0.33658670072060565</v>
      </c>
      <c r="R96" s="940"/>
      <c r="S96" s="941">
        <f t="shared" si="39"/>
        <v>0.17910972276454509</v>
      </c>
      <c r="T96" s="939"/>
      <c r="U96" s="938"/>
      <c r="V96" s="938"/>
      <c r="W96" s="938"/>
      <c r="X96" s="938"/>
      <c r="Y96" s="942"/>
    </row>
    <row r="97" spans="2:25" outlineLevel="1" x14ac:dyDescent="0.2">
      <c r="B97" s="399"/>
      <c r="C97" s="62" t="s">
        <v>230</v>
      </c>
      <c r="D97" s="45"/>
      <c r="E97" s="45"/>
      <c r="F97" s="45"/>
      <c r="G97" s="45"/>
      <c r="H97" s="45"/>
      <c r="I97" s="45"/>
      <c r="J97" s="45"/>
      <c r="K97" s="389"/>
      <c r="L97" s="389"/>
      <c r="M97" s="389"/>
      <c r="N97" s="389"/>
      <c r="O97" s="389"/>
      <c r="P97" s="389"/>
      <c r="Q97" s="45"/>
      <c r="R97" s="704"/>
      <c r="S97" s="45"/>
      <c r="T97" s="150"/>
      <c r="U97" s="145"/>
      <c r="V97" s="145"/>
      <c r="W97" s="145"/>
      <c r="X97" s="145"/>
      <c r="Y97" s="83"/>
    </row>
    <row r="98" spans="2:25" outlineLevel="1" x14ac:dyDescent="0.2">
      <c r="B98" s="130"/>
      <c r="C98" s="32" t="s">
        <v>231</v>
      </c>
      <c r="K98" s="354">
        <v>0</v>
      </c>
      <c r="L98" s="354">
        <v>0</v>
      </c>
      <c r="M98" s="354">
        <v>0</v>
      </c>
      <c r="N98" s="354">
        <v>1897</v>
      </c>
      <c r="O98" s="354">
        <v>2104</v>
      </c>
      <c r="P98" s="361">
        <v>4172</v>
      </c>
      <c r="Q98" s="356">
        <v>1488</v>
      </c>
      <c r="R98" s="357">
        <v>2212</v>
      </c>
      <c r="S98" s="831">
        <f>P98+R98-Q98</f>
        <v>4896</v>
      </c>
      <c r="T98" s="555"/>
      <c r="U98" s="544"/>
      <c r="V98" s="544"/>
      <c r="W98" s="544"/>
      <c r="X98" s="544"/>
      <c r="Y98" s="79"/>
    </row>
    <row r="99" spans="2:25" outlineLevel="1" x14ac:dyDescent="0.2">
      <c r="B99" s="130"/>
      <c r="C99" s="32" t="s">
        <v>232</v>
      </c>
      <c r="K99" s="354">
        <v>-4893</v>
      </c>
      <c r="L99" s="354">
        <v>-4589</v>
      </c>
      <c r="M99" s="354">
        <v>-6737</v>
      </c>
      <c r="N99" s="354">
        <v>-11955</v>
      </c>
      <c r="O99" s="354">
        <v>-13427</v>
      </c>
      <c r="P99" s="355">
        <v>-16861</v>
      </c>
      <c r="Q99" s="932">
        <f>-6852</f>
        <v>-6852</v>
      </c>
      <c r="R99" s="869">
        <f>-14254</f>
        <v>-14254</v>
      </c>
      <c r="S99" s="831">
        <f>P99+R99-Q99</f>
        <v>-24263</v>
      </c>
      <c r="T99" s="555"/>
      <c r="U99" s="544"/>
      <c r="V99" s="544"/>
      <c r="W99" s="544"/>
      <c r="X99" s="544"/>
      <c r="Y99" s="79"/>
    </row>
    <row r="100" spans="2:25" outlineLevel="1" x14ac:dyDescent="0.2">
      <c r="B100" s="130"/>
      <c r="C100" s="32" t="s">
        <v>233</v>
      </c>
      <c r="K100" s="354">
        <v>-2542</v>
      </c>
      <c r="L100" s="354">
        <v>-4091</v>
      </c>
      <c r="M100" s="354">
        <v>-7756</v>
      </c>
      <c r="N100" s="354">
        <v>-12731</v>
      </c>
      <c r="O100" s="354">
        <v>-7100</v>
      </c>
      <c r="P100" s="355">
        <v>-31812</v>
      </c>
      <c r="Q100" s="932">
        <f>-16827</f>
        <v>-16827</v>
      </c>
      <c r="R100" s="869">
        <f>-34210</f>
        <v>-34210</v>
      </c>
      <c r="S100" s="831">
        <f>P100+R100-Q100</f>
        <v>-49195</v>
      </c>
      <c r="T100" s="555"/>
      <c r="U100" s="544"/>
      <c r="V100" s="544"/>
      <c r="W100" s="544"/>
      <c r="X100" s="544"/>
      <c r="Y100" s="79"/>
    </row>
    <row r="101" spans="2:25" outlineLevel="1" x14ac:dyDescent="0.2">
      <c r="B101" s="130"/>
      <c r="C101" s="32" t="s">
        <v>234</v>
      </c>
      <c r="K101" s="354">
        <v>3349</v>
      </c>
      <c r="L101" s="354">
        <v>3025</v>
      </c>
      <c r="M101" s="354">
        <v>4733</v>
      </c>
      <c r="N101" s="354">
        <v>9677</v>
      </c>
      <c r="O101" s="354">
        <v>8240</v>
      </c>
      <c r="P101" s="355">
        <v>22681</v>
      </c>
      <c r="Q101" s="356">
        <v>7804</v>
      </c>
      <c r="R101" s="357">
        <v>19764</v>
      </c>
      <c r="S101" s="831">
        <f>P101+R101-Q101</f>
        <v>34641</v>
      </c>
      <c r="T101" s="555"/>
      <c r="U101" s="544"/>
      <c r="V101" s="544"/>
      <c r="W101" s="544"/>
      <c r="X101" s="544"/>
      <c r="Y101" s="79"/>
    </row>
    <row r="102" spans="2:25" outlineLevel="1" x14ac:dyDescent="0.2">
      <c r="B102" s="130"/>
      <c r="C102" s="517" t="s">
        <v>235</v>
      </c>
      <c r="K102" s="419">
        <f>K100+K101</f>
        <v>807</v>
      </c>
      <c r="L102" s="419">
        <f t="shared" ref="L102:S102" si="40">L100+L101</f>
        <v>-1066</v>
      </c>
      <c r="M102" s="419">
        <f t="shared" si="40"/>
        <v>-3023</v>
      </c>
      <c r="N102" s="419">
        <f t="shared" si="40"/>
        <v>-3054</v>
      </c>
      <c r="O102" s="419">
        <f t="shared" si="40"/>
        <v>1140</v>
      </c>
      <c r="P102" s="923">
        <f t="shared" si="40"/>
        <v>-9131</v>
      </c>
      <c r="Q102" s="934">
        <f>Q100+Q101</f>
        <v>-9023</v>
      </c>
      <c r="R102" s="372">
        <f>R100+R101</f>
        <v>-14446</v>
      </c>
      <c r="S102" s="419">
        <f t="shared" si="40"/>
        <v>-14554</v>
      </c>
      <c r="T102" s="559"/>
      <c r="U102" s="550"/>
      <c r="V102" s="550"/>
      <c r="W102" s="550"/>
      <c r="X102" s="550"/>
      <c r="Y102" s="79"/>
    </row>
    <row r="103" spans="2:25" outlineLevel="1" x14ac:dyDescent="0.2">
      <c r="B103" s="130"/>
      <c r="C103" s="32" t="s">
        <v>236</v>
      </c>
      <c r="K103" s="354">
        <v>-979</v>
      </c>
      <c r="L103" s="354">
        <v>-795</v>
      </c>
      <c r="M103" s="354">
        <v>-116</v>
      </c>
      <c r="N103" s="354">
        <v>-13972</v>
      </c>
      <c r="O103" s="354">
        <v>-2186</v>
      </c>
      <c r="P103" s="355">
        <v>-2461</v>
      </c>
      <c r="Q103" s="369">
        <v>-1285</v>
      </c>
      <c r="R103" s="376">
        <v>-210</v>
      </c>
      <c r="S103" s="831">
        <f>P103+R103-Q103</f>
        <v>-1386</v>
      </c>
      <c r="T103" s="555"/>
      <c r="U103" s="544"/>
      <c r="V103" s="544"/>
      <c r="W103" s="544"/>
      <c r="X103" s="544"/>
      <c r="Y103" s="79"/>
    </row>
    <row r="104" spans="2:25" outlineLevel="1" x14ac:dyDescent="0.2">
      <c r="B104" s="130"/>
      <c r="C104" s="63" t="s">
        <v>237</v>
      </c>
      <c r="K104" s="864">
        <f t="shared" ref="K104:S104" si="41">K98+K99+K102+K103</f>
        <v>-5065</v>
      </c>
      <c r="L104" s="864">
        <f t="shared" si="41"/>
        <v>-6450</v>
      </c>
      <c r="M104" s="864">
        <f t="shared" si="41"/>
        <v>-9876</v>
      </c>
      <c r="N104" s="864">
        <f t="shared" si="41"/>
        <v>-27084</v>
      </c>
      <c r="O104" s="864">
        <f t="shared" si="41"/>
        <v>-12369</v>
      </c>
      <c r="P104" s="921">
        <f t="shared" si="41"/>
        <v>-24281</v>
      </c>
      <c r="Q104" s="935">
        <f t="shared" si="41"/>
        <v>-15672</v>
      </c>
      <c r="R104" s="371">
        <f t="shared" si="41"/>
        <v>-26698</v>
      </c>
      <c r="S104" s="864">
        <f t="shared" si="41"/>
        <v>-35307</v>
      </c>
      <c r="T104" s="556"/>
      <c r="U104" s="545"/>
      <c r="V104" s="545"/>
      <c r="W104" s="545"/>
      <c r="X104" s="545"/>
      <c r="Y104" s="79"/>
    </row>
    <row r="105" spans="2:25" outlineLevel="1" x14ac:dyDescent="0.2">
      <c r="B105" s="130"/>
      <c r="K105" s="68"/>
      <c r="L105" s="68"/>
      <c r="M105" s="68"/>
      <c r="N105" s="68"/>
      <c r="O105" s="68"/>
      <c r="P105" s="366"/>
      <c r="Q105" s="377"/>
      <c r="R105" s="357"/>
      <c r="S105" s="415"/>
      <c r="T105" s="560"/>
      <c r="U105" s="551"/>
      <c r="V105" s="551"/>
      <c r="W105" s="551"/>
      <c r="X105" s="551"/>
      <c r="Y105" s="79"/>
    </row>
    <row r="106" spans="2:25" outlineLevel="1" x14ac:dyDescent="0.2">
      <c r="B106" s="399"/>
      <c r="C106" s="44" t="s">
        <v>238</v>
      </c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54"/>
      <c r="Q106" s="45"/>
      <c r="R106" s="45"/>
      <c r="S106" s="45"/>
      <c r="T106" s="150"/>
      <c r="U106" s="145"/>
      <c r="V106" s="145"/>
      <c r="W106" s="145"/>
      <c r="X106" s="145"/>
      <c r="Y106" s="83"/>
    </row>
    <row r="107" spans="2:25" outlineLevel="1" x14ac:dyDescent="0.2">
      <c r="B107" s="130"/>
      <c r="C107" s="32" t="s">
        <v>239</v>
      </c>
      <c r="K107" s="354">
        <v>6</v>
      </c>
      <c r="L107" s="354">
        <v>119</v>
      </c>
      <c r="M107" s="354">
        <v>829</v>
      </c>
      <c r="N107" s="354">
        <v>0</v>
      </c>
      <c r="O107" s="354">
        <v>0</v>
      </c>
      <c r="P107" s="361">
        <v>0</v>
      </c>
      <c r="Q107" s="356">
        <v>0</v>
      </c>
      <c r="R107" s="357">
        <v>0</v>
      </c>
      <c r="S107" s="831">
        <f>P107+R107-Q107</f>
        <v>0</v>
      </c>
      <c r="T107" s="555"/>
      <c r="U107" s="544"/>
      <c r="V107" s="544"/>
      <c r="W107" s="544"/>
      <c r="X107" s="544"/>
      <c r="Y107" s="79"/>
    </row>
    <row r="108" spans="2:25" outlineLevel="1" x14ac:dyDescent="0.2">
      <c r="B108" s="130"/>
      <c r="C108" s="32" t="s">
        <v>240</v>
      </c>
      <c r="K108" s="354">
        <v>6359</v>
      </c>
      <c r="L108" s="354">
        <v>353</v>
      </c>
      <c r="M108" s="354">
        <v>621</v>
      </c>
      <c r="N108" s="354">
        <v>16228</v>
      </c>
      <c r="O108" s="354">
        <v>768</v>
      </c>
      <c r="P108" s="355">
        <v>2273</v>
      </c>
      <c r="Q108" s="356">
        <v>307</v>
      </c>
      <c r="R108" s="357">
        <v>3050</v>
      </c>
      <c r="S108" s="831">
        <f>P108+R108-Q108</f>
        <v>5016</v>
      </c>
      <c r="T108" s="555"/>
      <c r="U108" s="544"/>
      <c r="V108" s="544"/>
      <c r="W108" s="544"/>
      <c r="X108" s="544"/>
      <c r="Y108" s="79"/>
    </row>
    <row r="109" spans="2:25" outlineLevel="1" x14ac:dyDescent="0.2">
      <c r="B109" s="130"/>
      <c r="C109" s="32" t="s">
        <v>241</v>
      </c>
      <c r="K109" s="354">
        <v>-513</v>
      </c>
      <c r="L109" s="354">
        <v>-1652</v>
      </c>
      <c r="M109" s="354">
        <v>-354</v>
      </c>
      <c r="N109" s="354">
        <v>-1301</v>
      </c>
      <c r="O109" s="354">
        <v>-668</v>
      </c>
      <c r="P109" s="355">
        <v>-2684</v>
      </c>
      <c r="Q109" s="932">
        <f>-363</f>
        <v>-363</v>
      </c>
      <c r="R109" s="869">
        <f>-2537</f>
        <v>-2537</v>
      </c>
      <c r="S109" s="831">
        <f>P109+R109-Q109</f>
        <v>-4858</v>
      </c>
      <c r="T109" s="555"/>
      <c r="U109" s="544"/>
      <c r="V109" s="544"/>
      <c r="W109" s="544"/>
      <c r="X109" s="544"/>
      <c r="Y109" s="79"/>
    </row>
    <row r="110" spans="2:25" outlineLevel="1" x14ac:dyDescent="0.2">
      <c r="B110" s="130"/>
      <c r="C110" s="32" t="s">
        <v>242</v>
      </c>
      <c r="K110" s="354">
        <v>-1285</v>
      </c>
      <c r="L110" s="354">
        <v>-2462</v>
      </c>
      <c r="M110" s="354">
        <v>-3860</v>
      </c>
      <c r="N110" s="354">
        <v>-4799</v>
      </c>
      <c r="O110" s="354">
        <v>-7449</v>
      </c>
      <c r="P110" s="355">
        <v>-9628</v>
      </c>
      <c r="Q110" s="932">
        <f>-4541</f>
        <v>-4541</v>
      </c>
      <c r="R110" s="869">
        <f>-5417</f>
        <v>-5417</v>
      </c>
      <c r="S110" s="831">
        <f>P110+R110-Q110</f>
        <v>-10504</v>
      </c>
      <c r="T110" s="555"/>
      <c r="U110" s="544"/>
      <c r="V110" s="544"/>
      <c r="W110" s="544"/>
      <c r="X110" s="544"/>
      <c r="Y110" s="79"/>
    </row>
    <row r="111" spans="2:25" outlineLevel="1" x14ac:dyDescent="0.2">
      <c r="B111" s="130"/>
      <c r="C111" s="32" t="s">
        <v>243</v>
      </c>
      <c r="K111" s="354">
        <v>-135</v>
      </c>
      <c r="L111" s="354">
        <v>-121</v>
      </c>
      <c r="M111" s="354">
        <v>-147</v>
      </c>
      <c r="N111" s="354">
        <v>-200</v>
      </c>
      <c r="O111" s="354">
        <v>-337</v>
      </c>
      <c r="P111" s="355">
        <v>-27</v>
      </c>
      <c r="Q111" s="932">
        <f>-3</f>
        <v>-3</v>
      </c>
      <c r="R111" s="869">
        <f>-32</f>
        <v>-32</v>
      </c>
      <c r="S111" s="831">
        <f>P111+R111-Q111</f>
        <v>-56</v>
      </c>
      <c r="T111" s="555"/>
      <c r="U111" s="544"/>
      <c r="V111" s="544"/>
      <c r="W111" s="544"/>
      <c r="X111" s="544"/>
      <c r="Y111" s="79"/>
    </row>
    <row r="112" spans="2:25" outlineLevel="1" x14ac:dyDescent="0.2">
      <c r="B112" s="130"/>
      <c r="C112" s="63" t="s">
        <v>244</v>
      </c>
      <c r="K112" s="864">
        <f t="shared" ref="K112:S112" si="42">SUM(K107:K111)</f>
        <v>4432</v>
      </c>
      <c r="L112" s="864">
        <f t="shared" si="42"/>
        <v>-3763</v>
      </c>
      <c r="M112" s="864">
        <f t="shared" si="42"/>
        <v>-2911</v>
      </c>
      <c r="N112" s="864">
        <f t="shared" si="42"/>
        <v>9928</v>
      </c>
      <c r="O112" s="864">
        <f t="shared" si="42"/>
        <v>-7686</v>
      </c>
      <c r="P112" s="921">
        <f t="shared" si="42"/>
        <v>-10066</v>
      </c>
      <c r="Q112" s="935">
        <f t="shared" si="42"/>
        <v>-4600</v>
      </c>
      <c r="R112" s="371">
        <f t="shared" si="42"/>
        <v>-4936</v>
      </c>
      <c r="S112" s="864">
        <f t="shared" si="42"/>
        <v>-10402</v>
      </c>
      <c r="T112" s="556"/>
      <c r="U112" s="545"/>
      <c r="V112" s="545"/>
      <c r="W112" s="545"/>
      <c r="X112" s="545"/>
      <c r="Y112" s="79"/>
    </row>
    <row r="113" spans="1:25" outlineLevel="1" x14ac:dyDescent="0.2">
      <c r="B113" s="130"/>
      <c r="C113" s="109" t="s">
        <v>245</v>
      </c>
      <c r="K113" s="354">
        <v>-310</v>
      </c>
      <c r="L113" s="354">
        <v>-374</v>
      </c>
      <c r="M113" s="354">
        <v>-212</v>
      </c>
      <c r="N113" s="354">
        <v>713</v>
      </c>
      <c r="O113" s="354">
        <v>-351</v>
      </c>
      <c r="P113" s="355">
        <v>70</v>
      </c>
      <c r="Q113" s="356">
        <v>-12</v>
      </c>
      <c r="R113" s="357">
        <v>-484</v>
      </c>
      <c r="S113" s="831">
        <f>R113+P113-Q113</f>
        <v>-402</v>
      </c>
      <c r="T113" s="555"/>
      <c r="U113" s="544"/>
      <c r="V113" s="544"/>
      <c r="W113" s="544"/>
      <c r="X113" s="544"/>
      <c r="Y113" s="79"/>
    </row>
    <row r="114" spans="1:25" outlineLevel="1" x14ac:dyDescent="0.2">
      <c r="B114" s="130"/>
      <c r="C114" s="63" t="s">
        <v>246</v>
      </c>
      <c r="K114" s="419">
        <f>J52</f>
        <v>8658</v>
      </c>
      <c r="L114" s="419">
        <f>K115</f>
        <v>14557</v>
      </c>
      <c r="M114" s="419">
        <f>L115</f>
        <v>15890</v>
      </c>
      <c r="N114" s="419">
        <f>M115</f>
        <v>19334</v>
      </c>
      <c r="O114" s="419">
        <f>N115</f>
        <v>20522</v>
      </c>
      <c r="P114" s="923">
        <f>O115</f>
        <v>31750</v>
      </c>
      <c r="Q114" s="515">
        <v>32173</v>
      </c>
      <c r="R114" s="516">
        <v>36410</v>
      </c>
      <c r="S114" s="419">
        <f>P115</f>
        <v>36092</v>
      </c>
      <c r="T114" s="556"/>
      <c r="U114" s="545"/>
      <c r="V114" s="545"/>
      <c r="W114" s="545"/>
      <c r="X114" s="545"/>
      <c r="Y114" s="79"/>
    </row>
    <row r="115" spans="1:25" outlineLevel="1" x14ac:dyDescent="0.2">
      <c r="B115" s="130"/>
      <c r="C115" s="63" t="s">
        <v>247</v>
      </c>
      <c r="K115" s="513">
        <v>14557</v>
      </c>
      <c r="L115" s="513">
        <v>15890</v>
      </c>
      <c r="M115" s="513">
        <v>19334</v>
      </c>
      <c r="N115" s="513">
        <v>20522</v>
      </c>
      <c r="O115" s="513">
        <v>31750</v>
      </c>
      <c r="P115" s="514">
        <v>36092</v>
      </c>
      <c r="Q115" s="515">
        <v>22965</v>
      </c>
      <c r="R115" s="516">
        <v>37842</v>
      </c>
      <c r="S115" s="419">
        <f>S114+S116</f>
        <v>41201</v>
      </c>
      <c r="T115" s="556"/>
      <c r="U115" s="545"/>
      <c r="V115" s="545"/>
      <c r="W115" s="545"/>
      <c r="X115" s="545"/>
      <c r="Y115" s="79"/>
    </row>
    <row r="116" spans="1:25" outlineLevel="1" x14ac:dyDescent="0.2">
      <c r="B116" s="130"/>
      <c r="C116" s="63" t="s">
        <v>248</v>
      </c>
      <c r="K116" s="864">
        <f t="shared" ref="K116:R116" si="43">K115-K114</f>
        <v>5899</v>
      </c>
      <c r="L116" s="864">
        <f t="shared" si="43"/>
        <v>1333</v>
      </c>
      <c r="M116" s="864">
        <f t="shared" si="43"/>
        <v>3444</v>
      </c>
      <c r="N116" s="864">
        <f t="shared" si="43"/>
        <v>1188</v>
      </c>
      <c r="O116" s="864">
        <f t="shared" si="43"/>
        <v>11228</v>
      </c>
      <c r="P116" s="864">
        <f>P115-P114</f>
        <v>4342</v>
      </c>
      <c r="Q116" s="673">
        <f t="shared" si="43"/>
        <v>-9208</v>
      </c>
      <c r="R116" s="674">
        <f t="shared" si="43"/>
        <v>1432</v>
      </c>
      <c r="S116" s="853">
        <f>S95+S104+S112+S113</f>
        <v>5109</v>
      </c>
      <c r="T116" s="556"/>
      <c r="U116" s="545"/>
      <c r="V116" s="545"/>
      <c r="W116" s="545"/>
      <c r="X116" s="545"/>
      <c r="Y116" s="79"/>
    </row>
    <row r="117" spans="1:25" outlineLevel="1" x14ac:dyDescent="0.2">
      <c r="B117" s="132"/>
      <c r="C117" s="445"/>
      <c r="D117" s="133"/>
      <c r="E117" s="133"/>
      <c r="F117" s="133"/>
      <c r="G117" s="133"/>
      <c r="H117" s="133"/>
      <c r="I117" s="133"/>
      <c r="J117" s="133"/>
      <c r="K117" s="435"/>
      <c r="L117" s="435"/>
      <c r="M117" s="435"/>
      <c r="N117" s="435"/>
      <c r="O117" s="435"/>
      <c r="P117" s="435"/>
      <c r="Q117" s="449"/>
      <c r="R117" s="365"/>
      <c r="S117" s="441"/>
      <c r="T117" s="556"/>
      <c r="U117" s="545"/>
      <c r="V117" s="545"/>
      <c r="W117" s="545"/>
      <c r="X117" s="545"/>
      <c r="Y117" s="79"/>
    </row>
    <row r="118" spans="1:25" outlineLevel="1" x14ac:dyDescent="0.2">
      <c r="B118" s="436"/>
      <c r="C118" s="437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438"/>
      <c r="Q118" s="94"/>
      <c r="R118" s="94"/>
      <c r="S118" s="94"/>
      <c r="T118" s="150"/>
      <c r="U118" s="145"/>
      <c r="V118" s="145"/>
      <c r="W118" s="145"/>
      <c r="X118" s="145"/>
      <c r="Y118" s="79"/>
    </row>
    <row r="119" spans="1:25" x14ac:dyDescent="0.2">
      <c r="A119" s="720" t="s">
        <v>609</v>
      </c>
      <c r="B119" s="451" t="s">
        <v>249</v>
      </c>
      <c r="C119" s="450"/>
      <c r="D119" s="428"/>
      <c r="E119" s="428"/>
      <c r="F119" s="428"/>
      <c r="G119" s="428"/>
      <c r="H119" s="428"/>
      <c r="I119" s="428"/>
      <c r="J119" s="428"/>
      <c r="K119" s="428"/>
      <c r="L119" s="428"/>
      <c r="M119" s="428"/>
      <c r="N119" s="428"/>
      <c r="O119" s="428"/>
      <c r="P119" s="428"/>
      <c r="Q119" s="442"/>
      <c r="R119" s="443"/>
      <c r="S119" s="443"/>
      <c r="T119" s="150"/>
      <c r="U119" s="145"/>
      <c r="V119" s="145"/>
      <c r="W119" s="145"/>
      <c r="X119" s="145"/>
    </row>
    <row r="120" spans="1:25" x14ac:dyDescent="0.2">
      <c r="B120" s="433"/>
      <c r="C120" s="105" t="s">
        <v>250</v>
      </c>
      <c r="D120" s="64"/>
      <c r="E120" s="64"/>
      <c r="F120" s="64"/>
      <c r="G120" s="64"/>
      <c r="H120" s="64"/>
      <c r="I120" s="64"/>
      <c r="J120" s="494"/>
      <c r="K120" s="360">
        <v>-1193</v>
      </c>
      <c r="L120" s="360">
        <v>-2187</v>
      </c>
      <c r="M120" s="360">
        <v>-1426</v>
      </c>
      <c r="N120" s="360">
        <v>-3583</v>
      </c>
      <c r="O120" s="360">
        <v>-1314</v>
      </c>
      <c r="P120" s="360">
        <v>-3278</v>
      </c>
      <c r="Q120" s="944">
        <f>-1381</f>
        <v>-1381</v>
      </c>
      <c r="R120" s="943">
        <v>720</v>
      </c>
      <c r="S120" s="945">
        <f>P120+R120-Q120</f>
        <v>-1177</v>
      </c>
      <c r="T120" s="544"/>
      <c r="U120" s="544"/>
      <c r="V120" s="544"/>
      <c r="W120" s="544"/>
      <c r="X120" s="544"/>
    </row>
    <row r="121" spans="1:25" x14ac:dyDescent="0.2">
      <c r="B121" s="130"/>
      <c r="C121" s="106" t="s">
        <v>251</v>
      </c>
      <c r="E121" s="106"/>
      <c r="K121" s="354">
        <v>-1039</v>
      </c>
      <c r="L121" s="354">
        <v>-1755</v>
      </c>
      <c r="M121" s="354">
        <v>-3367</v>
      </c>
      <c r="N121" s="354">
        <v>-4780</v>
      </c>
      <c r="O121" s="354">
        <v>-4615</v>
      </c>
      <c r="P121" s="354">
        <v>-7681</v>
      </c>
      <c r="Q121" s="868">
        <f>-2594</f>
        <v>-2594</v>
      </c>
      <c r="R121" s="372">
        <f>-1592</f>
        <v>-1592</v>
      </c>
      <c r="S121" s="946">
        <f>P121+R121-Q121</f>
        <v>-6679</v>
      </c>
      <c r="T121" s="544"/>
      <c r="U121" s="544"/>
      <c r="V121" s="544"/>
      <c r="W121" s="544"/>
      <c r="X121" s="544"/>
    </row>
    <row r="122" spans="1:25" x14ac:dyDescent="0.2">
      <c r="B122" s="130"/>
      <c r="C122" s="107" t="s">
        <v>252</v>
      </c>
      <c r="K122" s="864">
        <f>SUM(K120:K121)</f>
        <v>-2232</v>
      </c>
      <c r="L122" s="864">
        <f t="shared" ref="L122:R122" si="44">SUM(L120:L121)</f>
        <v>-3942</v>
      </c>
      <c r="M122" s="864">
        <f t="shared" si="44"/>
        <v>-4793</v>
      </c>
      <c r="N122" s="864">
        <f t="shared" si="44"/>
        <v>-8363</v>
      </c>
      <c r="O122" s="864">
        <f t="shared" si="44"/>
        <v>-5929</v>
      </c>
      <c r="P122" s="864">
        <f t="shared" si="44"/>
        <v>-10959</v>
      </c>
      <c r="Q122" s="439">
        <f t="shared" si="44"/>
        <v>-3975</v>
      </c>
      <c r="R122" s="371">
        <f t="shared" si="44"/>
        <v>-872</v>
      </c>
      <c r="S122" s="835">
        <f>SUM(S120:S121)</f>
        <v>-7856</v>
      </c>
      <c r="T122" s="556"/>
      <c r="U122" s="545"/>
      <c r="V122" s="545"/>
      <c r="W122" s="545"/>
      <c r="X122" s="545"/>
    </row>
    <row r="123" spans="1:25" x14ac:dyDescent="0.2">
      <c r="B123" s="130"/>
      <c r="C123" s="106" t="s">
        <v>253</v>
      </c>
      <c r="K123" s="354">
        <v>1759</v>
      </c>
      <c r="L123" s="354">
        <v>4294</v>
      </c>
      <c r="M123" s="354">
        <v>5030</v>
      </c>
      <c r="N123" s="354">
        <v>7100</v>
      </c>
      <c r="O123" s="354">
        <v>3263</v>
      </c>
      <c r="P123" s="354">
        <v>8193</v>
      </c>
      <c r="Q123" s="868">
        <f>-2716</f>
        <v>-2716</v>
      </c>
      <c r="R123" s="869">
        <f>573</f>
        <v>573</v>
      </c>
      <c r="S123" s="833">
        <f>P123+R123-Q123</f>
        <v>11482</v>
      </c>
      <c r="T123" s="555"/>
      <c r="U123" s="544"/>
      <c r="V123" s="544"/>
      <c r="W123" s="544"/>
      <c r="X123" s="544"/>
    </row>
    <row r="124" spans="1:25" x14ac:dyDescent="0.2">
      <c r="B124" s="130"/>
      <c r="C124" s="106" t="s">
        <v>254</v>
      </c>
      <c r="K124" s="354">
        <v>706</v>
      </c>
      <c r="L124" s="354">
        <v>913</v>
      </c>
      <c r="M124" s="354">
        <v>1724</v>
      </c>
      <c r="N124" s="354">
        <v>283</v>
      </c>
      <c r="O124" s="354">
        <v>472</v>
      </c>
      <c r="P124" s="354">
        <v>-1383</v>
      </c>
      <c r="Q124" s="868">
        <f>-3556</f>
        <v>-3556</v>
      </c>
      <c r="R124" s="869">
        <f>-1063</f>
        <v>-1063</v>
      </c>
      <c r="S124" s="833">
        <f>P124+R124-Q124</f>
        <v>1110</v>
      </c>
      <c r="T124" s="555"/>
      <c r="U124" s="544"/>
      <c r="V124" s="544"/>
      <c r="W124" s="544"/>
      <c r="X124" s="544"/>
    </row>
    <row r="125" spans="1:25" x14ac:dyDescent="0.2">
      <c r="B125" s="130"/>
      <c r="C125" s="108" t="s">
        <v>255</v>
      </c>
      <c r="K125" s="354">
        <v>4433</v>
      </c>
      <c r="L125" s="354">
        <v>7401</v>
      </c>
      <c r="M125" s="354">
        <v>11931</v>
      </c>
      <c r="N125" s="354">
        <v>738</v>
      </c>
      <c r="O125" s="354">
        <v>1151</v>
      </c>
      <c r="P125" s="354">
        <v>1711</v>
      </c>
      <c r="Q125" s="369">
        <v>1278</v>
      </c>
      <c r="R125" s="357">
        <v>854</v>
      </c>
      <c r="S125" s="833">
        <f>P125+R125-Q125</f>
        <v>1287</v>
      </c>
      <c r="T125" s="555"/>
      <c r="U125" s="544"/>
      <c r="V125" s="544"/>
      <c r="W125" s="544"/>
      <c r="X125" s="544"/>
    </row>
    <row r="126" spans="1:25" x14ac:dyDescent="0.2">
      <c r="B126" s="130"/>
      <c r="C126" s="108" t="s">
        <v>256</v>
      </c>
      <c r="K126" s="354">
        <v>-3692</v>
      </c>
      <c r="L126" s="354">
        <v>-6109</v>
      </c>
      <c r="M126" s="354">
        <v>-9976</v>
      </c>
      <c r="N126" s="354">
        <v>0</v>
      </c>
      <c r="O126" s="354">
        <v>0</v>
      </c>
      <c r="P126" s="354">
        <v>0</v>
      </c>
      <c r="Q126" s="369">
        <v>0</v>
      </c>
      <c r="R126" s="357">
        <v>0</v>
      </c>
      <c r="S126" s="833">
        <f>P126+R126-Q126</f>
        <v>0</v>
      </c>
      <c r="T126" s="555"/>
      <c r="U126" s="544"/>
      <c r="V126" s="544"/>
      <c r="W126" s="544"/>
      <c r="X126" s="544"/>
    </row>
    <row r="127" spans="1:25" x14ac:dyDescent="0.2">
      <c r="B127" s="130"/>
      <c r="C127" s="107" t="s">
        <v>257</v>
      </c>
      <c r="K127" s="864">
        <f t="shared" ref="K127:P127" si="45">SUM(K123:K126)</f>
        <v>3206</v>
      </c>
      <c r="L127" s="864">
        <f t="shared" si="45"/>
        <v>6499</v>
      </c>
      <c r="M127" s="864">
        <f t="shared" si="45"/>
        <v>8709</v>
      </c>
      <c r="N127" s="864">
        <f t="shared" si="45"/>
        <v>8121</v>
      </c>
      <c r="O127" s="864">
        <f t="shared" si="45"/>
        <v>4886</v>
      </c>
      <c r="P127" s="864">
        <f t="shared" si="45"/>
        <v>8521</v>
      </c>
      <c r="Q127" s="439">
        <f>SUM(Q123:Q125)</f>
        <v>-4994</v>
      </c>
      <c r="R127" s="371">
        <f>SUM(R123:R125)</f>
        <v>364</v>
      </c>
      <c r="S127" s="865">
        <f>SUM(S123:S125)</f>
        <v>13879</v>
      </c>
      <c r="T127" s="556"/>
      <c r="U127" s="545"/>
      <c r="V127" s="545"/>
      <c r="W127" s="545"/>
      <c r="X127" s="545"/>
    </row>
    <row r="128" spans="1:25" x14ac:dyDescent="0.2">
      <c r="B128" s="130"/>
      <c r="C128" s="107" t="s">
        <v>142</v>
      </c>
      <c r="K128" s="419">
        <f>K122+K127</f>
        <v>974</v>
      </c>
      <c r="L128" s="419">
        <f>L122+L127</f>
        <v>2557</v>
      </c>
      <c r="M128" s="419">
        <f t="shared" ref="M128:R128" si="46">M122+M127</f>
        <v>3916</v>
      </c>
      <c r="N128" s="419">
        <f t="shared" si="46"/>
        <v>-242</v>
      </c>
      <c r="O128" s="419">
        <f>O122+O127</f>
        <v>-1043</v>
      </c>
      <c r="P128" s="419">
        <f>P122+P127</f>
        <v>-2438</v>
      </c>
      <c r="Q128" s="426">
        <f t="shared" si="46"/>
        <v>-8969</v>
      </c>
      <c r="R128" s="372">
        <f t="shared" si="46"/>
        <v>-508</v>
      </c>
      <c r="S128" s="835">
        <f>S122+S127</f>
        <v>6023</v>
      </c>
      <c r="T128" s="556"/>
      <c r="U128" s="545"/>
      <c r="V128" s="545"/>
      <c r="W128" s="545"/>
      <c r="X128" s="545"/>
    </row>
    <row r="129" spans="2:24" x14ac:dyDescent="0.2">
      <c r="B129" s="132"/>
      <c r="C129" s="434"/>
      <c r="D129" s="133"/>
      <c r="E129" s="133"/>
      <c r="F129" s="133"/>
      <c r="G129" s="133"/>
      <c r="H129" s="133"/>
      <c r="I129" s="133"/>
      <c r="J129" s="133"/>
      <c r="K129" s="435"/>
      <c r="L129" s="435"/>
      <c r="M129" s="435"/>
      <c r="N129" s="435"/>
      <c r="O129" s="435"/>
      <c r="P129" s="435"/>
      <c r="Q129" s="440"/>
      <c r="R129" s="495"/>
      <c r="S129" s="435"/>
      <c r="T129" s="557"/>
      <c r="U129" s="546"/>
      <c r="V129" s="546"/>
      <c r="W129" s="546"/>
      <c r="X129" s="546"/>
    </row>
    <row r="130" spans="2:24" x14ac:dyDescent="0.2">
      <c r="C130" s="105"/>
      <c r="K130" s="115"/>
      <c r="L130" s="115"/>
      <c r="M130" s="115"/>
      <c r="N130" s="115"/>
      <c r="O130" s="115"/>
      <c r="P130" s="115"/>
      <c r="Q130" s="419"/>
      <c r="R130" s="419"/>
      <c r="S130" s="117"/>
    </row>
    <row r="131" spans="2:24" x14ac:dyDescent="0.2">
      <c r="C131" s="6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X233"/>
  <sheetViews>
    <sheetView zoomScaleNormal="100" workbookViewId="0"/>
  </sheetViews>
  <sheetFormatPr baseColWidth="10" defaultColWidth="12.6640625" defaultRowHeight="15" outlineLevelRow="1" outlineLevelCol="1" x14ac:dyDescent="0.2"/>
  <cols>
    <col min="1" max="1" width="4.83203125" style="720" customWidth="1"/>
    <col min="2" max="2" width="29.33203125" style="1" customWidth="1"/>
    <col min="3" max="3" width="12.6640625" style="1" customWidth="1"/>
    <col min="4" max="8" width="12.6640625" style="1"/>
    <col min="9" max="11" width="12.6640625" style="1" customWidth="1" outlineLevel="1"/>
    <col min="12" max="17" width="12.6640625" style="1"/>
    <col min="18" max="24" width="12.6640625" style="1" customWidth="1"/>
    <col min="25" max="16384" width="12.6640625" style="1"/>
  </cols>
  <sheetData>
    <row r="2" spans="1:24" ht="18" x14ac:dyDescent="0.35">
      <c r="A2" s="720" t="s">
        <v>609</v>
      </c>
      <c r="B2" s="156"/>
      <c r="C2" s="157" t="s">
        <v>259</v>
      </c>
      <c r="D2" s="158"/>
      <c r="E2" s="157"/>
      <c r="F2" s="157"/>
      <c r="G2" s="157"/>
      <c r="H2" s="157"/>
      <c r="I2" s="157"/>
      <c r="J2" s="157"/>
      <c r="K2" s="157"/>
      <c r="L2" s="157" t="s">
        <v>260</v>
      </c>
      <c r="M2" s="157"/>
      <c r="N2" s="157"/>
      <c r="O2" s="157"/>
      <c r="P2" s="159"/>
    </row>
    <row r="3" spans="1:24" s="145" customFormat="1" x14ac:dyDescent="0.2">
      <c r="A3" s="725"/>
      <c r="B3" s="612" t="s">
        <v>261</v>
      </c>
      <c r="C3" s="518">
        <v>2014</v>
      </c>
      <c r="D3" s="518">
        <v>2015</v>
      </c>
      <c r="E3" s="518">
        <v>2016</v>
      </c>
      <c r="F3" s="518">
        <v>2017</v>
      </c>
      <c r="G3" s="518">
        <v>2018</v>
      </c>
      <c r="H3" s="518">
        <v>2019</v>
      </c>
      <c r="I3" s="518" t="s">
        <v>262</v>
      </c>
      <c r="J3" s="518" t="s">
        <v>159</v>
      </c>
      <c r="K3" s="518" t="s">
        <v>263</v>
      </c>
      <c r="L3" s="610">
        <v>2020</v>
      </c>
      <c r="M3" s="518">
        <v>2021</v>
      </c>
      <c r="N3" s="518">
        <v>2022</v>
      </c>
      <c r="O3" s="518">
        <v>2023</v>
      </c>
      <c r="P3" s="611">
        <v>2024</v>
      </c>
      <c r="S3" s="145" t="s">
        <v>264</v>
      </c>
    </row>
    <row r="4" spans="1:24" s="145" customFormat="1" x14ac:dyDescent="0.2">
      <c r="A4" s="725"/>
      <c r="B4" s="308" t="s">
        <v>40</v>
      </c>
      <c r="C4" s="148"/>
      <c r="D4" s="148"/>
      <c r="E4" s="148"/>
      <c r="F4" s="148"/>
      <c r="G4" s="148"/>
      <c r="H4" s="148"/>
      <c r="I4" s="316"/>
      <c r="J4" s="149"/>
      <c r="K4" s="613"/>
      <c r="L4" s="316"/>
      <c r="M4" s="148"/>
      <c r="N4" s="148"/>
      <c r="O4" s="148"/>
      <c r="P4" s="149"/>
      <c r="R4" s="145" t="s">
        <v>265</v>
      </c>
      <c r="S4" s="145" t="s">
        <v>266</v>
      </c>
      <c r="T4" s="145" t="s">
        <v>267</v>
      </c>
      <c r="U4" s="155" t="s">
        <v>268</v>
      </c>
    </row>
    <row r="5" spans="1:24" s="145" customFormat="1" x14ac:dyDescent="0.2">
      <c r="A5" s="725"/>
      <c r="B5" s="309" t="s">
        <v>269</v>
      </c>
      <c r="C5" s="967">
        <f>Prime!C9</f>
        <v>17260</v>
      </c>
      <c r="D5" s="967">
        <f>Prime!D9</f>
        <v>26967</v>
      </c>
      <c r="E5" s="967">
        <f>Prime!E9</f>
        <v>45145.515151515152</v>
      </c>
      <c r="F5" s="967">
        <f>Prime!F9</f>
        <v>68636.15151515152</v>
      </c>
      <c r="G5" s="967">
        <f>Prime!G9</f>
        <v>109415.05882352941</v>
      </c>
      <c r="H5" s="967">
        <f>Prime!H9</f>
        <v>148352.85714285713</v>
      </c>
      <c r="I5" s="968">
        <f>Prime!O9</f>
        <v>69643.210084033606</v>
      </c>
      <c r="J5" s="969">
        <f>Prime!P9</f>
        <v>99108.45378151261</v>
      </c>
      <c r="K5" s="952">
        <f>J5+H5-I5</f>
        <v>177818.10084033612</v>
      </c>
      <c r="L5" s="968">
        <f ca="1">Prime!I9</f>
        <v>199862.29285714283</v>
      </c>
      <c r="M5" s="967">
        <f ca="1">Prime!J9</f>
        <v>232160.0393828571</v>
      </c>
      <c r="N5" s="967">
        <f ca="1">Prime!K9</f>
        <v>258087.67258113457</v>
      </c>
      <c r="O5" s="967">
        <f ca="1">Prime!L9</f>
        <v>271100.917590486</v>
      </c>
      <c r="P5" s="969">
        <f ca="1">Prime!M9</f>
        <v>268956.47300482227</v>
      </c>
      <c r="R5" s="649">
        <f>I28</f>
        <v>123104</v>
      </c>
      <c r="S5" s="574">
        <f>42638+18348+8995</f>
        <v>69981</v>
      </c>
      <c r="T5" s="574">
        <f>53670+23813+9954</f>
        <v>87437</v>
      </c>
    </row>
    <row r="6" spans="1:24" s="145" customFormat="1" x14ac:dyDescent="0.2">
      <c r="A6" s="725"/>
      <c r="B6" s="309" t="s">
        <v>270</v>
      </c>
      <c r="C6" s="967">
        <f>Prime!C16</f>
        <v>19768.259461253911</v>
      </c>
      <c r="D6" s="967">
        <f>Prime!D16</f>
        <v>27892.331154288484</v>
      </c>
      <c r="E6" s="967">
        <f>Prime!E16</f>
        <v>42465.407919607169</v>
      </c>
      <c r="F6" s="967">
        <f>Prime!F16</f>
        <v>60310.001407782591</v>
      </c>
      <c r="G6" s="967">
        <f>Prime!G16</f>
        <v>83616.459668822441</v>
      </c>
      <c r="H6" s="967">
        <f>Prime!H16</f>
        <v>111104.06940468043</v>
      </c>
      <c r="I6" s="950">
        <f>I130+I131+I204</f>
        <v>48531.411718491625</v>
      </c>
      <c r="J6" s="949">
        <f>J130+J131+J204</f>
        <v>72213.183623570119</v>
      </c>
      <c r="K6" s="950">
        <f>H6+J6-I6</f>
        <v>134785.84130975889</v>
      </c>
      <c r="L6" s="968">
        <f ca="1">Prime!I16</f>
        <v>145899.47378571428</v>
      </c>
      <c r="M6" s="967">
        <f ca="1">Prime!J16</f>
        <v>166296.23620994054</v>
      </c>
      <c r="N6" s="967">
        <f ca="1">Prime!K16</f>
        <v>180086.86764762859</v>
      </c>
      <c r="O6" s="967">
        <f ca="1">Prime!L16</f>
        <v>184190.98419996997</v>
      </c>
      <c r="P6" s="969">
        <f ca="1">Prime!M16</f>
        <v>177842.12888086698</v>
      </c>
      <c r="R6" s="577">
        <f>R10/R5-1</f>
        <v>0.33516376397192627</v>
      </c>
      <c r="S6" s="577">
        <v>0.24</v>
      </c>
      <c r="T6" s="577">
        <v>0.24</v>
      </c>
    </row>
    <row r="7" spans="1:24" s="145" customFormat="1" x14ac:dyDescent="0.2">
      <c r="A7" s="725"/>
      <c r="B7" s="310" t="s">
        <v>271</v>
      </c>
      <c r="C7" s="953">
        <f>C5-C6</f>
        <v>-2508.2594612539106</v>
      </c>
      <c r="D7" s="953">
        <f t="shared" ref="D7:P7" si="0">D5-D6</f>
        <v>-925.33115428848396</v>
      </c>
      <c r="E7" s="953">
        <f t="shared" si="0"/>
        <v>2680.1072319079831</v>
      </c>
      <c r="F7" s="953">
        <f t="shared" si="0"/>
        <v>8326.1501073689287</v>
      </c>
      <c r="G7" s="953">
        <f t="shared" si="0"/>
        <v>25798.599154706972</v>
      </c>
      <c r="H7" s="953">
        <f t="shared" si="0"/>
        <v>37248.787738176703</v>
      </c>
      <c r="I7" s="954">
        <f>I5-I6</f>
        <v>21111.798365541981</v>
      </c>
      <c r="J7" s="955">
        <f>J5-J6</f>
        <v>26895.27015794249</v>
      </c>
      <c r="K7" s="954">
        <f>K5-K6</f>
        <v>43032.259530577227</v>
      </c>
      <c r="L7" s="954">
        <f t="shared" ca="1" si="0"/>
        <v>53962.819071428559</v>
      </c>
      <c r="M7" s="953">
        <f t="shared" ca="1" si="0"/>
        <v>65863.803172916552</v>
      </c>
      <c r="N7" s="953">
        <f t="shared" ca="1" si="0"/>
        <v>78000.804933505977</v>
      </c>
      <c r="O7" s="953">
        <f t="shared" ca="1" si="0"/>
        <v>86909.933390516031</v>
      </c>
      <c r="P7" s="955">
        <f t="shared" ca="1" si="0"/>
        <v>91114.344123955292</v>
      </c>
      <c r="R7" s="577"/>
      <c r="S7" s="577">
        <v>0.27</v>
      </c>
      <c r="T7" s="577">
        <v>0.27</v>
      </c>
    </row>
    <row r="8" spans="1:24" s="145" customFormat="1" x14ac:dyDescent="0.2">
      <c r="A8" s="725"/>
      <c r="B8" s="311" t="s">
        <v>272</v>
      </c>
      <c r="C8" s="877">
        <f t="shared" ref="C8:P8" si="1">C7/C39</f>
        <v>-2.8186491001639665E-2</v>
      </c>
      <c r="D8" s="877">
        <f t="shared" si="1"/>
        <v>-8.6474698081274309E-3</v>
      </c>
      <c r="E8" s="877">
        <f t="shared" si="1"/>
        <v>1.9708554728819543E-2</v>
      </c>
      <c r="F8" s="877">
        <f t="shared" si="1"/>
        <v>4.6811364214458799E-2</v>
      </c>
      <c r="G8" s="877">
        <f t="shared" si="1"/>
        <v>0.11077732614833362</v>
      </c>
      <c r="H8" s="877">
        <f t="shared" si="1"/>
        <v>0.13278383776736477</v>
      </c>
      <c r="I8" s="956">
        <f t="shared" si="1"/>
        <v>0.17149563268083881</v>
      </c>
      <c r="J8" s="877">
        <f t="shared" si="1"/>
        <v>0.16363236571233658</v>
      </c>
      <c r="K8" s="957">
        <f t="shared" si="1"/>
        <v>0.133731095992247</v>
      </c>
      <c r="L8" s="956">
        <f t="shared" ca="1" si="1"/>
        <v>0.15042164662958168</v>
      </c>
      <c r="M8" s="877">
        <f t="shared" ca="1" si="1"/>
        <v>0.15429202648590498</v>
      </c>
      <c r="N8" s="877">
        <f t="shared" ca="1" si="1"/>
        <v>0.15788220629991029</v>
      </c>
      <c r="O8" s="877">
        <f t="shared" ca="1" si="1"/>
        <v>0.15966083441164411</v>
      </c>
      <c r="P8" s="878">
        <f t="shared" ca="1" si="1"/>
        <v>0.15752508876945723</v>
      </c>
      <c r="S8" s="577">
        <v>0.33</v>
      </c>
      <c r="T8" s="577">
        <v>0.33</v>
      </c>
    </row>
    <row r="9" spans="1:24" s="145" customFormat="1" x14ac:dyDescent="0.2">
      <c r="A9" s="725"/>
      <c r="B9" s="309" t="s">
        <v>273</v>
      </c>
      <c r="C9" s="967">
        <f>SUM(Prime!C17:C21)</f>
        <v>4475.8455847481746</v>
      </c>
      <c r="D9" s="967">
        <f>SUM(Prime!D17:D21)</f>
        <v>7277.0038435930046</v>
      </c>
      <c r="E9" s="967">
        <f>SUM(Prime!E17:E21)</f>
        <v>12556.835038870378</v>
      </c>
      <c r="F9" s="967">
        <f>SUM(Prime!F17:F21)</f>
        <v>20837.265870472293</v>
      </c>
      <c r="G9" s="967">
        <f>SUM(Prime!G17:G21)</f>
        <v>33164.331996094174</v>
      </c>
      <c r="H9" s="967">
        <f>SUM(Prime!H17:H21)</f>
        <v>44999.249923094474</v>
      </c>
      <c r="I9" s="950">
        <f>SUM(I205:I209)</f>
        <v>21817.999347064757</v>
      </c>
      <c r="J9" s="949">
        <f>SUM(J205:J209)</f>
        <v>29690.289355701261</v>
      </c>
      <c r="K9" s="952">
        <f>J9+H9-I9</f>
        <v>52871.539931730978</v>
      </c>
      <c r="L9" s="968">
        <f ca="1">SUM(Prime!I17:I21)</f>
        <v>62357.035371428567</v>
      </c>
      <c r="M9" s="967">
        <f ca="1">SUM(Prime!J17:J21)</f>
        <v>74200.374435187478</v>
      </c>
      <c r="N9" s="967">
        <f ca="1">SUM(Prime!K17:K21)</f>
        <v>82593.451425919251</v>
      </c>
      <c r="O9" s="967">
        <f ca="1">SUM(Prime!L17:L21)</f>
        <v>86811.670811876276</v>
      </c>
      <c r="P9" s="969">
        <f ca="1">SUM(Prime!M17:M21)</f>
        <v>86063.62964807039</v>
      </c>
    </row>
    <row r="10" spans="1:24" s="145" customFormat="1" x14ac:dyDescent="0.2">
      <c r="A10" s="725"/>
      <c r="B10" s="310" t="s">
        <v>274</v>
      </c>
      <c r="C10" s="953">
        <f t="shared" ref="C10:P10" si="2">C7-C9</f>
        <v>-6984.1050460020851</v>
      </c>
      <c r="D10" s="953">
        <f t="shared" si="2"/>
        <v>-8202.3349978814877</v>
      </c>
      <c r="E10" s="953">
        <f t="shared" si="2"/>
        <v>-9876.7278069623953</v>
      </c>
      <c r="F10" s="953">
        <f t="shared" si="2"/>
        <v>-12511.115763103364</v>
      </c>
      <c r="G10" s="953">
        <f t="shared" si="2"/>
        <v>-7365.7328413872019</v>
      </c>
      <c r="H10" s="953">
        <f>H7-H9</f>
        <v>-7750.4621849177711</v>
      </c>
      <c r="I10" s="954">
        <f>I7-I9</f>
        <v>-706.20098152277569</v>
      </c>
      <c r="J10" s="953">
        <f>J7-J9</f>
        <v>-2795.019197758771</v>
      </c>
      <c r="K10" s="958">
        <f>K7-K9</f>
        <v>-9839.2804011537519</v>
      </c>
      <c r="L10" s="954">
        <f t="shared" ca="1" si="2"/>
        <v>-8394.2163000000073</v>
      </c>
      <c r="M10" s="953">
        <f t="shared" ca="1" si="2"/>
        <v>-8336.5712622709252</v>
      </c>
      <c r="N10" s="953">
        <f t="shared" ca="1" si="2"/>
        <v>-4592.6464924132742</v>
      </c>
      <c r="O10" s="953">
        <f t="shared" ca="1" si="2"/>
        <v>98.262578639754793</v>
      </c>
      <c r="P10" s="955">
        <f t="shared" ca="1" si="2"/>
        <v>5050.7144758849026</v>
      </c>
      <c r="R10" s="649">
        <f>J28</f>
        <v>164364</v>
      </c>
      <c r="S10" s="574">
        <f t="shared" ref="S10:T12" si="3">S$5*(1+S6)</f>
        <v>86776.44</v>
      </c>
      <c r="T10" s="574">
        <f t="shared" si="3"/>
        <v>108421.88</v>
      </c>
      <c r="U10" s="580">
        <f>R10+S10+T10</f>
        <v>359562.32</v>
      </c>
      <c r="V10" s="145" t="s">
        <v>275</v>
      </c>
      <c r="X10" s="167">
        <f>U10/$H$28-1</f>
        <v>0.28176157306735305</v>
      </c>
    </row>
    <row r="11" spans="1:24" s="145" customFormat="1" x14ac:dyDescent="0.2">
      <c r="A11" s="725"/>
      <c r="B11" s="311" t="s">
        <v>605</v>
      </c>
      <c r="C11" s="959">
        <f>C10/C5</f>
        <v>-0.40464108030139545</v>
      </c>
      <c r="D11" s="959">
        <f t="shared" ref="D11:P11" si="4">D10/D5</f>
        <v>-0.30416193858721724</v>
      </c>
      <c r="E11" s="959">
        <f t="shared" si="4"/>
        <v>-0.2187753927231666</v>
      </c>
      <c r="F11" s="959">
        <f t="shared" si="4"/>
        <v>-0.182281720156491</v>
      </c>
      <c r="G11" s="959">
        <f t="shared" si="4"/>
        <v>-6.7319187327468874E-2</v>
      </c>
      <c r="H11" s="959">
        <f t="shared" si="4"/>
        <v>-5.2243430522234055E-2</v>
      </c>
      <c r="I11" s="960">
        <f>I10/I5</f>
        <v>-1.0140270396362434E-2</v>
      </c>
      <c r="J11" s="961">
        <f>J10/J5</f>
        <v>-2.8201622476327497E-2</v>
      </c>
      <c r="K11" s="962">
        <f>K10/K5</f>
        <v>-5.5333401687764606E-2</v>
      </c>
      <c r="L11" s="960">
        <f t="shared" ca="1" si="4"/>
        <v>-4.2000000000000044E-2</v>
      </c>
      <c r="M11" s="959">
        <f t="shared" ca="1" si="4"/>
        <v>-3.590872608581451E-2</v>
      </c>
      <c r="N11" s="959">
        <f t="shared" ca="1" si="4"/>
        <v>-1.7794908398693441E-2</v>
      </c>
      <c r="O11" s="959">
        <f t="shared" ca="1" si="4"/>
        <v>3.624575656663259E-4</v>
      </c>
      <c r="P11" s="963">
        <f t="shared" ca="1" si="4"/>
        <v>1.8778928870748338E-2</v>
      </c>
      <c r="S11" s="574">
        <f t="shared" si="3"/>
        <v>88875.87</v>
      </c>
      <c r="T11" s="574">
        <f t="shared" si="3"/>
        <v>111044.99</v>
      </c>
      <c r="U11" s="580">
        <f>R10+S11+T11</f>
        <v>364284.86</v>
      </c>
      <c r="V11" s="145" t="s">
        <v>276</v>
      </c>
      <c r="X11" s="167">
        <f>U11/$H$28-1</f>
        <v>0.29859640242120045</v>
      </c>
    </row>
    <row r="12" spans="1:24" s="145" customFormat="1" x14ac:dyDescent="0.2">
      <c r="A12" s="725"/>
      <c r="B12" s="312" t="s">
        <v>127</v>
      </c>
      <c r="C12" s="169"/>
      <c r="D12" s="169"/>
      <c r="E12" s="169"/>
      <c r="F12" s="169"/>
      <c r="G12" s="169"/>
      <c r="H12" s="169"/>
      <c r="I12" s="601"/>
      <c r="J12" s="275"/>
      <c r="K12" s="614"/>
      <c r="L12" s="150"/>
      <c r="P12" s="151"/>
      <c r="S12" s="574">
        <f t="shared" si="3"/>
        <v>93074.73000000001</v>
      </c>
      <c r="T12" s="574">
        <f t="shared" si="3"/>
        <v>116291.21</v>
      </c>
      <c r="U12" s="580">
        <f>R10+S12+T12</f>
        <v>373729.94</v>
      </c>
      <c r="V12" s="145" t="s">
        <v>277</v>
      </c>
      <c r="X12" s="167">
        <f>U12/$H$28-1</f>
        <v>0.33226606112889545</v>
      </c>
    </row>
    <row r="13" spans="1:24" s="145" customFormat="1" x14ac:dyDescent="0.2">
      <c r="A13" s="725"/>
      <c r="B13" s="313" t="s">
        <v>278</v>
      </c>
      <c r="C13" s="169"/>
      <c r="D13" s="169"/>
      <c r="E13" s="169"/>
      <c r="F13" s="169"/>
      <c r="G13" s="169"/>
      <c r="H13" s="169"/>
      <c r="I13" s="601"/>
      <c r="J13" s="275"/>
      <c r="K13" s="614"/>
      <c r="L13" s="150"/>
      <c r="P13" s="151"/>
    </row>
    <row r="14" spans="1:24" s="145" customFormat="1" x14ac:dyDescent="0.2">
      <c r="A14" s="725"/>
      <c r="B14" s="309" t="s">
        <v>269</v>
      </c>
      <c r="C14" s="967">
        <f>Retail!C7</f>
        <v>67084</v>
      </c>
      <c r="D14" s="967">
        <f>Retail!D7</f>
        <v>72159</v>
      </c>
      <c r="E14" s="967">
        <f>Retail!E7</f>
        <v>78622.484848484848</v>
      </c>
      <c r="F14" s="967">
        <f>Retail!F7</f>
        <v>91770.84848484848</v>
      </c>
      <c r="G14" s="967">
        <f>Retail!G7</f>
        <v>97816.941176470587</v>
      </c>
      <c r="H14" s="967">
        <f>Retail!H7</f>
        <v>97143.14285714287</v>
      </c>
      <c r="I14" s="950">
        <f>I28-I5-I23</f>
        <v>37384.789915966394</v>
      </c>
      <c r="J14" s="951">
        <f>J28-J5-J23</f>
        <v>44228.54621848739</v>
      </c>
      <c r="K14" s="952">
        <f>H14+J14-I14</f>
        <v>103986.89915966388</v>
      </c>
      <c r="L14" s="968">
        <f ca="1">Retail!I7</f>
        <v>115337.29142857144</v>
      </c>
      <c r="M14" s="967">
        <f ca="1">Retail!J7</f>
        <v>140583.71336214288</v>
      </c>
      <c r="N14" s="967">
        <f ca="1">Retail!K7</f>
        <v>168657.79896670845</v>
      </c>
      <c r="O14" s="967">
        <f ca="1">Retail!L7</f>
        <v>189574.5276356652</v>
      </c>
      <c r="P14" s="969">
        <f ca="1">Retail!M7</f>
        <v>205442.66183833545</v>
      </c>
      <c r="Q14" s="142"/>
    </row>
    <row r="15" spans="1:24" s="145" customFormat="1" x14ac:dyDescent="0.2">
      <c r="A15" s="725"/>
      <c r="B15" s="309" t="s">
        <v>270</v>
      </c>
      <c r="C15" s="967">
        <f>Retail!C30</f>
        <v>42983.740538746082</v>
      </c>
      <c r="D15" s="967">
        <f>Retail!D30</f>
        <v>43758.668845711523</v>
      </c>
      <c r="E15" s="967">
        <f>Retail!E30</f>
        <v>45799.592080392838</v>
      </c>
      <c r="F15" s="967">
        <f>Retail!F30</f>
        <v>51623.998592217402</v>
      </c>
      <c r="G15" s="967">
        <f>Retail!G30</f>
        <v>55539.540331177559</v>
      </c>
      <c r="H15" s="967">
        <f>Retail!H30</f>
        <v>54431.930595319565</v>
      </c>
      <c r="I15" s="950">
        <f>I213+I222</f>
        <v>21679.588281508368</v>
      </c>
      <c r="J15" s="951">
        <f>J213+J222</f>
        <v>24691.816376429881</v>
      </c>
      <c r="K15" s="952">
        <f>H15+J15-I15</f>
        <v>57444.158690241071</v>
      </c>
      <c r="L15" s="968">
        <f ca="1">Retail!I30</f>
        <v>64330.742646266357</v>
      </c>
      <c r="M15" s="967">
        <f ca="1">Retail!J30</f>
        <v>76811.487083734246</v>
      </c>
      <c r="N15" s="967">
        <f ca="1">Retail!K30</f>
        <v>90257.496363530372</v>
      </c>
      <c r="O15" s="967">
        <f ca="1">Retail!L30</f>
        <v>99488.319079188674</v>
      </c>
      <c r="P15" s="969">
        <f ca="1">Retail!M30</f>
        <v>105758.82807093603</v>
      </c>
    </row>
    <row r="16" spans="1:24" s="145" customFormat="1" x14ac:dyDescent="0.2">
      <c r="A16" s="725"/>
      <c r="B16" s="310" t="s">
        <v>271</v>
      </c>
      <c r="C16" s="953">
        <f t="shared" ref="C16:P16" si="5">C14-C15</f>
        <v>24100.259461253918</v>
      </c>
      <c r="D16" s="953">
        <f t="shared" si="5"/>
        <v>28400.331154288477</v>
      </c>
      <c r="E16" s="953">
        <f t="shared" si="5"/>
        <v>32822.89276809201</v>
      </c>
      <c r="F16" s="953">
        <f t="shared" si="5"/>
        <v>40146.849892631079</v>
      </c>
      <c r="G16" s="953">
        <f t="shared" si="5"/>
        <v>42277.400845293028</v>
      </c>
      <c r="H16" s="953">
        <f t="shared" si="5"/>
        <v>42711.212261823304</v>
      </c>
      <c r="I16" s="954">
        <f>I14-I15</f>
        <v>15705.201634458026</v>
      </c>
      <c r="J16" s="955">
        <f>J14-J15</f>
        <v>19536.72984205751</v>
      </c>
      <c r="K16" s="954">
        <f>H16+J16-I16</f>
        <v>46542.740469422788</v>
      </c>
      <c r="L16" s="954">
        <f t="shared" ca="1" si="5"/>
        <v>51006.548782305079</v>
      </c>
      <c r="M16" s="953">
        <f t="shared" ca="1" si="5"/>
        <v>63772.226278408634</v>
      </c>
      <c r="N16" s="953">
        <f t="shared" ca="1" si="5"/>
        <v>78400.302603178076</v>
      </c>
      <c r="O16" s="953">
        <f t="shared" ca="1" si="5"/>
        <v>90086.208556476529</v>
      </c>
      <c r="P16" s="955">
        <f t="shared" ca="1" si="5"/>
        <v>99683.833767399425</v>
      </c>
    </row>
    <row r="17" spans="1:17" s="145" customFormat="1" x14ac:dyDescent="0.2">
      <c r="A17" s="725"/>
      <c r="B17" s="311" t="s">
        <v>272</v>
      </c>
      <c r="C17" s="877">
        <f t="shared" ref="C17:P17" si="6">C16/C39</f>
        <v>0.27082594800707871</v>
      </c>
      <c r="D17" s="877">
        <f t="shared" si="6"/>
        <v>0.26540877291262616</v>
      </c>
      <c r="E17" s="877">
        <f t="shared" si="6"/>
        <v>0.24136787169429438</v>
      </c>
      <c r="F17" s="877">
        <f t="shared" si="6"/>
        <v>0.22571402006359326</v>
      </c>
      <c r="G17" s="877">
        <f t="shared" si="6"/>
        <v>0.18153611341677736</v>
      </c>
      <c r="H17" s="877">
        <f t="shared" si="6"/>
        <v>0.15225619474345436</v>
      </c>
      <c r="I17" s="956">
        <f t="shared" si="6"/>
        <v>0.12757669640676197</v>
      </c>
      <c r="J17" s="878">
        <f t="shared" si="6"/>
        <v>0.11886258452007441</v>
      </c>
      <c r="K17" s="957">
        <f t="shared" si="6"/>
        <v>0.14464059664438281</v>
      </c>
      <c r="L17" s="956">
        <f t="shared" ca="1" si="6"/>
        <v>0.14218102739537436</v>
      </c>
      <c r="M17" s="877">
        <f t="shared" ca="1" si="6"/>
        <v>0.14939231492874691</v>
      </c>
      <c r="N17" s="877">
        <f t="shared" ca="1" si="6"/>
        <v>0.15869083351283805</v>
      </c>
      <c r="O17" s="877">
        <f t="shared" ca="1" si="6"/>
        <v>0.16549591819935733</v>
      </c>
      <c r="P17" s="878">
        <f t="shared" ca="1" si="6"/>
        <v>0.17234064420994871</v>
      </c>
    </row>
    <row r="18" spans="1:17" s="145" customFormat="1" x14ac:dyDescent="0.2">
      <c r="A18" s="725"/>
      <c r="B18" s="309" t="s">
        <v>273</v>
      </c>
      <c r="C18" s="967">
        <f>Retail!C31</f>
        <v>17396.154415251825</v>
      </c>
      <c r="D18" s="967">
        <f>Retail!D31</f>
        <v>19471.996156406996</v>
      </c>
      <c r="E18" s="967">
        <f>Retail!E31</f>
        <v>21868.16496112962</v>
      </c>
      <c r="F18" s="967">
        <f>Retail!F31</f>
        <v>27860.734129527704</v>
      </c>
      <c r="G18" s="967">
        <f>Retail!G31</f>
        <v>29786.668003905826</v>
      </c>
      <c r="H18" s="967">
        <f>Retail!H31</f>
        <v>29620.750076905533</v>
      </c>
      <c r="I18" s="950">
        <f>SUM(I214:I218)+SUM(I223:I227)</f>
        <v>11792.000652935243</v>
      </c>
      <c r="J18" s="951">
        <f>SUM(J214:J218)+SUM(J223:J227)</f>
        <v>13329.710644298742</v>
      </c>
      <c r="K18" s="952">
        <f>H18+J18-I18</f>
        <v>31158.460068269032</v>
      </c>
      <c r="L18" s="968">
        <f ca="1">Retail!I31</f>
        <v>36049.624990386495</v>
      </c>
      <c r="M18" s="967">
        <f ca="1">Retail!J31</f>
        <v>44032.876299073243</v>
      </c>
      <c r="N18" s="967">
        <f ca="1">Retail!K31</f>
        <v>53051.313970970848</v>
      </c>
      <c r="O18" s="967">
        <f ca="1">Retail!L31</f>
        <v>59764.347426138862</v>
      </c>
      <c r="P18" s="969">
        <f ca="1">Retail!M31</f>
        <v>64752.100815443431</v>
      </c>
    </row>
    <row r="19" spans="1:17" s="145" customFormat="1" x14ac:dyDescent="0.2">
      <c r="A19" s="725" t="s">
        <v>609</v>
      </c>
      <c r="B19" s="310" t="s">
        <v>274</v>
      </c>
      <c r="C19" s="953">
        <f>C16-C18</f>
        <v>6704.1050460020924</v>
      </c>
      <c r="D19" s="953">
        <f t="shared" ref="D19:P19" si="7">D16-D18</f>
        <v>8928.3349978814804</v>
      </c>
      <c r="E19" s="953">
        <f t="shared" si="7"/>
        <v>10954.72780696239</v>
      </c>
      <c r="F19" s="953">
        <f t="shared" si="7"/>
        <v>12286.115763103375</v>
      </c>
      <c r="G19" s="953">
        <f t="shared" si="7"/>
        <v>12490.732841387202</v>
      </c>
      <c r="H19" s="953">
        <f t="shared" si="7"/>
        <v>13090.462184917771</v>
      </c>
      <c r="I19" s="954">
        <f>I16-I18</f>
        <v>3913.200981522783</v>
      </c>
      <c r="J19" s="955">
        <f>J16-J18</f>
        <v>6207.0191977587674</v>
      </c>
      <c r="K19" s="958">
        <f>K16-K18</f>
        <v>15384.280401153756</v>
      </c>
      <c r="L19" s="954">
        <f t="shared" ca="1" si="7"/>
        <v>14956.923791918583</v>
      </c>
      <c r="M19" s="953">
        <f t="shared" ca="1" si="7"/>
        <v>19739.349979335391</v>
      </c>
      <c r="N19" s="953">
        <f t="shared" ca="1" si="7"/>
        <v>25348.988632207227</v>
      </c>
      <c r="O19" s="953">
        <f t="shared" ca="1" si="7"/>
        <v>30321.861130337667</v>
      </c>
      <c r="P19" s="955">
        <f t="shared" ca="1" si="7"/>
        <v>34931.732951955993</v>
      </c>
    </row>
    <row r="20" spans="1:17" s="145" customFormat="1" x14ac:dyDescent="0.2">
      <c r="A20" s="725"/>
      <c r="B20" s="311" t="s">
        <v>606</v>
      </c>
      <c r="C20" s="959">
        <f>C19/C14</f>
        <v>9.9935976477283597E-2</v>
      </c>
      <c r="D20" s="959">
        <f t="shared" ref="D20:P20" si="8">D19/D14</f>
        <v>0.12373141254564891</v>
      </c>
      <c r="E20" s="959">
        <f t="shared" si="8"/>
        <v>0.13933326869627044</v>
      </c>
      <c r="F20" s="959">
        <f t="shared" si="8"/>
        <v>0.13387819733552789</v>
      </c>
      <c r="G20" s="959">
        <f t="shared" si="8"/>
        <v>0.12769498505225996</v>
      </c>
      <c r="H20" s="959">
        <f t="shared" si="8"/>
        <v>0.13475436144956102</v>
      </c>
      <c r="I20" s="960">
        <f>I19/I14</f>
        <v>0.10467361165647537</v>
      </c>
      <c r="J20" s="963">
        <f>J19/J14</f>
        <v>0.140339661337642</v>
      </c>
      <c r="K20" s="962">
        <f>K19/K14</f>
        <v>0.14794440958886923</v>
      </c>
      <c r="L20" s="960">
        <f t="shared" ca="1" si="8"/>
        <v>0.12967985988453204</v>
      </c>
      <c r="M20" s="959">
        <f t="shared" ca="1" si="8"/>
        <v>0.14040993446009592</v>
      </c>
      <c r="N20" s="959">
        <f t="shared" ca="1" si="8"/>
        <v>0.15029834841619683</v>
      </c>
      <c r="O20" s="959">
        <f t="shared" ca="1" si="8"/>
        <v>0.15994691643706424</v>
      </c>
      <c r="P20" s="963">
        <f t="shared" ca="1" si="8"/>
        <v>0.17003154378638291</v>
      </c>
    </row>
    <row r="21" spans="1:17" s="145" customFormat="1" x14ac:dyDescent="0.2">
      <c r="A21" s="725"/>
      <c r="B21" s="312"/>
      <c r="C21" s="683"/>
      <c r="D21" s="683"/>
      <c r="E21" s="683"/>
      <c r="F21" s="683"/>
      <c r="G21" s="683"/>
      <c r="H21" s="683"/>
      <c r="I21" s="684"/>
      <c r="J21" s="685"/>
      <c r="K21" s="686"/>
      <c r="L21" s="687"/>
      <c r="M21" s="688"/>
      <c r="N21" s="688"/>
      <c r="O21" s="688"/>
      <c r="P21" s="689"/>
    </row>
    <row r="22" spans="1:17" s="145" customFormat="1" x14ac:dyDescent="0.2">
      <c r="A22" s="735"/>
      <c r="B22" s="313" t="s">
        <v>279</v>
      </c>
      <c r="C22" s="169"/>
      <c r="D22" s="169"/>
      <c r="E22" s="169"/>
      <c r="F22" s="169"/>
      <c r="G22" s="169"/>
      <c r="H22" s="169"/>
      <c r="I22" s="601"/>
      <c r="J22" s="595"/>
      <c r="K22" s="614"/>
      <c r="L22" s="150"/>
      <c r="P22" s="151"/>
    </row>
    <row r="23" spans="1:17" s="145" customFormat="1" x14ac:dyDescent="0.2">
      <c r="A23" s="725"/>
      <c r="B23" s="309" t="s">
        <v>269</v>
      </c>
      <c r="C23" s="967">
        <f>AWS!C3</f>
        <v>4644</v>
      </c>
      <c r="D23" s="967">
        <f>AWS!D3</f>
        <v>7880</v>
      </c>
      <c r="E23" s="967">
        <f>AWS!E3</f>
        <v>12219</v>
      </c>
      <c r="F23" s="967">
        <f>AWS!F3</f>
        <v>17459</v>
      </c>
      <c r="G23" s="967">
        <f>AWS!G3</f>
        <v>25655</v>
      </c>
      <c r="H23" s="967">
        <f>AWS!H3</f>
        <v>35026</v>
      </c>
      <c r="I23" s="379">
        <v>16076</v>
      </c>
      <c r="J23" s="370">
        <v>21027</v>
      </c>
      <c r="K23" s="833">
        <f>H23+J23-I23</f>
        <v>39977</v>
      </c>
      <c r="L23" s="968">
        <f ca="1">AWS!I3</f>
        <v>43544.122358541463</v>
      </c>
      <c r="M23" s="967">
        <f ca="1">AWS!J3</f>
        <v>54133.803231189129</v>
      </c>
      <c r="N23" s="967">
        <f ca="1">AWS!K3</f>
        <v>67298.833770116675</v>
      </c>
      <c r="O23" s="967">
        <f ca="1">AWS!L3</f>
        <v>83665.524246933783</v>
      </c>
      <c r="P23" s="969">
        <f ca="1">AWS!M3</f>
        <v>104012.5</v>
      </c>
    </row>
    <row r="24" spans="1:17" s="145" customFormat="1" x14ac:dyDescent="0.2">
      <c r="A24" s="725"/>
      <c r="B24" s="309" t="s">
        <v>280</v>
      </c>
      <c r="C24" s="967">
        <f>SUM(AWS!C6:C9)</f>
        <v>4186</v>
      </c>
      <c r="D24" s="967">
        <f>SUM(AWS!D6:D9)</f>
        <v>6373</v>
      </c>
      <c r="E24" s="967">
        <f>SUM(AWS!E6:E9)</f>
        <v>9111</v>
      </c>
      <c r="F24" s="967">
        <f>SUM(AWS!F6:F9)</f>
        <v>13128</v>
      </c>
      <c r="G24" s="967">
        <f>SUM(AWS!G6:G9)</f>
        <v>18359</v>
      </c>
      <c r="H24" s="967">
        <f>SUM(AWS!H6:H9)</f>
        <v>25825</v>
      </c>
      <c r="I24" s="379">
        <v>11733</v>
      </c>
      <c r="J24" s="370">
        <v>14595</v>
      </c>
      <c r="K24" s="833">
        <f>H24+J24-I24</f>
        <v>28687</v>
      </c>
      <c r="L24" s="968">
        <f ca="1">SUM(AWS!I6:I9)</f>
        <v>31751.726211352678</v>
      </c>
      <c r="M24" s="967">
        <f ca="1">SUM(AWS!J6:J9)</f>
        <v>37677.127048907634</v>
      </c>
      <c r="N24" s="967">
        <f ca="1">SUM(AWS!K6:K9)</f>
        <v>45157.517459748291</v>
      </c>
      <c r="O24" s="967">
        <f ca="1">SUM(AWS!L6:L9)</f>
        <v>54047.928663519218</v>
      </c>
      <c r="P24" s="969">
        <f ca="1">SUM(AWS!M6:M9)</f>
        <v>64591.762499999997</v>
      </c>
    </row>
    <row r="25" spans="1:17" s="145" customFormat="1" x14ac:dyDescent="0.2">
      <c r="A25" s="725"/>
      <c r="B25" s="310" t="s">
        <v>274</v>
      </c>
      <c r="C25" s="953">
        <f t="shared" ref="C25:P25" si="9">C23-C24</f>
        <v>458</v>
      </c>
      <c r="D25" s="953">
        <f t="shared" si="9"/>
        <v>1507</v>
      </c>
      <c r="E25" s="953">
        <f t="shared" si="9"/>
        <v>3108</v>
      </c>
      <c r="F25" s="953">
        <f t="shared" si="9"/>
        <v>4331</v>
      </c>
      <c r="G25" s="953">
        <f t="shared" si="9"/>
        <v>7296</v>
      </c>
      <c r="H25" s="953">
        <f t="shared" si="9"/>
        <v>9201</v>
      </c>
      <c r="I25" s="834">
        <f>I23-I24</f>
        <v>4343</v>
      </c>
      <c r="J25" s="835">
        <f>J23-J24</f>
        <v>6432</v>
      </c>
      <c r="K25" s="835">
        <f>K23-K24</f>
        <v>11290</v>
      </c>
      <c r="L25" s="954">
        <f t="shared" ca="1" si="9"/>
        <v>11792.396147188785</v>
      </c>
      <c r="M25" s="953">
        <f t="shared" ca="1" si="9"/>
        <v>16456.676182281495</v>
      </c>
      <c r="N25" s="953">
        <f t="shared" ca="1" si="9"/>
        <v>22141.316310368384</v>
      </c>
      <c r="O25" s="953">
        <f t="shared" ca="1" si="9"/>
        <v>29617.595583414564</v>
      </c>
      <c r="P25" s="955">
        <f t="shared" ca="1" si="9"/>
        <v>39420.737500000003</v>
      </c>
    </row>
    <row r="26" spans="1:17" s="145" customFormat="1" x14ac:dyDescent="0.2">
      <c r="A26" s="725"/>
      <c r="B26" s="311" t="s">
        <v>604</v>
      </c>
      <c r="C26" s="965">
        <f>C25/C23</f>
        <v>9.8621877691645127E-2</v>
      </c>
      <c r="D26" s="965">
        <f t="shared" ref="D26:P26" si="10">D25/D23</f>
        <v>0.19124365482233502</v>
      </c>
      <c r="E26" s="965">
        <f t="shared" si="10"/>
        <v>0.25435796710041736</v>
      </c>
      <c r="F26" s="965">
        <f t="shared" si="10"/>
        <v>0.24806689959333295</v>
      </c>
      <c r="G26" s="965">
        <f t="shared" si="10"/>
        <v>0.28438900799064509</v>
      </c>
      <c r="H26" s="965">
        <f t="shared" si="10"/>
        <v>0.26269057271740992</v>
      </c>
      <c r="I26" s="317"/>
      <c r="J26" s="314"/>
      <c r="K26" s="615"/>
      <c r="L26" s="964">
        <f ca="1">L25/L23</f>
        <v>0.27081487715128172</v>
      </c>
      <c r="M26" s="965">
        <f t="shared" ca="1" si="10"/>
        <v>0.30399999999999999</v>
      </c>
      <c r="N26" s="965">
        <f t="shared" ca="1" si="10"/>
        <v>0.32899999999999996</v>
      </c>
      <c r="O26" s="965">
        <f t="shared" ca="1" si="10"/>
        <v>0.35400000000000004</v>
      </c>
      <c r="P26" s="966">
        <f t="shared" ca="1" si="10"/>
        <v>0.379</v>
      </c>
    </row>
    <row r="27" spans="1:17" s="145" customFormat="1" x14ac:dyDescent="0.2">
      <c r="A27" s="725"/>
      <c r="B27" s="309"/>
      <c r="C27" s="167"/>
      <c r="D27" s="167"/>
      <c r="E27" s="167"/>
      <c r="F27" s="167"/>
      <c r="G27" s="167"/>
      <c r="H27" s="167"/>
      <c r="I27" s="602"/>
      <c r="J27" s="596"/>
      <c r="K27" s="616"/>
      <c r="L27" s="150"/>
      <c r="P27" s="151"/>
    </row>
    <row r="28" spans="1:17" s="145" customFormat="1" x14ac:dyDescent="0.2">
      <c r="A28" s="725"/>
      <c r="B28" s="310" t="s">
        <v>281</v>
      </c>
      <c r="C28" s="953">
        <f t="shared" ref="C28:H28" si="11">C23+C14+C5</f>
        <v>88988</v>
      </c>
      <c r="D28" s="953">
        <f t="shared" si="11"/>
        <v>107006</v>
      </c>
      <c r="E28" s="953">
        <f t="shared" si="11"/>
        <v>135987</v>
      </c>
      <c r="F28" s="953">
        <f t="shared" si="11"/>
        <v>177866</v>
      </c>
      <c r="G28" s="953">
        <f t="shared" si="11"/>
        <v>232887</v>
      </c>
      <c r="H28" s="953">
        <f t="shared" si="11"/>
        <v>280522</v>
      </c>
      <c r="I28" s="947">
        <v>123104</v>
      </c>
      <c r="J28" s="948">
        <v>164364</v>
      </c>
      <c r="K28" s="958">
        <f>H28+J28-I28</f>
        <v>321782</v>
      </c>
      <c r="L28" s="954">
        <f ca="1">L23+L14+L5</f>
        <v>358743.70664425573</v>
      </c>
      <c r="M28" s="953">
        <f ca="1">M23+M14+M5</f>
        <v>426877.55597618909</v>
      </c>
      <c r="N28" s="953">
        <f ca="1">N23+N14+N5</f>
        <v>494044.30531795969</v>
      </c>
      <c r="O28" s="953">
        <f ca="1">O23+O14+O5</f>
        <v>544340.96947308502</v>
      </c>
      <c r="P28" s="955">
        <f ca="1">P23+P14+P5</f>
        <v>578411.63484315772</v>
      </c>
      <c r="Q28" s="269"/>
    </row>
    <row r="29" spans="1:17" s="145" customFormat="1" x14ac:dyDescent="0.2">
      <c r="A29" s="725"/>
      <c r="B29" s="310" t="s">
        <v>282</v>
      </c>
      <c r="C29" s="953">
        <f t="shared" ref="C29:H29" si="12">C10+C19+C25</f>
        <v>178.00000000000728</v>
      </c>
      <c r="D29" s="953">
        <f t="shared" si="12"/>
        <v>2232.9999999999927</v>
      </c>
      <c r="E29" s="953">
        <f t="shared" si="12"/>
        <v>4185.9999999999945</v>
      </c>
      <c r="F29" s="953">
        <f t="shared" si="12"/>
        <v>4106.0000000000109</v>
      </c>
      <c r="G29" s="953">
        <f t="shared" si="12"/>
        <v>12421</v>
      </c>
      <c r="H29" s="953">
        <f t="shared" si="12"/>
        <v>14541</v>
      </c>
      <c r="I29" s="947">
        <v>7504</v>
      </c>
      <c r="J29" s="948">
        <v>9832</v>
      </c>
      <c r="K29" s="958">
        <f>H29+J29-I29</f>
        <v>16869</v>
      </c>
      <c r="L29" s="954">
        <f ca="1">L10+L19+L25</f>
        <v>18355.103639107361</v>
      </c>
      <c r="M29" s="953">
        <f ca="1">M10+M19+M25</f>
        <v>27859.454899345961</v>
      </c>
      <c r="N29" s="953">
        <f ca="1">N10+N19+N25</f>
        <v>42897.658450162337</v>
      </c>
      <c r="O29" s="953">
        <f ca="1">O10+O19+O25</f>
        <v>60037.719292391987</v>
      </c>
      <c r="P29" s="955">
        <f ca="1">P10+P19+P25</f>
        <v>79403.184927840892</v>
      </c>
    </row>
    <row r="30" spans="1:17" s="145" customFormat="1" x14ac:dyDescent="0.2">
      <c r="A30" s="725"/>
      <c r="B30" s="311" t="s">
        <v>283</v>
      </c>
      <c r="C30" s="965">
        <f t="shared" ref="C30:P30" si="13">C29/C28</f>
        <v>2.0002696992853786E-3</v>
      </c>
      <c r="D30" s="965">
        <f t="shared" si="13"/>
        <v>2.0867988710913339E-2</v>
      </c>
      <c r="E30" s="965">
        <f t="shared" si="13"/>
        <v>3.07823541956216E-2</v>
      </c>
      <c r="F30" s="965">
        <f t="shared" si="13"/>
        <v>2.3084794170892757E-2</v>
      </c>
      <c r="G30" s="965">
        <f t="shared" si="13"/>
        <v>5.3334879147397665E-2</v>
      </c>
      <c r="H30" s="965">
        <f t="shared" si="13"/>
        <v>5.1835506662579051E-2</v>
      </c>
      <c r="I30" s="317"/>
      <c r="J30" s="314"/>
      <c r="K30" s="965">
        <f>K29/K28</f>
        <v>5.2423690573120935E-2</v>
      </c>
      <c r="L30" s="964">
        <f t="shared" ca="1" si="13"/>
        <v>5.1164949514526256E-2</v>
      </c>
      <c r="M30" s="965">
        <f t="shared" ca="1" si="13"/>
        <v>6.5263339590755948E-2</v>
      </c>
      <c r="N30" s="965">
        <f t="shared" ca="1" si="13"/>
        <v>8.682957780993758E-2</v>
      </c>
      <c r="O30" s="965">
        <f t="shared" ca="1" si="13"/>
        <v>0.11029432407137703</v>
      </c>
      <c r="P30" s="966">
        <f t="shared" ca="1" si="13"/>
        <v>0.13727798706775995</v>
      </c>
      <c r="Q30" s="170"/>
    </row>
    <row r="31" spans="1:17" s="145" customFormat="1" x14ac:dyDescent="0.2">
      <c r="A31" s="725"/>
      <c r="B31" s="315" t="s">
        <v>127</v>
      </c>
      <c r="C31" s="153"/>
      <c r="D31" s="153"/>
      <c r="E31" s="153"/>
      <c r="F31" s="153"/>
      <c r="G31" s="153"/>
      <c r="H31" s="153"/>
      <c r="I31" s="152"/>
      <c r="J31" s="154"/>
      <c r="K31" s="617"/>
      <c r="L31" s="152"/>
      <c r="M31" s="153"/>
      <c r="N31" s="153"/>
      <c r="O31" s="153"/>
      <c r="P31" s="154"/>
    </row>
    <row r="32" spans="1:17" x14ac:dyDescent="0.2">
      <c r="A32" s="720" t="s">
        <v>609</v>
      </c>
      <c r="B32" s="607" t="s">
        <v>284</v>
      </c>
      <c r="C32" s="608">
        <v>2014</v>
      </c>
      <c r="D32" s="608">
        <v>2015</v>
      </c>
      <c r="E32" s="608">
        <v>2016</v>
      </c>
      <c r="F32" s="608">
        <v>2017</v>
      </c>
      <c r="G32" s="608">
        <v>2018</v>
      </c>
      <c r="H32" s="608">
        <v>2019</v>
      </c>
      <c r="I32" s="341" t="str">
        <f>$I$3</f>
        <v xml:space="preserve">Q2 2019 </v>
      </c>
      <c r="J32" s="137" t="str">
        <f>$J$3</f>
        <v>Q2 2020</v>
      </c>
      <c r="K32" s="609" t="str">
        <f>$K$3</f>
        <v xml:space="preserve">LTM </v>
      </c>
      <c r="L32" s="610">
        <v>2020</v>
      </c>
      <c r="M32" s="518">
        <v>2021</v>
      </c>
      <c r="N32" s="518">
        <v>2022</v>
      </c>
      <c r="O32" s="518">
        <v>2023</v>
      </c>
      <c r="P32" s="611">
        <v>2024</v>
      </c>
    </row>
    <row r="33" spans="1:22" x14ac:dyDescent="0.2">
      <c r="B33" s="28" t="s">
        <v>285</v>
      </c>
      <c r="C33" s="354">
        <v>68510</v>
      </c>
      <c r="D33" s="970">
        <v>76863</v>
      </c>
      <c r="E33" s="970">
        <v>91431</v>
      </c>
      <c r="F33" s="970">
        <v>108354</v>
      </c>
      <c r="G33" s="970">
        <v>122987</v>
      </c>
      <c r="H33" s="970">
        <v>141247</v>
      </c>
      <c r="I33" s="971">
        <v>60552</v>
      </c>
      <c r="J33" s="972">
        <v>82549</v>
      </c>
      <c r="K33" s="951">
        <f t="shared" ref="K33:K38" si="14">H33+J33-I33</f>
        <v>163244</v>
      </c>
      <c r="L33" s="995">
        <f ca="1">Prime!I8+Retail!I39</f>
        <v>183421.50428571427</v>
      </c>
      <c r="M33" s="996">
        <f ca="1">Prime!J8+Retail!J39</f>
        <v>210081.20530499995</v>
      </c>
      <c r="N33" s="996">
        <f ca="1">Prime!K8+Retail!K39</f>
        <v>231953.07269579978</v>
      </c>
      <c r="O33" s="996">
        <f ca="1">Prime!L8+Retail!L39</f>
        <v>242881.59284375378</v>
      </c>
      <c r="P33" s="997">
        <f ca="1">Prime!M8+Retail!M39</f>
        <v>240709.2954455213</v>
      </c>
    </row>
    <row r="34" spans="1:22" x14ac:dyDescent="0.2">
      <c r="B34" s="28" t="s">
        <v>286</v>
      </c>
      <c r="C34" s="354">
        <v>0</v>
      </c>
      <c r="D34" s="970">
        <v>0</v>
      </c>
      <c r="E34" s="970">
        <v>0</v>
      </c>
      <c r="F34" s="970">
        <v>5798</v>
      </c>
      <c r="G34" s="970">
        <v>17224</v>
      </c>
      <c r="H34" s="970">
        <v>17192</v>
      </c>
      <c r="I34" s="971">
        <v>8636</v>
      </c>
      <c r="J34" s="972">
        <v>8414</v>
      </c>
      <c r="K34" s="951">
        <f t="shared" si="14"/>
        <v>16970</v>
      </c>
      <c r="L34" s="837">
        <f>Retail!I6</f>
        <v>17535.84</v>
      </c>
      <c r="M34" s="967">
        <f>Retail!J6</f>
        <v>17842.717200000003</v>
      </c>
      <c r="N34" s="967">
        <f>Retail!K6</f>
        <v>18110.357958000001</v>
      </c>
      <c r="O34" s="967">
        <f>Retail!L6</f>
        <v>18336.737432474998</v>
      </c>
      <c r="P34" s="969">
        <f>Retail!M6</f>
        <v>18520.104806799747</v>
      </c>
    </row>
    <row r="35" spans="1:22" s="145" customFormat="1" x14ac:dyDescent="0.2">
      <c r="A35" s="725"/>
      <c r="B35" s="647" t="s">
        <v>287</v>
      </c>
      <c r="C35" s="544">
        <v>11705</v>
      </c>
      <c r="D35" s="973">
        <v>16086</v>
      </c>
      <c r="E35" s="973">
        <v>22993</v>
      </c>
      <c r="F35" s="973">
        <v>31881</v>
      </c>
      <c r="G35" s="973">
        <v>42745</v>
      </c>
      <c r="H35" s="973">
        <v>53762</v>
      </c>
      <c r="I35" s="974">
        <v>23104</v>
      </c>
      <c r="J35" s="975">
        <v>32676</v>
      </c>
      <c r="K35" s="976">
        <f t="shared" si="14"/>
        <v>63334</v>
      </c>
      <c r="L35" s="998">
        <f>Retail!I40</f>
        <v>72309.89</v>
      </c>
      <c r="M35" s="999">
        <f>Retail!J40</f>
        <v>94002.857000000004</v>
      </c>
      <c r="N35" s="999">
        <f>Retail!K40</f>
        <v>117503.57125000001</v>
      </c>
      <c r="O35" s="999">
        <f>Retail!L40</f>
        <v>135129.10693750001</v>
      </c>
      <c r="P35" s="1000">
        <f>Retail!M40</f>
        <v>148642.01763125003</v>
      </c>
    </row>
    <row r="36" spans="1:22" x14ac:dyDescent="0.2">
      <c r="B36" s="28" t="s">
        <v>288</v>
      </c>
      <c r="C36" s="354">
        <v>2760</v>
      </c>
      <c r="D36" s="970">
        <v>4467</v>
      </c>
      <c r="E36" s="970">
        <v>6394</v>
      </c>
      <c r="F36" s="970">
        <v>9721</v>
      </c>
      <c r="G36" s="970">
        <v>14168</v>
      </c>
      <c r="H36" s="970">
        <v>19210</v>
      </c>
      <c r="I36" s="971">
        <v>9018</v>
      </c>
      <c r="J36" s="972">
        <v>11574</v>
      </c>
      <c r="K36" s="951">
        <f t="shared" si="14"/>
        <v>21766</v>
      </c>
      <c r="L36" s="837">
        <f ca="1">Prime!I5</f>
        <v>23340.149999999998</v>
      </c>
      <c r="M36" s="967">
        <f ca="1">Prime!J5</f>
        <v>27111.918239999995</v>
      </c>
      <c r="N36" s="967">
        <f ca="1">Prime!K5</f>
        <v>30139.777269043192</v>
      </c>
      <c r="O36" s="967">
        <f ca="1">Prime!L5</f>
        <v>31659.479090547436</v>
      </c>
      <c r="P36" s="969">
        <f ca="1">Prime!M5</f>
        <v>31409.048368571002</v>
      </c>
    </row>
    <row r="37" spans="1:22" x14ac:dyDescent="0.2">
      <c r="B37" s="28" t="s">
        <v>279</v>
      </c>
      <c r="C37" s="354">
        <v>4640</v>
      </c>
      <c r="D37" s="970">
        <v>7880</v>
      </c>
      <c r="E37" s="970">
        <v>12219</v>
      </c>
      <c r="F37" s="970">
        <v>17459</v>
      </c>
      <c r="G37" s="970">
        <v>25655</v>
      </c>
      <c r="H37" s="970">
        <v>35026</v>
      </c>
      <c r="I37" s="971">
        <v>16076</v>
      </c>
      <c r="J37" s="972">
        <v>21027</v>
      </c>
      <c r="K37" s="951">
        <f t="shared" si="14"/>
        <v>39977</v>
      </c>
      <c r="L37" s="837">
        <f ca="1">AWS!I3</f>
        <v>43544.122358541463</v>
      </c>
      <c r="M37" s="967">
        <f ca="1">AWS!J3</f>
        <v>54133.803231189129</v>
      </c>
      <c r="N37" s="967">
        <f ca="1">AWS!K3</f>
        <v>67298.833770116675</v>
      </c>
      <c r="O37" s="967">
        <f ca="1">AWS!L3</f>
        <v>83665.524246933783</v>
      </c>
      <c r="P37" s="969">
        <f ca="1">AWS!M3</f>
        <v>104012.5</v>
      </c>
      <c r="R37" s="754"/>
      <c r="S37" s="754"/>
      <c r="T37" s="754"/>
      <c r="U37" s="754"/>
      <c r="V37" s="754"/>
    </row>
    <row r="38" spans="1:22" x14ac:dyDescent="0.2">
      <c r="B38" s="28" t="s">
        <v>289</v>
      </c>
      <c r="C38" s="354">
        <v>1320</v>
      </c>
      <c r="D38" s="970">
        <v>1710</v>
      </c>
      <c r="E38" s="970">
        <v>2950</v>
      </c>
      <c r="F38" s="970">
        <v>4653</v>
      </c>
      <c r="G38" s="970">
        <v>10108</v>
      </c>
      <c r="H38" s="970">
        <v>14085</v>
      </c>
      <c r="I38" s="971">
        <v>5718</v>
      </c>
      <c r="J38" s="972">
        <v>8124</v>
      </c>
      <c r="K38" s="951">
        <f t="shared" si="14"/>
        <v>16491</v>
      </c>
      <c r="L38" s="837">
        <f ca="1">Retail!I41</f>
        <v>18592.199999999997</v>
      </c>
      <c r="M38" s="967">
        <f ca="1">Retail!J41</f>
        <v>23705.054999999993</v>
      </c>
      <c r="N38" s="967">
        <f ca="1">Retail!K41</f>
        <v>29038.692374999995</v>
      </c>
      <c r="O38" s="967">
        <f ca="1">Retail!L41</f>
        <v>32668.528921874993</v>
      </c>
      <c r="P38" s="969">
        <f ca="1">Retail!M41</f>
        <v>35118.668591015616</v>
      </c>
      <c r="R38" s="755" t="s">
        <v>116</v>
      </c>
      <c r="S38" s="754"/>
      <c r="T38" s="754"/>
      <c r="U38" s="754"/>
      <c r="V38" s="754"/>
    </row>
    <row r="39" spans="1:22" x14ac:dyDescent="0.2">
      <c r="B39" s="85" t="s">
        <v>103</v>
      </c>
      <c r="C39" s="839">
        <f>'Operating Model'!K9</f>
        <v>88988</v>
      </c>
      <c r="D39" s="953">
        <f t="shared" ref="D39:P39" si="15">SUM(D33:D38)</f>
        <v>107006</v>
      </c>
      <c r="E39" s="953">
        <f t="shared" si="15"/>
        <v>135987</v>
      </c>
      <c r="F39" s="953">
        <f t="shared" si="15"/>
        <v>177866</v>
      </c>
      <c r="G39" s="953">
        <f t="shared" si="15"/>
        <v>232887</v>
      </c>
      <c r="H39" s="953">
        <f t="shared" si="15"/>
        <v>280522</v>
      </c>
      <c r="I39" s="954">
        <f t="shared" si="15"/>
        <v>123104</v>
      </c>
      <c r="J39" s="955">
        <f t="shared" si="15"/>
        <v>164364</v>
      </c>
      <c r="K39" s="955">
        <f>SUM(K33:K38)</f>
        <v>321782</v>
      </c>
      <c r="L39" s="834">
        <f t="shared" ca="1" si="15"/>
        <v>358743.70664425578</v>
      </c>
      <c r="M39" s="953">
        <f t="shared" ca="1" si="15"/>
        <v>426877.55597618909</v>
      </c>
      <c r="N39" s="953">
        <f t="shared" ca="1" si="15"/>
        <v>494044.30531795969</v>
      </c>
      <c r="O39" s="953">
        <f t="shared" ca="1" si="15"/>
        <v>544340.9694730849</v>
      </c>
      <c r="P39" s="955">
        <f t="shared" ca="1" si="15"/>
        <v>578411.63484315772</v>
      </c>
      <c r="R39" s="754" t="s">
        <v>602</v>
      </c>
      <c r="S39" s="754"/>
      <c r="T39" s="754"/>
      <c r="U39" s="754"/>
      <c r="V39" s="754"/>
    </row>
    <row r="40" spans="1:22" x14ac:dyDescent="0.2">
      <c r="B40" s="28"/>
      <c r="C40" s="41"/>
      <c r="D40" s="41"/>
      <c r="E40" s="41"/>
      <c r="F40" s="41"/>
      <c r="G40" s="41"/>
      <c r="H40" s="41"/>
      <c r="I40" s="597"/>
      <c r="J40" s="592"/>
      <c r="K40" s="592"/>
      <c r="L40" s="130"/>
      <c r="P40" s="131"/>
      <c r="R40" s="754" t="s">
        <v>290</v>
      </c>
      <c r="S40" s="754"/>
      <c r="T40" s="754"/>
      <c r="U40" s="754"/>
      <c r="V40" s="754"/>
    </row>
    <row r="41" spans="1:22" x14ac:dyDescent="0.2">
      <c r="B41" s="85" t="s">
        <v>291</v>
      </c>
      <c r="C41" s="37"/>
      <c r="D41" s="37"/>
      <c r="E41" s="37"/>
      <c r="F41" s="37"/>
      <c r="G41" s="37"/>
      <c r="H41" s="37"/>
      <c r="I41" s="634"/>
      <c r="J41" s="633"/>
      <c r="K41" s="633"/>
      <c r="L41" s="130"/>
      <c r="P41" s="131"/>
      <c r="R41" s="754"/>
      <c r="S41" s="754"/>
      <c r="T41" s="754"/>
      <c r="U41" s="754"/>
      <c r="V41" s="754"/>
    </row>
    <row r="42" spans="1:22" x14ac:dyDescent="0.2">
      <c r="B42" s="28" t="s">
        <v>285</v>
      </c>
      <c r="C42" s="977">
        <f t="shared" ref="C42:G47" si="16">C33/C$39</f>
        <v>0.76987908482042522</v>
      </c>
      <c r="D42" s="978">
        <f t="shared" si="16"/>
        <v>0.7183055155785657</v>
      </c>
      <c r="E42" s="978">
        <f t="shared" si="16"/>
        <v>0.67235103355467807</v>
      </c>
      <c r="F42" s="978">
        <f t="shared" si="16"/>
        <v>0.60918893998853074</v>
      </c>
      <c r="G42" s="978">
        <f t="shared" si="16"/>
        <v>0.52809731758320555</v>
      </c>
      <c r="H42" s="978">
        <f t="shared" ref="H42:P44" si="17">H33/H$39</f>
        <v>0.50351487583861521</v>
      </c>
      <c r="I42" s="979">
        <f t="shared" ref="I42:K47" si="18">I33/I$39</f>
        <v>0.49187678710683652</v>
      </c>
      <c r="J42" s="980">
        <f t="shared" si="18"/>
        <v>0.50223284904236942</v>
      </c>
      <c r="K42" s="980">
        <f t="shared" si="18"/>
        <v>0.50731240404994682</v>
      </c>
      <c r="L42" s="979">
        <f t="shared" ca="1" si="17"/>
        <v>0.51128842370913608</v>
      </c>
      <c r="M42" s="978">
        <f t="shared" ca="1" si="17"/>
        <v>0.49213457668108962</v>
      </c>
      <c r="N42" s="978">
        <f t="shared" ca="1" si="17"/>
        <v>0.469498525130288</v>
      </c>
      <c r="O42" s="978">
        <f t="shared" ca="1" si="17"/>
        <v>0.44619384992987032</v>
      </c>
      <c r="P42" s="980">
        <f t="shared" ca="1" si="17"/>
        <v>0.41615569422422166</v>
      </c>
      <c r="R42" s="754" t="s">
        <v>292</v>
      </c>
      <c r="S42" s="754"/>
      <c r="T42" s="754"/>
      <c r="U42" s="754"/>
      <c r="V42" s="754"/>
    </row>
    <row r="43" spans="1:22" x14ac:dyDescent="0.2">
      <c r="B43" s="28" t="s">
        <v>286</v>
      </c>
      <c r="C43" s="977">
        <f t="shared" si="16"/>
        <v>0</v>
      </c>
      <c r="D43" s="978">
        <f t="shared" si="16"/>
        <v>0</v>
      </c>
      <c r="E43" s="978">
        <f t="shared" si="16"/>
        <v>0</v>
      </c>
      <c r="F43" s="978">
        <f t="shared" si="16"/>
        <v>3.2597573454173363E-2</v>
      </c>
      <c r="G43" s="978">
        <f t="shared" si="16"/>
        <v>7.3958615122355478E-2</v>
      </c>
      <c r="H43" s="978">
        <f t="shared" si="17"/>
        <v>6.1285745859504782E-2</v>
      </c>
      <c r="I43" s="979">
        <f t="shared" si="18"/>
        <v>7.015206654536002E-2</v>
      </c>
      <c r="J43" s="980">
        <f t="shared" si="18"/>
        <v>5.119125842641941E-2</v>
      </c>
      <c r="K43" s="980">
        <f t="shared" si="18"/>
        <v>5.2737567670037476E-2</v>
      </c>
      <c r="L43" s="979">
        <f t="shared" ca="1" si="17"/>
        <v>4.8881247740993047E-2</v>
      </c>
      <c r="M43" s="978">
        <f t="shared" ca="1" si="17"/>
        <v>4.1798208760816781E-2</v>
      </c>
      <c r="N43" s="978">
        <f t="shared" ca="1" si="17"/>
        <v>3.6657355955847806E-2</v>
      </c>
      <c r="O43" s="978">
        <f t="shared" ca="1" si="17"/>
        <v>3.368612406709847E-2</v>
      </c>
      <c r="P43" s="980">
        <f t="shared" ca="1" si="17"/>
        <v>3.2018900885044721E-2</v>
      </c>
      <c r="R43" s="754" t="s">
        <v>293</v>
      </c>
      <c r="S43" s="754"/>
      <c r="T43" s="754"/>
      <c r="U43" s="754"/>
      <c r="V43" s="754"/>
    </row>
    <row r="44" spans="1:22" s="145" customFormat="1" x14ac:dyDescent="0.2">
      <c r="A44" s="725"/>
      <c r="B44" s="647" t="s">
        <v>287</v>
      </c>
      <c r="C44" s="981">
        <f t="shared" si="16"/>
        <v>0.13153458893333933</v>
      </c>
      <c r="D44" s="982">
        <f t="shared" si="16"/>
        <v>0.15032801898958936</v>
      </c>
      <c r="E44" s="982">
        <f t="shared" si="16"/>
        <v>0.16908233875296905</v>
      </c>
      <c r="F44" s="982">
        <f t="shared" si="16"/>
        <v>0.17924167631812712</v>
      </c>
      <c r="G44" s="982">
        <f t="shared" si="16"/>
        <v>0.18354395049959851</v>
      </c>
      <c r="H44" s="982">
        <f t="shared" si="17"/>
        <v>0.19164985277447044</v>
      </c>
      <c r="I44" s="983">
        <f t="shared" si="18"/>
        <v>0.18767871068364961</v>
      </c>
      <c r="J44" s="984">
        <f t="shared" si="18"/>
        <v>0.19880265751624443</v>
      </c>
      <c r="K44" s="984">
        <f t="shared" si="18"/>
        <v>0.19682269362487648</v>
      </c>
      <c r="L44" s="983">
        <f ca="1">L35/L$39</f>
        <v>0.20156420492054875</v>
      </c>
      <c r="M44" s="982">
        <f t="shared" ca="1" si="17"/>
        <v>0.22021035232230249</v>
      </c>
      <c r="N44" s="982">
        <f t="shared" ca="1" si="17"/>
        <v>0.23784014912261042</v>
      </c>
      <c r="O44" s="982">
        <f t="shared" ca="1" si="17"/>
        <v>0.24824349904858944</v>
      </c>
      <c r="P44" s="984">
        <f t="shared" ca="1" si="17"/>
        <v>0.25698310455244533</v>
      </c>
      <c r="R44" s="754" t="s">
        <v>294</v>
      </c>
      <c r="S44" s="754"/>
      <c r="T44" s="754"/>
      <c r="U44" s="754"/>
      <c r="V44" s="754"/>
    </row>
    <row r="45" spans="1:22" x14ac:dyDescent="0.2">
      <c r="B45" s="28" t="s">
        <v>288</v>
      </c>
      <c r="C45" s="977">
        <f t="shared" si="16"/>
        <v>3.1015417809142805E-2</v>
      </c>
      <c r="D45" s="978">
        <f t="shared" si="16"/>
        <v>4.1745322692185484E-2</v>
      </c>
      <c r="E45" s="978">
        <f t="shared" si="16"/>
        <v>4.7019200364740749E-2</v>
      </c>
      <c r="F45" s="978">
        <f t="shared" si="16"/>
        <v>5.465350319903748E-2</v>
      </c>
      <c r="G45" s="978">
        <f t="shared" si="16"/>
        <v>6.0836371287362544E-2</v>
      </c>
      <c r="H45" s="978">
        <f>H36/H$39</f>
        <v>6.8479477545433154E-2</v>
      </c>
      <c r="I45" s="979">
        <f t="shared" si="18"/>
        <v>7.3255133870548481E-2</v>
      </c>
      <c r="J45" s="980">
        <f t="shared" si="18"/>
        <v>7.0416879608673433E-2</v>
      </c>
      <c r="K45" s="980">
        <f t="shared" si="18"/>
        <v>6.7642068232530092E-2</v>
      </c>
      <c r="L45" s="979">
        <f t="shared" ref="L45:P47" ca="1" si="19">L36/L$39</f>
        <v>6.5060792893978203E-2</v>
      </c>
      <c r="M45" s="978">
        <f t="shared" ca="1" si="19"/>
        <v>6.3512166101120288E-2</v>
      </c>
      <c r="N45" s="978">
        <f t="shared" ca="1" si="19"/>
        <v>6.1006223418860528E-2</v>
      </c>
      <c r="O45" s="978">
        <f t="shared" ca="1" si="19"/>
        <v>5.8161117509110891E-2</v>
      </c>
      <c r="P45" s="980">
        <f t="shared" ca="1" si="19"/>
        <v>5.4302241650252922E-2</v>
      </c>
      <c r="R45" s="754" t="s">
        <v>295</v>
      </c>
      <c r="S45" s="754"/>
      <c r="T45" s="754"/>
      <c r="U45" s="754"/>
      <c r="V45" s="754"/>
    </row>
    <row r="46" spans="1:22" x14ac:dyDescent="0.2">
      <c r="B46" s="28" t="s">
        <v>279</v>
      </c>
      <c r="C46" s="977">
        <f t="shared" si="16"/>
        <v>5.2141861824066167E-2</v>
      </c>
      <c r="D46" s="978">
        <f t="shared" si="16"/>
        <v>7.3640730426331236E-2</v>
      </c>
      <c r="E46" s="978">
        <f t="shared" si="16"/>
        <v>8.9854177237530058E-2</v>
      </c>
      <c r="F46" s="978">
        <f t="shared" si="16"/>
        <v>9.8158164011109481E-2</v>
      </c>
      <c r="G46" s="978">
        <f t="shared" si="16"/>
        <v>0.11016072172341093</v>
      </c>
      <c r="H46" s="978">
        <f>H37/H$39</f>
        <v>0.12486008227518697</v>
      </c>
      <c r="I46" s="979">
        <f t="shared" si="18"/>
        <v>0.1305887704704965</v>
      </c>
      <c r="J46" s="980">
        <f t="shared" si="18"/>
        <v>0.12792947360735926</v>
      </c>
      <c r="K46" s="980">
        <f t="shared" si="18"/>
        <v>0.12423628419240355</v>
      </c>
      <c r="L46" s="979">
        <f t="shared" ca="1" si="19"/>
        <v>0.12137947384738795</v>
      </c>
      <c r="M46" s="978">
        <f t="shared" ca="1" si="19"/>
        <v>0.12681342102279247</v>
      </c>
      <c r="N46" s="978">
        <f t="shared" ca="1" si="19"/>
        <v>0.13622023985643175</v>
      </c>
      <c r="O46" s="978">
        <f t="shared" ca="1" si="19"/>
        <v>0.15370058279449542</v>
      </c>
      <c r="P46" s="980">
        <f t="shared" ca="1" si="19"/>
        <v>0.17982435645196532</v>
      </c>
      <c r="R46" s="754" t="s">
        <v>296</v>
      </c>
      <c r="S46" s="754"/>
      <c r="T46" s="754"/>
      <c r="U46" s="754"/>
      <c r="V46" s="754"/>
    </row>
    <row r="47" spans="1:22" x14ac:dyDescent="0.2">
      <c r="B47" s="28" t="s">
        <v>289</v>
      </c>
      <c r="C47" s="977">
        <f t="shared" si="16"/>
        <v>1.4833460691329167E-2</v>
      </c>
      <c r="D47" s="978">
        <f t="shared" si="16"/>
        <v>1.5980412313328224E-2</v>
      </c>
      <c r="E47" s="978">
        <f t="shared" si="16"/>
        <v>2.169325009008214E-2</v>
      </c>
      <c r="F47" s="978">
        <f t="shared" si="16"/>
        <v>2.6160143029021848E-2</v>
      </c>
      <c r="G47" s="978">
        <f t="shared" si="16"/>
        <v>4.3403023784066949E-2</v>
      </c>
      <c r="H47" s="978">
        <f>H38/H$39</f>
        <v>5.0209965706789483E-2</v>
      </c>
      <c r="I47" s="979">
        <f t="shared" si="18"/>
        <v>4.6448531323108916E-2</v>
      </c>
      <c r="J47" s="980">
        <f t="shared" si="18"/>
        <v>4.9426881798934071E-2</v>
      </c>
      <c r="K47" s="980">
        <f t="shared" si="18"/>
        <v>5.1248982230205541E-2</v>
      </c>
      <c r="L47" s="979">
        <f t="shared" ca="1" si="19"/>
        <v>5.1825856887955796E-2</v>
      </c>
      <c r="M47" s="978">
        <f t="shared" ca="1" si="19"/>
        <v>5.5531275111878317E-2</v>
      </c>
      <c r="N47" s="978">
        <f t="shared" ca="1" si="19"/>
        <v>5.8777506515961392E-2</v>
      </c>
      <c r="O47" s="978">
        <f t="shared" ca="1" si="19"/>
        <v>6.0014826650835615E-2</v>
      </c>
      <c r="P47" s="980">
        <f t="shared" ca="1" si="19"/>
        <v>6.071570223607E-2</v>
      </c>
      <c r="R47" s="754"/>
      <c r="S47" s="754"/>
      <c r="T47" s="754"/>
      <c r="U47" s="754"/>
      <c r="V47" s="754"/>
    </row>
    <row r="48" spans="1:22" x14ac:dyDescent="0.2">
      <c r="B48" s="28"/>
      <c r="C48" s="37"/>
      <c r="D48" s="37"/>
      <c r="E48" s="37"/>
      <c r="F48" s="37"/>
      <c r="G48" s="37"/>
      <c r="H48" s="37"/>
      <c r="I48" s="598"/>
      <c r="J48" s="160"/>
      <c r="K48" s="160"/>
      <c r="L48" s="130"/>
      <c r="P48" s="131"/>
      <c r="R48" s="754" t="s">
        <v>297</v>
      </c>
      <c r="S48" s="754"/>
      <c r="T48" s="754"/>
      <c r="U48" s="754"/>
      <c r="V48" s="754"/>
    </row>
    <row r="49" spans="2:22" x14ac:dyDescent="0.2">
      <c r="B49" s="85" t="s">
        <v>298</v>
      </c>
      <c r="C49" s="37"/>
      <c r="D49" s="37"/>
      <c r="E49" s="37"/>
      <c r="F49" s="37"/>
      <c r="G49" s="37"/>
      <c r="H49" s="37"/>
      <c r="I49" s="598"/>
      <c r="J49" s="160"/>
      <c r="K49" s="160"/>
      <c r="L49" s="130"/>
      <c r="P49" s="131"/>
      <c r="R49" s="754" t="s">
        <v>299</v>
      </c>
      <c r="S49" s="754"/>
      <c r="T49" s="754"/>
      <c r="U49" s="754"/>
      <c r="V49" s="754"/>
    </row>
    <row r="50" spans="2:22" x14ac:dyDescent="0.2">
      <c r="B50" s="28" t="s">
        <v>285</v>
      </c>
      <c r="C50" s="318"/>
      <c r="D50" s="985">
        <f>D33/C33-1</f>
        <v>0.12192380674354109</v>
      </c>
      <c r="E50" s="985">
        <f>E33/D33-1</f>
        <v>0.18953202451114315</v>
      </c>
      <c r="F50" s="985">
        <f>F33/E33-1</f>
        <v>0.18509039603635524</v>
      </c>
      <c r="G50" s="985">
        <f>G33/F33-1</f>
        <v>0.13504808313490968</v>
      </c>
      <c r="H50" s="985">
        <f t="shared" ref="H50:H56" si="20">H33/G33-1</f>
        <v>0.14847097660728359</v>
      </c>
      <c r="I50" s="599"/>
      <c r="J50" s="593"/>
      <c r="K50" s="986">
        <f t="shared" ref="K50:K56" si="21">K33/H33-1</f>
        <v>0.1557342810820761</v>
      </c>
      <c r="L50" s="987">
        <f t="shared" ref="L50:L56" ca="1" si="22">L33/H33-1</f>
        <v>0.2985869029835273</v>
      </c>
      <c r="M50" s="988">
        <f t="shared" ref="M50:P56" ca="1" si="23">M33/L33-1</f>
        <v>0.14534664909169037</v>
      </c>
      <c r="N50" s="988">
        <f t="shared" ca="1" si="23"/>
        <v>0.10411149040698731</v>
      </c>
      <c r="O50" s="988">
        <f t="shared" ca="1" si="23"/>
        <v>4.7115220423427973E-2</v>
      </c>
      <c r="P50" s="989">
        <f t="shared" ca="1" si="23"/>
        <v>-8.9438535576054079E-3</v>
      </c>
      <c r="R50" s="754"/>
      <c r="S50" s="754"/>
      <c r="T50" s="754"/>
      <c r="U50" s="754"/>
      <c r="V50" s="754"/>
    </row>
    <row r="51" spans="2:22" x14ac:dyDescent="0.2">
      <c r="B51" s="28" t="s">
        <v>286</v>
      </c>
      <c r="C51" s="318"/>
      <c r="D51" s="319"/>
      <c r="E51" s="319"/>
      <c r="F51" s="319"/>
      <c r="G51" s="985">
        <f t="shared" ref="G51:G56" si="24">G34/F34-1</f>
        <v>1.9706795446705763</v>
      </c>
      <c r="H51" s="985">
        <f t="shared" si="20"/>
        <v>-1.8578727357175806E-3</v>
      </c>
      <c r="I51" s="599"/>
      <c r="J51" s="593"/>
      <c r="K51" s="986">
        <f t="shared" si="21"/>
        <v>-1.2912982782689597E-2</v>
      </c>
      <c r="L51" s="987">
        <f t="shared" si="22"/>
        <v>2.0000000000000018E-2</v>
      </c>
      <c r="M51" s="988">
        <f t="shared" si="23"/>
        <v>1.7500000000000071E-2</v>
      </c>
      <c r="N51" s="988">
        <f t="shared" si="23"/>
        <v>1.4999999999999902E-2</v>
      </c>
      <c r="O51" s="988">
        <f t="shared" si="23"/>
        <v>1.2499999999999956E-2</v>
      </c>
      <c r="P51" s="989">
        <f t="shared" si="23"/>
        <v>1.0000000000000009E-2</v>
      </c>
      <c r="R51" s="754" t="s">
        <v>300</v>
      </c>
      <c r="S51" s="754"/>
      <c r="T51" s="754"/>
      <c r="U51" s="754"/>
      <c r="V51" s="754"/>
    </row>
    <row r="52" spans="2:22" x14ac:dyDescent="0.2">
      <c r="B52" s="28" t="s">
        <v>287</v>
      </c>
      <c r="C52" s="318"/>
      <c r="D52" s="985">
        <f t="shared" ref="D52:F56" si="25">D35/C35-1</f>
        <v>0.37428449380606588</v>
      </c>
      <c r="E52" s="985">
        <f t="shared" si="25"/>
        <v>0.42937958473206517</v>
      </c>
      <c r="F52" s="985">
        <f t="shared" si="25"/>
        <v>0.38655242900013054</v>
      </c>
      <c r="G52" s="985">
        <f t="shared" si="24"/>
        <v>0.34076722812960702</v>
      </c>
      <c r="H52" s="985">
        <f t="shared" si="20"/>
        <v>0.25773774710492448</v>
      </c>
      <c r="I52" s="599"/>
      <c r="J52" s="593"/>
      <c r="K52" s="986">
        <f t="shared" si="21"/>
        <v>0.17804397157843832</v>
      </c>
      <c r="L52" s="987">
        <f t="shared" si="22"/>
        <v>0.34499999999999997</v>
      </c>
      <c r="M52" s="988">
        <f t="shared" si="23"/>
        <v>0.30000000000000004</v>
      </c>
      <c r="N52" s="988">
        <f t="shared" si="23"/>
        <v>0.25</v>
      </c>
      <c r="O52" s="988">
        <f t="shared" si="23"/>
        <v>0.14999999999999991</v>
      </c>
      <c r="P52" s="989">
        <f t="shared" si="23"/>
        <v>0.10000000000000009</v>
      </c>
      <c r="R52" s="754" t="s">
        <v>301</v>
      </c>
      <c r="S52" s="754"/>
      <c r="T52" s="754"/>
      <c r="U52" s="754"/>
      <c r="V52" s="754"/>
    </row>
    <row r="53" spans="2:22" x14ac:dyDescent="0.2">
      <c r="B53" s="28" t="s">
        <v>288</v>
      </c>
      <c r="C53" s="318"/>
      <c r="D53" s="985">
        <f t="shared" si="25"/>
        <v>0.61847826086956514</v>
      </c>
      <c r="E53" s="985">
        <f t="shared" si="25"/>
        <v>0.43138571748376986</v>
      </c>
      <c r="F53" s="985">
        <f t="shared" si="25"/>
        <v>0.52033156083828591</v>
      </c>
      <c r="G53" s="985">
        <f t="shared" si="24"/>
        <v>0.45746322394815353</v>
      </c>
      <c r="H53" s="985">
        <f t="shared" si="20"/>
        <v>0.35587238848108416</v>
      </c>
      <c r="I53" s="599"/>
      <c r="J53" s="593"/>
      <c r="K53" s="986">
        <f t="shared" si="21"/>
        <v>0.13305570015616874</v>
      </c>
      <c r="L53" s="987">
        <f t="shared" ca="1" si="22"/>
        <v>0.21499999999999986</v>
      </c>
      <c r="M53" s="988">
        <f t="shared" ca="1" si="23"/>
        <v>0.16159999999999997</v>
      </c>
      <c r="N53" s="988">
        <f t="shared" ca="1" si="23"/>
        <v>0.11168</v>
      </c>
      <c r="O53" s="988">
        <f t="shared" ca="1" si="23"/>
        <v>5.0421800000000072E-2</v>
      </c>
      <c r="P53" s="989">
        <f t="shared" ca="1" si="23"/>
        <v>-7.9101340000001796E-3</v>
      </c>
      <c r="R53" s="754"/>
      <c r="S53" s="754"/>
      <c r="T53" s="754"/>
      <c r="U53" s="754"/>
      <c r="V53" s="754"/>
    </row>
    <row r="54" spans="2:22" x14ac:dyDescent="0.2">
      <c r="B54" s="28" t="s">
        <v>279</v>
      </c>
      <c r="C54" s="318"/>
      <c r="D54" s="985">
        <f t="shared" si="25"/>
        <v>0.69827586206896552</v>
      </c>
      <c r="E54" s="985">
        <f t="shared" si="25"/>
        <v>0.55063451776649752</v>
      </c>
      <c r="F54" s="985">
        <f t="shared" si="25"/>
        <v>0.42884033063262139</v>
      </c>
      <c r="G54" s="985">
        <f t="shared" si="24"/>
        <v>0.46944269431238905</v>
      </c>
      <c r="H54" s="985">
        <f t="shared" si="20"/>
        <v>0.36526992788930035</v>
      </c>
      <c r="I54" s="599"/>
      <c r="J54" s="593"/>
      <c r="K54" s="986">
        <f t="shared" si="21"/>
        <v>0.14135213841146577</v>
      </c>
      <c r="L54" s="987">
        <f t="shared" ca="1" si="22"/>
        <v>0.24319426593220639</v>
      </c>
      <c r="M54" s="988">
        <f t="shared" ca="1" si="23"/>
        <v>0.24319426593220639</v>
      </c>
      <c r="N54" s="988">
        <f t="shared" ca="1" si="23"/>
        <v>0.24319426593220639</v>
      </c>
      <c r="O54" s="988">
        <f t="shared" ca="1" si="23"/>
        <v>0.24319426593220639</v>
      </c>
      <c r="P54" s="989">
        <f t="shared" ca="1" si="23"/>
        <v>0.24319426593220572</v>
      </c>
      <c r="R54" s="754" t="s">
        <v>302</v>
      </c>
      <c r="S54" s="754"/>
      <c r="T54" s="754"/>
      <c r="U54" s="754"/>
      <c r="V54" s="754"/>
    </row>
    <row r="55" spans="2:22" x14ac:dyDescent="0.2">
      <c r="B55" s="28" t="s">
        <v>289</v>
      </c>
      <c r="C55" s="318"/>
      <c r="D55" s="985">
        <f t="shared" si="25"/>
        <v>0.29545454545454541</v>
      </c>
      <c r="E55" s="985">
        <f t="shared" si="25"/>
        <v>0.72514619883040932</v>
      </c>
      <c r="F55" s="985">
        <f t="shared" si="25"/>
        <v>0.57728813559322023</v>
      </c>
      <c r="G55" s="985">
        <f t="shared" si="24"/>
        <v>1.1723619170427679</v>
      </c>
      <c r="H55" s="985">
        <f t="shared" si="20"/>
        <v>0.39345073209339132</v>
      </c>
      <c r="I55" s="599"/>
      <c r="J55" s="593"/>
      <c r="K55" s="986">
        <f t="shared" si="21"/>
        <v>0.17082002129925455</v>
      </c>
      <c r="L55" s="987">
        <f t="shared" ca="1" si="22"/>
        <v>0.31999999999999984</v>
      </c>
      <c r="M55" s="988">
        <f t="shared" ca="1" si="23"/>
        <v>0.27499999999999991</v>
      </c>
      <c r="N55" s="988">
        <f t="shared" ca="1" si="23"/>
        <v>0.22500000000000009</v>
      </c>
      <c r="O55" s="988">
        <f t="shared" ca="1" si="23"/>
        <v>0.125</v>
      </c>
      <c r="P55" s="989">
        <f t="shared" ca="1" si="23"/>
        <v>7.4999999999999956E-2</v>
      </c>
      <c r="R55" s="754" t="s">
        <v>303</v>
      </c>
      <c r="S55" s="754"/>
      <c r="T55" s="754"/>
      <c r="U55" s="754"/>
      <c r="V55" s="754"/>
    </row>
    <row r="56" spans="2:22" x14ac:dyDescent="0.2">
      <c r="B56" s="39" t="s">
        <v>281</v>
      </c>
      <c r="C56" s="320"/>
      <c r="D56" s="994">
        <f t="shared" si="25"/>
        <v>0.20247673843664304</v>
      </c>
      <c r="E56" s="994">
        <f t="shared" si="25"/>
        <v>0.27083528026465808</v>
      </c>
      <c r="F56" s="994">
        <f t="shared" si="25"/>
        <v>0.30796326119408479</v>
      </c>
      <c r="G56" s="994">
        <f t="shared" si="24"/>
        <v>0.3093396152159491</v>
      </c>
      <c r="H56" s="994">
        <f t="shared" si="20"/>
        <v>0.20454125820676983</v>
      </c>
      <c r="I56" s="600"/>
      <c r="J56" s="594"/>
      <c r="K56" s="990">
        <f t="shared" si="21"/>
        <v>0.14708293823657326</v>
      </c>
      <c r="L56" s="991">
        <f t="shared" ca="1" si="22"/>
        <v>0.27884339425875959</v>
      </c>
      <c r="M56" s="992">
        <f t="shared" ca="1" si="23"/>
        <v>0.18992346923453485</v>
      </c>
      <c r="N56" s="992">
        <f t="shared" ca="1" si="23"/>
        <v>0.15734429791740356</v>
      </c>
      <c r="O56" s="992">
        <f t="shared" ca="1" si="23"/>
        <v>0.10180597896529742</v>
      </c>
      <c r="P56" s="993">
        <f t="shared" ca="1" si="23"/>
        <v>6.2590668865238674E-2</v>
      </c>
      <c r="R56" s="754"/>
      <c r="S56" s="754"/>
      <c r="T56" s="754"/>
      <c r="U56" s="754"/>
      <c r="V56" s="754"/>
    </row>
    <row r="57" spans="2:22" x14ac:dyDescent="0.2">
      <c r="R57" s="754" t="s">
        <v>304</v>
      </c>
      <c r="S57" s="754"/>
      <c r="T57" s="754"/>
      <c r="U57" s="754"/>
      <c r="V57" s="754"/>
    </row>
    <row r="58" spans="2:22" hidden="1" outlineLevel="1" x14ac:dyDescent="0.2">
      <c r="B58" s="135" t="s">
        <v>305</v>
      </c>
      <c r="C58" s="136">
        <v>2014</v>
      </c>
      <c r="D58" s="136">
        <f>D$32</f>
        <v>2015</v>
      </c>
      <c r="E58" s="136">
        <f t="shared" ref="E58:P58" si="26">E$32</f>
        <v>2016</v>
      </c>
      <c r="F58" s="136">
        <f t="shared" si="26"/>
        <v>2017</v>
      </c>
      <c r="G58" s="136">
        <f t="shared" si="26"/>
        <v>2018</v>
      </c>
      <c r="H58" s="136">
        <f t="shared" si="26"/>
        <v>2019</v>
      </c>
      <c r="I58" s="327" t="str">
        <f>$I$3</f>
        <v xml:space="preserve">Q2 2019 </v>
      </c>
      <c r="J58" s="329" t="str">
        <f>$J$3</f>
        <v>Q2 2020</v>
      </c>
      <c r="K58" s="329" t="str">
        <f>$K$3</f>
        <v xml:space="preserve">LTM </v>
      </c>
      <c r="L58" s="136">
        <f t="shared" si="26"/>
        <v>2020</v>
      </c>
      <c r="M58" s="136">
        <f t="shared" si="26"/>
        <v>2021</v>
      </c>
      <c r="N58" s="136">
        <f t="shared" si="26"/>
        <v>2022</v>
      </c>
      <c r="O58" s="136">
        <f t="shared" si="26"/>
        <v>2023</v>
      </c>
      <c r="P58" s="137">
        <f t="shared" si="26"/>
        <v>2024</v>
      </c>
      <c r="R58" s="754"/>
      <c r="S58" s="754"/>
      <c r="T58" s="754"/>
      <c r="U58" s="754"/>
      <c r="V58" s="754"/>
    </row>
    <row r="59" spans="2:22" hidden="1" outlineLevel="1" x14ac:dyDescent="0.2">
      <c r="B59" s="28" t="s">
        <v>93</v>
      </c>
      <c r="C59" s="115">
        <v>54717</v>
      </c>
      <c r="D59" s="116">
        <v>70537</v>
      </c>
      <c r="E59" s="116">
        <v>90349</v>
      </c>
      <c r="F59" s="116">
        <v>120486</v>
      </c>
      <c r="G59" s="116">
        <v>160146</v>
      </c>
      <c r="H59" s="116">
        <v>193636</v>
      </c>
      <c r="I59" s="348"/>
      <c r="J59" s="273"/>
      <c r="K59" s="273"/>
      <c r="L59" s="348">
        <f t="shared" ref="L59:P63" ca="1" si="27">L$28*L67</f>
        <v>251120.59465097898</v>
      </c>
      <c r="M59" s="272">
        <f t="shared" ca="1" si="27"/>
        <v>298814.28918333235</v>
      </c>
      <c r="N59" s="272">
        <f t="shared" ca="1" si="27"/>
        <v>345831.01372257178</v>
      </c>
      <c r="O59" s="272">
        <f t="shared" ca="1" si="27"/>
        <v>381038.67863115948</v>
      </c>
      <c r="P59" s="273">
        <f t="shared" ca="1" si="27"/>
        <v>404888.14439021039</v>
      </c>
      <c r="Q59" s="142"/>
      <c r="R59" s="754"/>
      <c r="S59" s="754"/>
      <c r="T59" s="754"/>
      <c r="U59" s="754"/>
      <c r="V59" s="754"/>
    </row>
    <row r="60" spans="2:22" hidden="1" outlineLevel="1" x14ac:dyDescent="0.2">
      <c r="B60" s="28" t="s">
        <v>96</v>
      </c>
      <c r="C60" s="115">
        <v>11919</v>
      </c>
      <c r="D60" s="116">
        <v>11816</v>
      </c>
      <c r="E60" s="116">
        <v>14148</v>
      </c>
      <c r="F60" s="116">
        <v>16951</v>
      </c>
      <c r="G60" s="116">
        <v>19881</v>
      </c>
      <c r="H60" s="116">
        <v>22232</v>
      </c>
      <c r="I60" s="140"/>
      <c r="J60" s="271"/>
      <c r="K60" s="271"/>
      <c r="L60" s="140">
        <f t="shared" ca="1" si="27"/>
        <v>26905.777998319179</v>
      </c>
      <c r="M60" s="116">
        <f t="shared" ca="1" si="27"/>
        <v>32015.816698214181</v>
      </c>
      <c r="N60" s="116">
        <f t="shared" ca="1" si="27"/>
        <v>37053.322898846978</v>
      </c>
      <c r="O60" s="116">
        <f t="shared" ca="1" si="27"/>
        <v>40825.572710481378</v>
      </c>
      <c r="P60" s="271">
        <f t="shared" ca="1" si="27"/>
        <v>43380.872613236825</v>
      </c>
      <c r="Q60" s="142"/>
      <c r="R60" s="754"/>
      <c r="S60" s="754"/>
      <c r="T60" s="754"/>
      <c r="U60" s="754"/>
      <c r="V60" s="754"/>
    </row>
    <row r="61" spans="2:22" hidden="1" outlineLevel="1" x14ac:dyDescent="0.2">
      <c r="B61" s="28" t="s">
        <v>98</v>
      </c>
      <c r="C61" s="115">
        <v>8341</v>
      </c>
      <c r="D61" s="116">
        <v>9033</v>
      </c>
      <c r="E61" s="116">
        <v>9547</v>
      </c>
      <c r="F61" s="116">
        <v>11372</v>
      </c>
      <c r="G61" s="116">
        <v>14524</v>
      </c>
      <c r="H61" s="116">
        <v>17527</v>
      </c>
      <c r="I61" s="140"/>
      <c r="J61" s="271"/>
      <c r="K61" s="271"/>
      <c r="L61" s="140">
        <f t="shared" ca="1" si="27"/>
        <v>21524.622398655341</v>
      </c>
      <c r="M61" s="116">
        <f t="shared" ca="1" si="27"/>
        <v>25612.653358571344</v>
      </c>
      <c r="N61" s="116">
        <f t="shared" ca="1" si="27"/>
        <v>29642.658319077582</v>
      </c>
      <c r="O61" s="116">
        <f t="shared" ca="1" si="27"/>
        <v>32660.458168385099</v>
      </c>
      <c r="P61" s="271">
        <f t="shared" ca="1" si="27"/>
        <v>34704.69809058946</v>
      </c>
      <c r="Q61" s="142"/>
      <c r="R61" s="754"/>
      <c r="S61" s="754"/>
      <c r="T61" s="754"/>
      <c r="U61" s="754"/>
      <c r="V61" s="754"/>
    </row>
    <row r="62" spans="2:22" hidden="1" outlineLevel="1" x14ac:dyDescent="0.2">
      <c r="B62" s="28" t="s">
        <v>99</v>
      </c>
      <c r="C62" s="115">
        <v>7912</v>
      </c>
      <c r="D62" s="116">
        <v>8264</v>
      </c>
      <c r="E62" s="116">
        <v>10797</v>
      </c>
      <c r="F62" s="116">
        <v>11907</v>
      </c>
      <c r="G62" s="116">
        <v>13829</v>
      </c>
      <c r="H62" s="116">
        <v>16002</v>
      </c>
      <c r="I62" s="140"/>
      <c r="J62" s="271"/>
      <c r="K62" s="271"/>
      <c r="L62" s="140">
        <f t="shared" ca="1" si="27"/>
        <v>19730.903865434066</v>
      </c>
      <c r="M62" s="116">
        <f t="shared" ca="1" si="27"/>
        <v>23478.2655786904</v>
      </c>
      <c r="N62" s="116">
        <f t="shared" ca="1" si="27"/>
        <v>27172.436792487784</v>
      </c>
      <c r="O62" s="116">
        <f t="shared" ca="1" si="27"/>
        <v>29938.753321019674</v>
      </c>
      <c r="P62" s="271">
        <f t="shared" ca="1" si="27"/>
        <v>31812.639916373675</v>
      </c>
      <c r="Q62" s="142"/>
      <c r="R62" s="754"/>
      <c r="S62" s="754"/>
      <c r="T62" s="754"/>
      <c r="U62" s="754"/>
      <c r="V62" s="754"/>
    </row>
    <row r="63" spans="2:22" hidden="1" outlineLevel="1" x14ac:dyDescent="0.2">
      <c r="B63" s="28" t="s">
        <v>102</v>
      </c>
      <c r="C63" s="115">
        <v>6099</v>
      </c>
      <c r="D63" s="116">
        <v>7356</v>
      </c>
      <c r="E63" s="116">
        <v>11146</v>
      </c>
      <c r="F63" s="116">
        <v>17150</v>
      </c>
      <c r="G63" s="116">
        <v>24507</v>
      </c>
      <c r="H63" s="116">
        <v>31125</v>
      </c>
      <c r="I63" s="140"/>
      <c r="J63" s="271"/>
      <c r="K63" s="271"/>
      <c r="L63" s="140">
        <f t="shared" ca="1" si="27"/>
        <v>39461.807730868131</v>
      </c>
      <c r="M63" s="116">
        <f t="shared" ca="1" si="27"/>
        <v>46956.531157380799</v>
      </c>
      <c r="N63" s="116">
        <f t="shared" ca="1" si="27"/>
        <v>54344.873584975569</v>
      </c>
      <c r="O63" s="116">
        <f t="shared" ca="1" si="27"/>
        <v>59877.506642039349</v>
      </c>
      <c r="P63" s="271">
        <f t="shared" ca="1" si="27"/>
        <v>63625.27983274735</v>
      </c>
      <c r="Q63" s="142"/>
      <c r="R63" s="754"/>
      <c r="S63" s="754"/>
      <c r="T63" s="754"/>
      <c r="U63" s="754"/>
      <c r="V63" s="754"/>
    </row>
    <row r="64" spans="2:22" hidden="1" outlineLevel="1" x14ac:dyDescent="0.2">
      <c r="B64" s="85" t="s">
        <v>103</v>
      </c>
      <c r="C64" s="118">
        <f t="shared" ref="C64:H64" si="28">SUM(C59:C63)</f>
        <v>88988</v>
      </c>
      <c r="D64" s="117">
        <f t="shared" si="28"/>
        <v>107006</v>
      </c>
      <c r="E64" s="117">
        <f t="shared" si="28"/>
        <v>135987</v>
      </c>
      <c r="F64" s="117">
        <f t="shared" si="28"/>
        <v>177866</v>
      </c>
      <c r="G64" s="117">
        <f t="shared" si="28"/>
        <v>232887</v>
      </c>
      <c r="H64" s="117">
        <f t="shared" si="28"/>
        <v>280522</v>
      </c>
      <c r="I64" s="274"/>
      <c r="J64" s="336"/>
      <c r="K64" s="336"/>
      <c r="L64" s="274">
        <f ca="1">SUM(L59:L63)</f>
        <v>358743.70664425567</v>
      </c>
      <c r="M64" s="117">
        <f ca="1">SUM(M59:M63)</f>
        <v>426877.55597618903</v>
      </c>
      <c r="N64" s="117">
        <f ca="1">SUM(N59:N63)</f>
        <v>494044.30531795969</v>
      </c>
      <c r="O64" s="117">
        <f ca="1">SUM(O59:O63)</f>
        <v>544340.96947308502</v>
      </c>
      <c r="P64" s="336">
        <f ca="1">SUM(P59:P63)</f>
        <v>578411.6348431576</v>
      </c>
      <c r="R64" s="754"/>
      <c r="S64" s="754"/>
      <c r="T64" s="754"/>
      <c r="U64" s="754"/>
      <c r="V64" s="754"/>
    </row>
    <row r="65" spans="2:22" hidden="1" outlineLevel="1" x14ac:dyDescent="0.2">
      <c r="B65" s="85"/>
      <c r="C65" s="113"/>
      <c r="D65" s="51"/>
      <c r="E65" s="51"/>
      <c r="F65" s="51"/>
      <c r="G65" s="51"/>
      <c r="H65" s="51"/>
      <c r="I65" s="603"/>
      <c r="J65" s="591"/>
      <c r="K65" s="591"/>
      <c r="L65" s="130"/>
      <c r="P65" s="131"/>
      <c r="R65" s="754"/>
      <c r="S65" s="754"/>
      <c r="T65" s="754"/>
      <c r="U65" s="754"/>
      <c r="V65" s="754"/>
    </row>
    <row r="66" spans="2:22" hidden="1" outlineLevel="1" x14ac:dyDescent="0.2">
      <c r="B66" s="85" t="s">
        <v>306</v>
      </c>
      <c r="C66" s="37"/>
      <c r="D66" s="37"/>
      <c r="E66" s="37"/>
      <c r="F66" s="37"/>
      <c r="G66" s="37"/>
      <c r="H66" s="37"/>
      <c r="I66" s="598"/>
      <c r="J66" s="160"/>
      <c r="K66" s="160"/>
      <c r="L66" s="130"/>
      <c r="P66" s="131"/>
      <c r="R66" s="754"/>
      <c r="S66" s="754"/>
      <c r="T66" s="754"/>
      <c r="U66" s="754"/>
      <c r="V66" s="754"/>
    </row>
    <row r="67" spans="2:22" hidden="1" outlineLevel="1" x14ac:dyDescent="0.2">
      <c r="B67" s="28" t="s">
        <v>93</v>
      </c>
      <c r="C67" s="30">
        <f t="shared" ref="C67:H71" si="29">C59/C$64</f>
        <v>0.61488065806625614</v>
      </c>
      <c r="D67" s="30">
        <f t="shared" si="29"/>
        <v>0.65918733528960993</v>
      </c>
      <c r="E67" s="30">
        <f t="shared" si="29"/>
        <v>0.66439439064028183</v>
      </c>
      <c r="F67" s="30">
        <f t="shared" si="29"/>
        <v>0.67739759144524525</v>
      </c>
      <c r="G67" s="30">
        <f t="shared" si="29"/>
        <v>0.68765538651792502</v>
      </c>
      <c r="H67" s="30">
        <f t="shared" si="29"/>
        <v>0.69027028183172801</v>
      </c>
      <c r="I67" s="141"/>
      <c r="J67" s="168"/>
      <c r="K67" s="168"/>
      <c r="L67" s="141">
        <v>0.7</v>
      </c>
      <c r="M67" s="30">
        <v>0.7</v>
      </c>
      <c r="N67" s="30">
        <v>0.7</v>
      </c>
      <c r="O67" s="30">
        <v>0.7</v>
      </c>
      <c r="P67" s="168">
        <v>0.7</v>
      </c>
      <c r="R67" s="754"/>
      <c r="S67" s="754"/>
      <c r="T67" s="754"/>
      <c r="U67" s="754"/>
      <c r="V67" s="754"/>
    </row>
    <row r="68" spans="2:22" hidden="1" outlineLevel="1" x14ac:dyDescent="0.2">
      <c r="B68" s="28" t="s">
        <v>96</v>
      </c>
      <c r="C68" s="30">
        <f t="shared" si="29"/>
        <v>0.13393940756056996</v>
      </c>
      <c r="D68" s="30">
        <f t="shared" si="29"/>
        <v>0.11042371455806216</v>
      </c>
      <c r="E68" s="30">
        <f t="shared" si="29"/>
        <v>0.10403935670321428</v>
      </c>
      <c r="F68" s="30">
        <f t="shared" si="29"/>
        <v>9.5302081342133971E-2</v>
      </c>
      <c r="G68" s="30">
        <f t="shared" si="29"/>
        <v>8.536758170271419E-2</v>
      </c>
      <c r="H68" s="30">
        <f t="shared" si="29"/>
        <v>7.9252251160336795E-2</v>
      </c>
      <c r="I68" s="141"/>
      <c r="J68" s="168"/>
      <c r="K68" s="168"/>
      <c r="L68" s="141">
        <v>7.4999999999999997E-2</v>
      </c>
      <c r="M68" s="30">
        <v>7.4999999999999997E-2</v>
      </c>
      <c r="N68" s="30">
        <v>7.4999999999999997E-2</v>
      </c>
      <c r="O68" s="30">
        <v>7.4999999999999997E-2</v>
      </c>
      <c r="P68" s="168">
        <v>7.4999999999999997E-2</v>
      </c>
      <c r="R68" s="754"/>
      <c r="S68" s="754"/>
      <c r="T68" s="754"/>
      <c r="U68" s="754"/>
      <c r="V68" s="754"/>
    </row>
    <row r="69" spans="2:22" hidden="1" outlineLevel="1" x14ac:dyDescent="0.2">
      <c r="B69" s="28" t="s">
        <v>98</v>
      </c>
      <c r="C69" s="30">
        <f t="shared" si="29"/>
        <v>9.373173911089136E-2</v>
      </c>
      <c r="D69" s="30">
        <f t="shared" si="29"/>
        <v>8.4415827149879441E-2</v>
      </c>
      <c r="E69" s="30">
        <f t="shared" si="29"/>
        <v>7.0205240206784467E-2</v>
      </c>
      <c r="F69" s="30">
        <f t="shared" si="29"/>
        <v>6.3935771873207925E-2</v>
      </c>
      <c r="G69" s="30">
        <f t="shared" si="29"/>
        <v>6.2365009639868262E-2</v>
      </c>
      <c r="H69" s="30">
        <f t="shared" si="29"/>
        <v>6.2479948096762467E-2</v>
      </c>
      <c r="I69" s="141"/>
      <c r="J69" s="168"/>
      <c r="K69" s="168"/>
      <c r="L69" s="141">
        <v>0.06</v>
      </c>
      <c r="M69" s="30">
        <v>0.06</v>
      </c>
      <c r="N69" s="30">
        <v>0.06</v>
      </c>
      <c r="O69" s="30">
        <v>0.06</v>
      </c>
      <c r="P69" s="168">
        <v>0.06</v>
      </c>
      <c r="R69" s="754"/>
      <c r="S69" s="754"/>
      <c r="T69" s="754"/>
      <c r="U69" s="754"/>
      <c r="V69" s="754"/>
    </row>
    <row r="70" spans="2:22" hidden="1" outlineLevel="1" x14ac:dyDescent="0.2">
      <c r="B70" s="28" t="s">
        <v>99</v>
      </c>
      <c r="C70" s="30">
        <f t="shared" si="29"/>
        <v>8.8910864386209376E-2</v>
      </c>
      <c r="D70" s="30">
        <f t="shared" si="29"/>
        <v>7.7229314244061084E-2</v>
      </c>
      <c r="E70" s="30">
        <f t="shared" si="29"/>
        <v>7.9397295329700635E-2</v>
      </c>
      <c r="F70" s="30">
        <f t="shared" si="29"/>
        <v>6.6943654211597495E-2</v>
      </c>
      <c r="G70" s="30">
        <f t="shared" si="29"/>
        <v>5.9380729710116924E-2</v>
      </c>
      <c r="H70" s="30">
        <f t="shared" si="29"/>
        <v>5.7043654330141663E-2</v>
      </c>
      <c r="I70" s="141"/>
      <c r="J70" s="168"/>
      <c r="K70" s="168"/>
      <c r="L70" s="141">
        <v>5.5E-2</v>
      </c>
      <c r="M70" s="30">
        <v>5.5E-2</v>
      </c>
      <c r="N70" s="30">
        <v>5.5E-2</v>
      </c>
      <c r="O70" s="30">
        <v>5.5E-2</v>
      </c>
      <c r="P70" s="168">
        <v>5.5E-2</v>
      </c>
      <c r="R70" s="754"/>
      <c r="S70" s="754"/>
      <c r="T70" s="754"/>
      <c r="U70" s="754"/>
      <c r="V70" s="754"/>
    </row>
    <row r="71" spans="2:22" hidden="1" outlineLevel="1" x14ac:dyDescent="0.2">
      <c r="B71" s="28" t="s">
        <v>102</v>
      </c>
      <c r="C71" s="30">
        <f t="shared" si="29"/>
        <v>6.853733087607318E-2</v>
      </c>
      <c r="D71" s="30">
        <f t="shared" si="29"/>
        <v>6.8743808758387384E-2</v>
      </c>
      <c r="E71" s="30">
        <f t="shared" si="29"/>
        <v>8.196371712001882E-2</v>
      </c>
      <c r="F71" s="30">
        <f t="shared" si="29"/>
        <v>9.6420901127815317E-2</v>
      </c>
      <c r="G71" s="30">
        <f t="shared" si="29"/>
        <v>0.10523129242937562</v>
      </c>
      <c r="H71" s="30">
        <f t="shared" si="29"/>
        <v>0.11095386458103108</v>
      </c>
      <c r="I71" s="141"/>
      <c r="J71" s="168"/>
      <c r="K71" s="168"/>
      <c r="L71" s="141">
        <v>0.11</v>
      </c>
      <c r="M71" s="30">
        <v>0.11</v>
      </c>
      <c r="N71" s="30">
        <v>0.11</v>
      </c>
      <c r="O71" s="30">
        <v>0.11</v>
      </c>
      <c r="P71" s="168">
        <v>0.11</v>
      </c>
      <c r="R71" s="754"/>
      <c r="S71" s="754"/>
      <c r="T71" s="754"/>
      <c r="U71" s="754"/>
      <c r="V71" s="754"/>
    </row>
    <row r="72" spans="2:22" hidden="1" outlineLevel="1" x14ac:dyDescent="0.2">
      <c r="B72" s="28"/>
      <c r="C72" s="37"/>
      <c r="D72" s="37"/>
      <c r="E72" s="37"/>
      <c r="F72" s="37"/>
      <c r="G72" s="37"/>
      <c r="H72" s="37"/>
      <c r="I72" s="598"/>
      <c r="J72" s="160"/>
      <c r="K72" s="160"/>
      <c r="L72" s="130"/>
      <c r="P72" s="131"/>
      <c r="R72" s="754"/>
      <c r="S72" s="754"/>
      <c r="T72" s="754"/>
      <c r="U72" s="754"/>
      <c r="V72" s="754"/>
    </row>
    <row r="73" spans="2:22" hidden="1" outlineLevel="1" x14ac:dyDescent="0.2">
      <c r="B73" s="85" t="s">
        <v>298</v>
      </c>
      <c r="C73" s="37"/>
      <c r="D73" s="37"/>
      <c r="E73" s="37"/>
      <c r="F73" s="37"/>
      <c r="G73" s="37"/>
      <c r="H73" s="37"/>
      <c r="I73" s="598"/>
      <c r="J73" s="160"/>
      <c r="K73" s="160"/>
      <c r="L73" s="130"/>
      <c r="P73" s="131"/>
      <c r="R73" s="754"/>
      <c r="S73" s="754"/>
      <c r="T73" s="754"/>
      <c r="U73" s="754"/>
      <c r="V73" s="754"/>
    </row>
    <row r="74" spans="2:22" hidden="1" outlineLevel="1" x14ac:dyDescent="0.2">
      <c r="B74" s="28" t="s">
        <v>93</v>
      </c>
      <c r="C74" s="37"/>
      <c r="D74" s="49">
        <f t="shared" ref="D74:G79" si="30">D59/C59-1</f>
        <v>0.28912403823309019</v>
      </c>
      <c r="E74" s="49">
        <f t="shared" si="30"/>
        <v>0.28087386761557753</v>
      </c>
      <c r="F74" s="49">
        <f t="shared" si="30"/>
        <v>0.33356207594992759</v>
      </c>
      <c r="G74" s="49">
        <f t="shared" si="30"/>
        <v>0.3291668741596534</v>
      </c>
      <c r="H74" s="49">
        <f t="shared" ref="H74:H79" si="31">H59/G59-1</f>
        <v>0.20912167647022084</v>
      </c>
      <c r="I74" s="349"/>
      <c r="J74" s="350"/>
      <c r="K74" s="350"/>
      <c r="L74" s="349">
        <f ca="1">IF(ISERROR(L59/H59-1),0,L59/H59-1)</f>
        <v>0.2968693561681659</v>
      </c>
      <c r="M74" s="49">
        <f ca="1">IF(ISERROR(M59/L59-1),0,M59/L59-1)</f>
        <v>0.18992346923453507</v>
      </c>
      <c r="N74" s="49">
        <f ca="1">IF(ISERROR(N59/M59-1),0,N59/M59-1)</f>
        <v>0.15734429791740356</v>
      </c>
      <c r="O74" s="49">
        <f ca="1">IF(ISERROR(O59/N59-1),0,O59/N59-1)</f>
        <v>0.10180597896529764</v>
      </c>
      <c r="P74" s="350">
        <f ca="1">IF(ISERROR(P59/O59-1),0,P59/O59-1)</f>
        <v>6.2590668865238452E-2</v>
      </c>
      <c r="R74" s="754"/>
      <c r="S74" s="754"/>
      <c r="T74" s="754"/>
      <c r="U74" s="754"/>
      <c r="V74" s="754"/>
    </row>
    <row r="75" spans="2:22" hidden="1" outlineLevel="1" x14ac:dyDescent="0.2">
      <c r="B75" s="28" t="s">
        <v>96</v>
      </c>
      <c r="C75" s="37"/>
      <c r="D75" s="49">
        <f t="shared" si="30"/>
        <v>-8.6416645691752558E-3</v>
      </c>
      <c r="E75" s="49">
        <f t="shared" si="30"/>
        <v>0.1973595125253893</v>
      </c>
      <c r="F75" s="49">
        <f t="shared" si="30"/>
        <v>0.19811987560079158</v>
      </c>
      <c r="G75" s="49">
        <f t="shared" si="30"/>
        <v>0.17285115922364458</v>
      </c>
      <c r="H75" s="49">
        <f t="shared" si="31"/>
        <v>0.11825360897339166</v>
      </c>
      <c r="I75" s="349"/>
      <c r="J75" s="350"/>
      <c r="K75" s="350"/>
      <c r="L75" s="349">
        <f ca="1">L60/H60-1</f>
        <v>0.21022750982004235</v>
      </c>
      <c r="M75" s="49">
        <f t="shared" ref="M75:P79" ca="1" si="32">M60/L60-1</f>
        <v>0.18992346923453507</v>
      </c>
      <c r="N75" s="49">
        <f t="shared" ca="1" si="32"/>
        <v>0.15734429791740356</v>
      </c>
      <c r="O75" s="49">
        <f t="shared" ca="1" si="32"/>
        <v>0.10180597896529764</v>
      </c>
      <c r="P75" s="350">
        <f t="shared" ca="1" si="32"/>
        <v>6.259066886523823E-2</v>
      </c>
      <c r="R75" s="754"/>
      <c r="S75" s="754"/>
      <c r="T75" s="754"/>
      <c r="U75" s="754"/>
      <c r="V75" s="754"/>
    </row>
    <row r="76" spans="2:22" hidden="1" outlineLevel="1" x14ac:dyDescent="0.2">
      <c r="B76" s="28" t="s">
        <v>98</v>
      </c>
      <c r="C76" s="37"/>
      <c r="D76" s="49">
        <f t="shared" si="30"/>
        <v>8.2963673420453077E-2</v>
      </c>
      <c r="E76" s="49">
        <f t="shared" si="30"/>
        <v>5.6902468725783306E-2</v>
      </c>
      <c r="F76" s="49">
        <f t="shared" si="30"/>
        <v>0.19115952655284385</v>
      </c>
      <c r="G76" s="49">
        <f t="shared" si="30"/>
        <v>0.27717200140696452</v>
      </c>
      <c r="H76" s="49">
        <f t="shared" si="31"/>
        <v>0.20676122280363529</v>
      </c>
      <c r="I76" s="349"/>
      <c r="J76" s="350"/>
      <c r="K76" s="350"/>
      <c r="L76" s="349">
        <f ca="1">L61/H61-1</f>
        <v>0.22808366512554001</v>
      </c>
      <c r="M76" s="49">
        <f t="shared" ca="1" si="32"/>
        <v>0.18992346923453507</v>
      </c>
      <c r="N76" s="49">
        <f t="shared" ca="1" si="32"/>
        <v>0.15734429791740356</v>
      </c>
      <c r="O76" s="49">
        <f t="shared" ca="1" si="32"/>
        <v>0.10180597896529764</v>
      </c>
      <c r="P76" s="350">
        <f t="shared" ca="1" si="32"/>
        <v>6.259066886523823E-2</v>
      </c>
      <c r="R76" s="754"/>
      <c r="S76" s="754"/>
      <c r="T76" s="754"/>
      <c r="U76" s="754"/>
      <c r="V76" s="754"/>
    </row>
    <row r="77" spans="2:22" hidden="1" outlineLevel="1" x14ac:dyDescent="0.2">
      <c r="B77" s="28" t="s">
        <v>99</v>
      </c>
      <c r="C77" s="37"/>
      <c r="D77" s="49">
        <f t="shared" si="30"/>
        <v>4.4489383215368994E-2</v>
      </c>
      <c r="E77" s="49">
        <f t="shared" si="30"/>
        <v>0.30651016456921587</v>
      </c>
      <c r="F77" s="49">
        <f t="shared" si="30"/>
        <v>0.10280633509308146</v>
      </c>
      <c r="G77" s="49">
        <f t="shared" si="30"/>
        <v>0.16141765348114556</v>
      </c>
      <c r="H77" s="49">
        <f t="shared" si="31"/>
        <v>0.1571335599103334</v>
      </c>
      <c r="I77" s="349"/>
      <c r="J77" s="350"/>
      <c r="K77" s="350"/>
      <c r="L77" s="349">
        <f ca="1">L62/H62-1</f>
        <v>0.233027363169233</v>
      </c>
      <c r="M77" s="49">
        <f t="shared" ca="1" si="32"/>
        <v>0.18992346923453507</v>
      </c>
      <c r="N77" s="49">
        <f t="shared" ca="1" si="32"/>
        <v>0.15734429791740356</v>
      </c>
      <c r="O77" s="49">
        <f t="shared" ca="1" si="32"/>
        <v>0.10180597896529764</v>
      </c>
      <c r="P77" s="350">
        <f t="shared" ca="1" si="32"/>
        <v>6.2590668865238452E-2</v>
      </c>
      <c r="R77" s="754"/>
      <c r="S77" s="754"/>
      <c r="T77" s="754"/>
      <c r="U77" s="754"/>
      <c r="V77" s="754"/>
    </row>
    <row r="78" spans="2:22" hidden="1" outlineLevel="1" x14ac:dyDescent="0.2">
      <c r="B78" s="28" t="s">
        <v>102</v>
      </c>
      <c r="C78" s="37"/>
      <c r="D78" s="49">
        <f t="shared" si="30"/>
        <v>0.20609936055091005</v>
      </c>
      <c r="E78" s="49">
        <f t="shared" si="30"/>
        <v>0.51522566612289289</v>
      </c>
      <c r="F78" s="49">
        <f t="shared" si="30"/>
        <v>0.53866858065673795</v>
      </c>
      <c r="G78" s="49">
        <f t="shared" si="30"/>
        <v>0.42897959183673473</v>
      </c>
      <c r="H78" s="49">
        <f t="shared" si="31"/>
        <v>0.27004529318154002</v>
      </c>
      <c r="I78" s="349"/>
      <c r="J78" s="350"/>
      <c r="K78" s="350"/>
      <c r="L78" s="349">
        <f ca="1">L63/H63-1</f>
        <v>0.26784924436524116</v>
      </c>
      <c r="M78" s="49">
        <f t="shared" ca="1" si="32"/>
        <v>0.18992346923453507</v>
      </c>
      <c r="N78" s="49">
        <f t="shared" ca="1" si="32"/>
        <v>0.15734429791740356</v>
      </c>
      <c r="O78" s="49">
        <f t="shared" ca="1" si="32"/>
        <v>0.10180597896529764</v>
      </c>
      <c r="P78" s="350">
        <f t="shared" ca="1" si="32"/>
        <v>6.2590668865238452E-2</v>
      </c>
      <c r="R78" s="754"/>
      <c r="S78" s="754"/>
      <c r="T78" s="754"/>
      <c r="U78" s="754"/>
      <c r="V78" s="754"/>
    </row>
    <row r="79" spans="2:22" hidden="1" outlineLevel="1" x14ac:dyDescent="0.2">
      <c r="B79" s="88" t="s">
        <v>103</v>
      </c>
      <c r="C79" s="114"/>
      <c r="D79" s="55">
        <f t="shared" si="30"/>
        <v>0.20247673843664304</v>
      </c>
      <c r="E79" s="55">
        <f t="shared" si="30"/>
        <v>0.27083528026465808</v>
      </c>
      <c r="F79" s="55">
        <f t="shared" si="30"/>
        <v>0.30796326119408479</v>
      </c>
      <c r="G79" s="55">
        <f t="shared" si="30"/>
        <v>0.3093396152159491</v>
      </c>
      <c r="H79" s="143">
        <f t="shared" si="31"/>
        <v>0.20454125820676983</v>
      </c>
      <c r="I79" s="351"/>
      <c r="J79" s="352"/>
      <c r="K79" s="352"/>
      <c r="L79" s="351">
        <f ca="1">L64/H64-1</f>
        <v>0.27884339425875937</v>
      </c>
      <c r="M79" s="143">
        <f t="shared" ca="1" si="32"/>
        <v>0.18992346923453507</v>
      </c>
      <c r="N79" s="143">
        <f t="shared" ca="1" si="32"/>
        <v>0.15734429791740379</v>
      </c>
      <c r="O79" s="143">
        <f t="shared" ca="1" si="32"/>
        <v>0.10180597896529764</v>
      </c>
      <c r="P79" s="352">
        <f t="shared" ca="1" si="32"/>
        <v>6.259066886523823E-2</v>
      </c>
      <c r="R79" s="754"/>
      <c r="S79" s="754"/>
      <c r="T79" s="754"/>
      <c r="U79" s="754"/>
      <c r="V79" s="754"/>
    </row>
    <row r="80" spans="2:22" collapsed="1" x14ac:dyDescent="0.2">
      <c r="B80" s="29"/>
      <c r="C80" s="29"/>
      <c r="D80" s="92"/>
      <c r="E80" s="92"/>
      <c r="F80" s="92"/>
      <c r="G80" s="92"/>
      <c r="H80" s="92"/>
      <c r="I80" s="92"/>
      <c r="J80" s="92"/>
      <c r="K80" s="92"/>
      <c r="R80" s="754" t="s">
        <v>307</v>
      </c>
      <c r="S80" s="754"/>
      <c r="T80" s="754"/>
      <c r="U80" s="754"/>
      <c r="V80" s="754"/>
    </row>
    <row r="81" spans="1:22" outlineLevel="1" x14ac:dyDescent="0.2">
      <c r="A81" s="720" t="s">
        <v>609</v>
      </c>
      <c r="B81" s="89" t="s">
        <v>308</v>
      </c>
      <c r="C81" s="90">
        <v>2014</v>
      </c>
      <c r="D81" s="93">
        <f>D$32</f>
        <v>2015</v>
      </c>
      <c r="E81" s="93">
        <f t="shared" ref="E81:P81" si="33">E$32</f>
        <v>2016</v>
      </c>
      <c r="F81" s="93">
        <f t="shared" si="33"/>
        <v>2017</v>
      </c>
      <c r="G81" s="93">
        <f t="shared" si="33"/>
        <v>2018</v>
      </c>
      <c r="H81" s="99">
        <f t="shared" si="33"/>
        <v>2019</v>
      </c>
      <c r="I81" s="327" t="str">
        <f>$I$3</f>
        <v xml:space="preserve">Q2 2019 </v>
      </c>
      <c r="J81" s="329" t="str">
        <f>$J$3</f>
        <v>Q2 2020</v>
      </c>
      <c r="K81" s="618" t="str">
        <f>$K$3</f>
        <v xml:space="preserve">LTM </v>
      </c>
      <c r="L81" s="327">
        <f t="shared" si="33"/>
        <v>2020</v>
      </c>
      <c r="M81" s="328">
        <f t="shared" si="33"/>
        <v>2021</v>
      </c>
      <c r="N81" s="328">
        <f t="shared" si="33"/>
        <v>2022</v>
      </c>
      <c r="O81" s="328">
        <f t="shared" si="33"/>
        <v>2023</v>
      </c>
      <c r="P81" s="329">
        <f t="shared" si="33"/>
        <v>2024</v>
      </c>
      <c r="R81" s="754"/>
      <c r="S81" s="754"/>
      <c r="T81" s="754"/>
      <c r="U81" s="754"/>
      <c r="V81" s="754"/>
    </row>
    <row r="82" spans="1:22" outlineLevel="1" x14ac:dyDescent="0.2">
      <c r="B82" s="100" t="s">
        <v>309</v>
      </c>
      <c r="C82" s="94"/>
      <c r="D82" s="95"/>
      <c r="E82" s="95"/>
      <c r="F82" s="95"/>
      <c r="G82" s="95"/>
      <c r="H82" s="102"/>
      <c r="I82" s="625"/>
      <c r="J82" s="626"/>
      <c r="K82" s="619"/>
      <c r="L82" s="330"/>
      <c r="M82" s="94"/>
      <c r="N82" s="94"/>
      <c r="O82" s="94"/>
      <c r="P82" s="331"/>
      <c r="R82" s="754" t="s">
        <v>310</v>
      </c>
      <c r="S82" s="754"/>
      <c r="T82" s="754"/>
      <c r="U82" s="754"/>
      <c r="V82" s="754"/>
    </row>
    <row r="83" spans="1:22" outlineLevel="1" x14ac:dyDescent="0.2">
      <c r="B83" s="28" t="s">
        <v>311</v>
      </c>
      <c r="C83" s="354">
        <v>50834</v>
      </c>
      <c r="D83" s="354">
        <v>63708</v>
      </c>
      <c r="E83" s="354">
        <v>79785</v>
      </c>
      <c r="F83" s="354">
        <v>106110</v>
      </c>
      <c r="G83" s="354">
        <v>141366</v>
      </c>
      <c r="H83" s="355">
        <v>170773</v>
      </c>
      <c r="I83" s="270"/>
      <c r="J83" s="161"/>
      <c r="K83" s="453"/>
      <c r="L83" s="332"/>
      <c r="M83" s="65"/>
      <c r="N83" s="65"/>
      <c r="O83" s="65"/>
      <c r="P83" s="333"/>
      <c r="R83" s="754" t="s">
        <v>312</v>
      </c>
      <c r="S83" s="754"/>
      <c r="T83" s="754"/>
      <c r="U83" s="754"/>
      <c r="V83" s="754"/>
    </row>
    <row r="84" spans="1:22" outlineLevel="1" x14ac:dyDescent="0.2">
      <c r="B84" s="28" t="s">
        <v>313</v>
      </c>
      <c r="C84" s="831">
        <f>C83-C85</f>
        <v>50474</v>
      </c>
      <c r="D84" s="831">
        <f>D83-D85</f>
        <v>62283</v>
      </c>
      <c r="E84" s="831">
        <f>E83-E85</f>
        <v>77424</v>
      </c>
      <c r="F84" s="354">
        <v>103273</v>
      </c>
      <c r="G84" s="354">
        <v>134099</v>
      </c>
      <c r="H84" s="355">
        <v>163740</v>
      </c>
      <c r="I84" s="270"/>
      <c r="J84" s="161"/>
      <c r="K84" s="453"/>
      <c r="L84" s="332"/>
      <c r="M84" s="65"/>
      <c r="N84" s="65"/>
      <c r="O84" s="65"/>
      <c r="P84" s="333"/>
      <c r="R84" s="754"/>
      <c r="S84" s="754"/>
      <c r="T84" s="754"/>
      <c r="U84" s="754"/>
      <c r="V84" s="754"/>
    </row>
    <row r="85" spans="1:22" outlineLevel="1" x14ac:dyDescent="0.2">
      <c r="B85" s="85" t="s">
        <v>314</v>
      </c>
      <c r="C85" s="513">
        <v>360</v>
      </c>
      <c r="D85" s="513">
        <v>1425</v>
      </c>
      <c r="E85" s="513">
        <v>2361</v>
      </c>
      <c r="F85" s="419">
        <f>F83-F84</f>
        <v>2837</v>
      </c>
      <c r="G85" s="419">
        <f>G83-G84</f>
        <v>7267</v>
      </c>
      <c r="H85" s="923">
        <f>H83-H84</f>
        <v>7033</v>
      </c>
      <c r="I85" s="274"/>
      <c r="J85" s="336"/>
      <c r="K85" s="390"/>
      <c r="L85" s="332"/>
      <c r="M85" s="65"/>
      <c r="N85" s="65"/>
      <c r="O85" s="65"/>
      <c r="P85" s="333"/>
      <c r="R85" s="754" t="s">
        <v>315</v>
      </c>
      <c r="S85" s="754"/>
      <c r="T85" s="754"/>
      <c r="U85" s="754"/>
      <c r="V85" s="754"/>
    </row>
    <row r="86" spans="1:22" outlineLevel="1" x14ac:dyDescent="0.2">
      <c r="B86" s="85"/>
      <c r="C86" s="65"/>
      <c r="D86" s="65"/>
      <c r="E86" s="65"/>
      <c r="F86" s="65"/>
      <c r="G86" s="65"/>
      <c r="H86" s="101"/>
      <c r="I86" s="332"/>
      <c r="J86" s="333"/>
      <c r="K86" s="620"/>
      <c r="L86" s="332"/>
      <c r="M86" s="65"/>
      <c r="N86" s="65"/>
      <c r="O86" s="65"/>
      <c r="P86" s="333"/>
      <c r="R86" s="754" t="s">
        <v>316</v>
      </c>
      <c r="S86" s="754"/>
      <c r="T86" s="754"/>
      <c r="U86" s="754"/>
      <c r="V86" s="754"/>
    </row>
    <row r="87" spans="1:22" outlineLevel="1" x14ac:dyDescent="0.2">
      <c r="B87" s="85" t="s">
        <v>317</v>
      </c>
      <c r="C87" s="65"/>
      <c r="D87" s="65"/>
      <c r="E87" s="65"/>
      <c r="F87" s="65"/>
      <c r="G87" s="65"/>
      <c r="H87" s="101"/>
      <c r="I87" s="332"/>
      <c r="J87" s="333"/>
      <c r="K87" s="620"/>
      <c r="L87" s="332"/>
      <c r="M87" s="65"/>
      <c r="N87" s="65"/>
      <c r="O87" s="65"/>
      <c r="P87" s="333"/>
      <c r="R87" s="754" t="s">
        <v>318</v>
      </c>
      <c r="S87" s="754"/>
      <c r="T87" s="754"/>
      <c r="U87" s="754"/>
      <c r="V87" s="754"/>
    </row>
    <row r="88" spans="1:22" outlineLevel="1" x14ac:dyDescent="0.2">
      <c r="B88" s="28" t="s">
        <v>311</v>
      </c>
      <c r="C88" s="30"/>
      <c r="D88" s="978">
        <f t="shared" ref="D88:G90" si="34">D83/C83-1</f>
        <v>0.25325569500727863</v>
      </c>
      <c r="E88" s="978">
        <f t="shared" si="34"/>
        <v>0.25235449237144469</v>
      </c>
      <c r="F88" s="978">
        <f t="shared" si="34"/>
        <v>0.32994923857868019</v>
      </c>
      <c r="G88" s="978">
        <f t="shared" si="34"/>
        <v>0.33225897653378578</v>
      </c>
      <c r="H88" s="1001">
        <f>H83/G83-1</f>
        <v>0.20802031605902416</v>
      </c>
      <c r="I88" s="141"/>
      <c r="J88" s="168"/>
      <c r="K88" s="520"/>
      <c r="L88" s="332"/>
      <c r="M88" s="65"/>
      <c r="N88" s="65"/>
      <c r="O88" s="65"/>
      <c r="P88" s="333"/>
      <c r="R88" s="754" t="s">
        <v>319</v>
      </c>
      <c r="S88" s="754"/>
      <c r="T88" s="754"/>
      <c r="U88" s="754"/>
      <c r="V88" s="754"/>
    </row>
    <row r="89" spans="1:22" outlineLevel="1" x14ac:dyDescent="0.2">
      <c r="B89" s="28" t="s">
        <v>313</v>
      </c>
      <c r="C89" s="30"/>
      <c r="D89" s="978">
        <f t="shared" si="34"/>
        <v>0.23396203986210717</v>
      </c>
      <c r="E89" s="978">
        <f t="shared" si="34"/>
        <v>0.24310004335051305</v>
      </c>
      <c r="F89" s="978">
        <f t="shared" si="34"/>
        <v>0.33386288489357296</v>
      </c>
      <c r="G89" s="978">
        <f t="shared" si="34"/>
        <v>0.29849040891617373</v>
      </c>
      <c r="H89" s="1001">
        <f>H84/G84-1</f>
        <v>0.22103818820423715</v>
      </c>
      <c r="I89" s="141"/>
      <c r="J89" s="168"/>
      <c r="K89" s="520"/>
      <c r="L89" s="332"/>
      <c r="M89" s="65"/>
      <c r="N89" s="65"/>
      <c r="O89" s="65"/>
      <c r="P89" s="333"/>
      <c r="R89" s="754"/>
      <c r="S89" s="754"/>
      <c r="T89" s="754"/>
      <c r="U89" s="754"/>
      <c r="V89" s="754"/>
    </row>
    <row r="90" spans="1:22" outlineLevel="1" x14ac:dyDescent="0.2">
      <c r="B90" s="85" t="s">
        <v>314</v>
      </c>
      <c r="C90" s="38"/>
      <c r="D90" s="1002">
        <f t="shared" si="34"/>
        <v>2.9583333333333335</v>
      </c>
      <c r="E90" s="1002">
        <f t="shared" si="34"/>
        <v>0.65684210526315789</v>
      </c>
      <c r="F90" s="1002">
        <f t="shared" si="34"/>
        <v>0.20160948750529428</v>
      </c>
      <c r="G90" s="1002">
        <f t="shared" si="34"/>
        <v>1.5615086358829751</v>
      </c>
      <c r="H90" s="1003">
        <f>H85/G85-1</f>
        <v>-3.2200357781753119E-2</v>
      </c>
      <c r="I90" s="337"/>
      <c r="J90" s="338"/>
      <c r="K90" s="521"/>
      <c r="L90" s="332"/>
      <c r="M90" s="65"/>
      <c r="N90" s="65"/>
      <c r="O90" s="65"/>
      <c r="P90" s="333"/>
      <c r="R90" s="754" t="s">
        <v>320</v>
      </c>
      <c r="S90" s="754"/>
      <c r="T90" s="754"/>
      <c r="U90" s="754"/>
      <c r="V90" s="754"/>
    </row>
    <row r="91" spans="1:22" outlineLevel="1" x14ac:dyDescent="0.2">
      <c r="B91" s="85"/>
      <c r="C91" s="30"/>
      <c r="D91" s="30"/>
      <c r="E91" s="30"/>
      <c r="F91" s="30"/>
      <c r="G91" s="30"/>
      <c r="H91" s="31"/>
      <c r="I91" s="141"/>
      <c r="J91" s="168"/>
      <c r="K91" s="520"/>
      <c r="L91" s="332"/>
      <c r="M91" s="65"/>
      <c r="N91" s="65"/>
      <c r="O91" s="65"/>
      <c r="P91" s="333"/>
      <c r="R91" s="754" t="s">
        <v>321</v>
      </c>
      <c r="S91" s="754"/>
      <c r="T91" s="754"/>
      <c r="U91" s="754"/>
      <c r="V91" s="754"/>
    </row>
    <row r="92" spans="1:22" outlineLevel="1" x14ac:dyDescent="0.2">
      <c r="B92" s="85" t="s">
        <v>306</v>
      </c>
      <c r="C92" s="30"/>
      <c r="D92" s="30"/>
      <c r="E92" s="30"/>
      <c r="F92" s="30"/>
      <c r="G92" s="30"/>
      <c r="H92" s="31"/>
      <c r="I92" s="141"/>
      <c r="J92" s="168"/>
      <c r="K92" s="520"/>
      <c r="L92" s="332"/>
      <c r="M92" s="65"/>
      <c r="N92" s="65"/>
      <c r="O92" s="65"/>
      <c r="P92" s="333"/>
      <c r="R92" s="754"/>
      <c r="S92" s="754"/>
      <c r="T92" s="754"/>
      <c r="U92" s="754"/>
      <c r="V92" s="754"/>
    </row>
    <row r="93" spans="1:22" outlineLevel="1" x14ac:dyDescent="0.2">
      <c r="B93" s="28" t="s">
        <v>311</v>
      </c>
      <c r="C93" s="978">
        <f t="shared" ref="C93:H93" si="35">C83/C$39</f>
        <v>0.57124556119926284</v>
      </c>
      <c r="D93" s="978">
        <f t="shared" si="35"/>
        <v>0.59536848401024245</v>
      </c>
      <c r="E93" s="978">
        <f t="shared" si="35"/>
        <v>0.58671049438549272</v>
      </c>
      <c r="F93" s="978">
        <f t="shared" si="35"/>
        <v>0.59657270079722935</v>
      </c>
      <c r="G93" s="978">
        <f t="shared" si="35"/>
        <v>0.6070154194952917</v>
      </c>
      <c r="H93" s="1001">
        <f t="shared" si="35"/>
        <v>0.60876865272598946</v>
      </c>
      <c r="I93" s="141"/>
      <c r="J93" s="168"/>
      <c r="K93" s="520"/>
      <c r="L93" s="332"/>
      <c r="M93" s="65"/>
      <c r="N93" s="65"/>
      <c r="O93" s="65"/>
      <c r="P93" s="333"/>
      <c r="R93" s="754" t="s">
        <v>322</v>
      </c>
      <c r="S93" s="754"/>
      <c r="T93" s="754"/>
      <c r="U93" s="754"/>
      <c r="V93" s="754"/>
    </row>
    <row r="94" spans="1:22" outlineLevel="1" x14ac:dyDescent="0.2">
      <c r="B94" s="28" t="s">
        <v>313</v>
      </c>
      <c r="C94" s="978">
        <f t="shared" ref="C94:H94" si="36">C84/C$39</f>
        <v>0.56720007191980937</v>
      </c>
      <c r="D94" s="978">
        <f t="shared" si="36"/>
        <v>0.58205147374913557</v>
      </c>
      <c r="E94" s="978">
        <f t="shared" si="36"/>
        <v>0.56934854066932872</v>
      </c>
      <c r="F94" s="978">
        <f t="shared" si="36"/>
        <v>0.58062249108879715</v>
      </c>
      <c r="G94" s="978">
        <f t="shared" si="36"/>
        <v>0.57581144503557524</v>
      </c>
      <c r="H94" s="1001">
        <f t="shared" si="36"/>
        <v>0.58369753530917357</v>
      </c>
      <c r="I94" s="141"/>
      <c r="J94" s="168"/>
      <c r="K94" s="520"/>
      <c r="L94" s="332"/>
      <c r="M94" s="65"/>
      <c r="N94" s="65"/>
      <c r="O94" s="65"/>
      <c r="P94" s="333"/>
      <c r="R94" s="754"/>
      <c r="S94" s="754"/>
      <c r="T94" s="754"/>
      <c r="U94" s="754"/>
      <c r="V94" s="754"/>
    </row>
    <row r="95" spans="1:22" outlineLevel="1" x14ac:dyDescent="0.2">
      <c r="B95" s="85" t="s">
        <v>314</v>
      </c>
      <c r="C95" s="1002">
        <f t="shared" ref="C95:H95" si="37">C85/C$39</f>
        <v>4.0454892794534094E-3</v>
      </c>
      <c r="D95" s="1002">
        <f t="shared" si="37"/>
        <v>1.3317010261106854E-2</v>
      </c>
      <c r="E95" s="1002">
        <f t="shared" si="37"/>
        <v>1.7361953716164044E-2</v>
      </c>
      <c r="F95" s="1002">
        <f t="shared" si="37"/>
        <v>1.5950209708432191E-2</v>
      </c>
      <c r="G95" s="1002">
        <f t="shared" si="37"/>
        <v>3.1203974459716514E-2</v>
      </c>
      <c r="H95" s="1003">
        <f t="shared" si="37"/>
        <v>2.5071117416815794E-2</v>
      </c>
      <c r="I95" s="337"/>
      <c r="J95" s="338"/>
      <c r="K95" s="521"/>
      <c r="L95" s="332"/>
      <c r="M95" s="65"/>
      <c r="N95" s="65"/>
      <c r="O95" s="65"/>
      <c r="P95" s="333"/>
    </row>
    <row r="96" spans="1:22" outlineLevel="1" x14ac:dyDescent="0.2">
      <c r="B96" s="85"/>
      <c r="C96" s="65"/>
      <c r="D96" s="65"/>
      <c r="E96" s="65"/>
      <c r="F96" s="65"/>
      <c r="G96" s="65"/>
      <c r="H96" s="101"/>
      <c r="I96" s="332"/>
      <c r="J96" s="333"/>
      <c r="K96" s="620"/>
      <c r="L96" s="332"/>
      <c r="M96" s="65"/>
      <c r="N96" s="65"/>
      <c r="O96" s="65"/>
      <c r="P96" s="333"/>
    </row>
    <row r="97" spans="2:16" outlineLevel="1" x14ac:dyDescent="0.2">
      <c r="B97" s="100" t="s">
        <v>323</v>
      </c>
      <c r="C97" s="96"/>
      <c r="D97" s="96"/>
      <c r="E97" s="96"/>
      <c r="F97" s="97"/>
      <c r="G97" s="97"/>
      <c r="H97" s="103"/>
      <c r="I97" s="627"/>
      <c r="J97" s="628"/>
      <c r="K97" s="621"/>
      <c r="L97" s="334"/>
      <c r="M97" s="96"/>
      <c r="N97" s="96"/>
      <c r="O97" s="96"/>
      <c r="P97" s="335"/>
    </row>
    <row r="98" spans="2:16" outlineLevel="1" x14ac:dyDescent="0.2">
      <c r="B98" s="28" t="s">
        <v>311</v>
      </c>
      <c r="C98" s="831">
        <f>33510</f>
        <v>33510</v>
      </c>
      <c r="D98" s="354">
        <v>25418</v>
      </c>
      <c r="E98" s="354">
        <v>43983</v>
      </c>
      <c r="F98" s="354">
        <v>54297</v>
      </c>
      <c r="G98" s="354">
        <v>65866</v>
      </c>
      <c r="H98" s="355">
        <v>74723</v>
      </c>
      <c r="I98" s="270"/>
      <c r="J98" s="161"/>
      <c r="K98" s="453"/>
      <c r="L98" s="332"/>
      <c r="M98" s="65"/>
      <c r="N98" s="65"/>
      <c r="O98" s="65"/>
      <c r="P98" s="333"/>
    </row>
    <row r="99" spans="2:16" outlineLevel="1" x14ac:dyDescent="0.2">
      <c r="B99" s="28" t="s">
        <v>313</v>
      </c>
      <c r="C99" s="831">
        <f>C98-C100</f>
        <v>34150</v>
      </c>
      <c r="D99" s="831">
        <f>D98-D100</f>
        <v>26117</v>
      </c>
      <c r="E99" s="831">
        <f>E98-E100</f>
        <v>45266</v>
      </c>
      <c r="F99" s="354">
        <v>57359</v>
      </c>
      <c r="G99" s="354">
        <v>68008</v>
      </c>
      <c r="H99" s="355">
        <v>76416</v>
      </c>
      <c r="I99" s="270"/>
      <c r="J99" s="161"/>
      <c r="K99" s="453"/>
      <c r="L99" s="332"/>
      <c r="M99" s="65"/>
      <c r="N99" s="65"/>
      <c r="O99" s="65"/>
      <c r="P99" s="333"/>
    </row>
    <row r="100" spans="2:16" outlineLevel="1" x14ac:dyDescent="0.2">
      <c r="B100" s="85" t="s">
        <v>314</v>
      </c>
      <c r="C100" s="513">
        <v>-640</v>
      </c>
      <c r="D100" s="513">
        <v>-699</v>
      </c>
      <c r="E100" s="513">
        <v>-1283</v>
      </c>
      <c r="F100" s="419">
        <f>F98-F99</f>
        <v>-3062</v>
      </c>
      <c r="G100" s="419">
        <f>G98-G99</f>
        <v>-2142</v>
      </c>
      <c r="H100" s="923">
        <f>H98-H99</f>
        <v>-1693</v>
      </c>
      <c r="I100" s="274"/>
      <c r="J100" s="336"/>
      <c r="K100" s="390"/>
      <c r="L100" s="332"/>
      <c r="M100" s="65"/>
      <c r="N100" s="65"/>
      <c r="O100" s="65"/>
      <c r="P100" s="333"/>
    </row>
    <row r="101" spans="2:16" outlineLevel="1" x14ac:dyDescent="0.2">
      <c r="B101" s="85"/>
      <c r="C101" s="51"/>
      <c r="D101" s="51"/>
      <c r="E101" s="51"/>
      <c r="F101" s="51"/>
      <c r="G101" s="51"/>
      <c r="H101" s="52"/>
      <c r="I101" s="603"/>
      <c r="J101" s="591"/>
      <c r="K101" s="622"/>
      <c r="L101" s="332"/>
      <c r="M101" s="65"/>
      <c r="N101" s="65"/>
      <c r="O101" s="65"/>
      <c r="P101" s="333"/>
    </row>
    <row r="102" spans="2:16" outlineLevel="1" x14ac:dyDescent="0.2">
      <c r="B102" s="85" t="s">
        <v>317</v>
      </c>
      <c r="C102" s="51"/>
      <c r="D102" s="51"/>
      <c r="E102" s="51"/>
      <c r="F102" s="51"/>
      <c r="G102" s="51"/>
      <c r="H102" s="52"/>
      <c r="I102" s="603"/>
      <c r="J102" s="591"/>
      <c r="K102" s="622"/>
      <c r="L102" s="332"/>
      <c r="M102" s="65"/>
      <c r="N102" s="65"/>
      <c r="O102" s="65"/>
      <c r="P102" s="333"/>
    </row>
    <row r="103" spans="2:16" outlineLevel="1" x14ac:dyDescent="0.2">
      <c r="B103" s="28" t="s">
        <v>311</v>
      </c>
      <c r="C103" s="51"/>
      <c r="D103" s="978">
        <f t="shared" ref="D103:G104" si="38">D98/C98-1</f>
        <v>-0.24148015517755894</v>
      </c>
      <c r="E103" s="978">
        <f t="shared" si="38"/>
        <v>0.7303879140766385</v>
      </c>
      <c r="F103" s="978">
        <f t="shared" si="38"/>
        <v>0.23449969306322904</v>
      </c>
      <c r="G103" s="978">
        <f t="shared" si="38"/>
        <v>0.21306886199974207</v>
      </c>
      <c r="H103" s="1001">
        <f>H98/G98-1</f>
        <v>0.13446998451401337</v>
      </c>
      <c r="I103" s="141"/>
      <c r="J103" s="168"/>
      <c r="K103" s="520"/>
      <c r="L103" s="332"/>
      <c r="M103" s="65"/>
      <c r="N103" s="65"/>
      <c r="O103" s="65"/>
      <c r="P103" s="333"/>
    </row>
    <row r="104" spans="2:16" outlineLevel="1" x14ac:dyDescent="0.2">
      <c r="B104" s="28" t="s">
        <v>313</v>
      </c>
      <c r="C104" s="51"/>
      <c r="D104" s="978">
        <f t="shared" si="38"/>
        <v>-0.23522693997071742</v>
      </c>
      <c r="E104" s="978">
        <f t="shared" si="38"/>
        <v>0.73320059731209564</v>
      </c>
      <c r="F104" s="978">
        <f t="shared" si="38"/>
        <v>0.26715415543675158</v>
      </c>
      <c r="G104" s="978">
        <f t="shared" si="38"/>
        <v>0.18565525898289725</v>
      </c>
      <c r="H104" s="1001">
        <f>H99/G99-1</f>
        <v>0.12363251382190321</v>
      </c>
      <c r="I104" s="141"/>
      <c r="J104" s="168"/>
      <c r="K104" s="520"/>
      <c r="L104" s="332"/>
      <c r="M104" s="65"/>
      <c r="N104" s="65"/>
      <c r="O104" s="65"/>
      <c r="P104" s="333"/>
    </row>
    <row r="105" spans="2:16" outlineLevel="1" x14ac:dyDescent="0.2">
      <c r="B105" s="85" t="s">
        <v>314</v>
      </c>
      <c r="C105" s="51"/>
      <c r="D105" s="1002">
        <f>-(D100/C100)+1</f>
        <v>-9.2187500000000089E-2</v>
      </c>
      <c r="E105" s="1002">
        <f>-(E100/D100)+1</f>
        <v>-0.83547925608011453</v>
      </c>
      <c r="F105" s="1002">
        <f>-(F100/E100)+1</f>
        <v>-1.3865939204988309</v>
      </c>
      <c r="G105" s="1002">
        <f>-(G100/F100)+1</f>
        <v>0.30045721750489873</v>
      </c>
      <c r="H105" s="1003">
        <f>-(H100/G100)+1</f>
        <v>0.20961718020541553</v>
      </c>
      <c r="I105" s="337"/>
      <c r="J105" s="338"/>
      <c r="K105" s="521"/>
      <c r="L105" s="332"/>
      <c r="M105" s="65"/>
      <c r="N105" s="65"/>
      <c r="O105" s="65"/>
      <c r="P105" s="333"/>
    </row>
    <row r="106" spans="2:16" outlineLevel="1" x14ac:dyDescent="0.2">
      <c r="B106" s="85"/>
      <c r="C106" s="51"/>
      <c r="D106" s="51"/>
      <c r="E106" s="51"/>
      <c r="F106" s="51"/>
      <c r="G106" s="51"/>
      <c r="H106" s="52"/>
      <c r="I106" s="603"/>
      <c r="J106" s="591"/>
      <c r="K106" s="622"/>
      <c r="L106" s="332"/>
      <c r="M106" s="65"/>
      <c r="N106" s="65"/>
      <c r="O106" s="65"/>
      <c r="P106" s="333"/>
    </row>
    <row r="107" spans="2:16" outlineLevel="1" x14ac:dyDescent="0.2">
      <c r="B107" s="85" t="s">
        <v>306</v>
      </c>
      <c r="C107" s="51"/>
      <c r="D107" s="51"/>
      <c r="E107" s="51"/>
      <c r="F107" s="51"/>
      <c r="G107" s="51"/>
      <c r="H107" s="52"/>
      <c r="I107" s="603"/>
      <c r="J107" s="591"/>
      <c r="K107" s="622"/>
      <c r="L107" s="332"/>
      <c r="M107" s="65"/>
      <c r="N107" s="65"/>
      <c r="O107" s="65"/>
      <c r="P107" s="333"/>
    </row>
    <row r="108" spans="2:16" outlineLevel="1" x14ac:dyDescent="0.2">
      <c r="B108" s="28" t="s">
        <v>311</v>
      </c>
      <c r="C108" s="978">
        <f t="shared" ref="C108:H108" si="39">C98/C$39</f>
        <v>0.37656762709578817</v>
      </c>
      <c r="D108" s="978">
        <f t="shared" si="39"/>
        <v>0.23753808197671158</v>
      </c>
      <c r="E108" s="978">
        <f t="shared" si="39"/>
        <v>0.32343532837697719</v>
      </c>
      <c r="F108" s="978">
        <f t="shared" si="39"/>
        <v>0.30526913519166116</v>
      </c>
      <c r="G108" s="978">
        <f t="shared" si="39"/>
        <v>0.28282385878129734</v>
      </c>
      <c r="H108" s="1001">
        <f t="shared" si="39"/>
        <v>0.26637126499882363</v>
      </c>
      <c r="I108" s="141"/>
      <c r="J108" s="168"/>
      <c r="K108" s="520"/>
      <c r="L108" s="332"/>
      <c r="M108" s="65"/>
      <c r="N108" s="65"/>
      <c r="O108" s="65"/>
      <c r="P108" s="333"/>
    </row>
    <row r="109" spans="2:16" outlineLevel="1" x14ac:dyDescent="0.2">
      <c r="B109" s="28" t="s">
        <v>313</v>
      </c>
      <c r="C109" s="978">
        <f t="shared" ref="C109:H109" si="40">C99/C$39</f>
        <v>0.38375960803703868</v>
      </c>
      <c r="D109" s="978">
        <f t="shared" si="40"/>
        <v>0.24407042595742295</v>
      </c>
      <c r="E109" s="978">
        <f t="shared" si="40"/>
        <v>0.33287005375513834</v>
      </c>
      <c r="F109" s="978">
        <f t="shared" si="40"/>
        <v>0.32248434214521043</v>
      </c>
      <c r="G109" s="978">
        <f t="shared" si="40"/>
        <v>0.29202145246407057</v>
      </c>
      <c r="H109" s="1001">
        <f t="shared" si="40"/>
        <v>0.27240644227547217</v>
      </c>
      <c r="I109" s="141"/>
      <c r="J109" s="168"/>
      <c r="K109" s="520"/>
      <c r="L109" s="332"/>
      <c r="M109" s="65"/>
      <c r="N109" s="65"/>
      <c r="O109" s="65"/>
      <c r="P109" s="333"/>
    </row>
    <row r="110" spans="2:16" outlineLevel="1" x14ac:dyDescent="0.2">
      <c r="B110" s="85" t="s">
        <v>314</v>
      </c>
      <c r="C110" s="1002">
        <f t="shared" ref="C110:H110" si="41">C100/C$39</f>
        <v>-7.1919809412505061E-3</v>
      </c>
      <c r="D110" s="1002">
        <f t="shared" si="41"/>
        <v>-6.5323439807113623E-3</v>
      </c>
      <c r="E110" s="1002">
        <f t="shared" si="41"/>
        <v>-9.4347253781611479E-3</v>
      </c>
      <c r="F110" s="1002">
        <f t="shared" si="41"/>
        <v>-1.7215206953549302E-2</v>
      </c>
      <c r="G110" s="1002">
        <f t="shared" si="41"/>
        <v>-9.1975936827731909E-3</v>
      </c>
      <c r="H110" s="1003">
        <f t="shared" si="41"/>
        <v>-6.035177276648534E-3</v>
      </c>
      <c r="I110" s="337"/>
      <c r="J110" s="338"/>
      <c r="K110" s="521"/>
      <c r="L110" s="332"/>
      <c r="M110" s="65"/>
      <c r="N110" s="65"/>
      <c r="O110" s="65"/>
      <c r="P110" s="333"/>
    </row>
    <row r="111" spans="2:16" outlineLevel="1" x14ac:dyDescent="0.2">
      <c r="B111" s="85"/>
      <c r="C111" s="51"/>
      <c r="D111" s="51"/>
      <c r="E111" s="51"/>
      <c r="F111" s="51"/>
      <c r="G111" s="51"/>
      <c r="H111" s="52"/>
      <c r="I111" s="603"/>
      <c r="J111" s="591"/>
      <c r="K111" s="622"/>
      <c r="L111" s="332"/>
      <c r="M111" s="65"/>
      <c r="N111" s="65"/>
      <c r="O111" s="65"/>
      <c r="P111" s="333"/>
    </row>
    <row r="112" spans="2:16" outlineLevel="1" x14ac:dyDescent="0.2">
      <c r="B112" s="100" t="s">
        <v>51</v>
      </c>
      <c r="C112" s="98"/>
      <c r="D112" s="98"/>
      <c r="E112" s="98"/>
      <c r="F112" s="98"/>
      <c r="G112" s="98"/>
      <c r="H112" s="104"/>
      <c r="I112" s="629"/>
      <c r="J112" s="630"/>
      <c r="K112" s="623"/>
      <c r="L112" s="334"/>
      <c r="M112" s="96"/>
      <c r="N112" s="96"/>
      <c r="O112" s="96"/>
      <c r="P112" s="335"/>
    </row>
    <row r="113" spans="1:23" outlineLevel="1" x14ac:dyDescent="0.2">
      <c r="B113" s="28" t="s">
        <v>311</v>
      </c>
      <c r="C113" s="354">
        <v>4644</v>
      </c>
      <c r="D113" s="354">
        <v>7880</v>
      </c>
      <c r="E113" s="354">
        <v>12219</v>
      </c>
      <c r="F113" s="354">
        <v>17459</v>
      </c>
      <c r="G113" s="354">
        <v>25655</v>
      </c>
      <c r="H113" s="355">
        <v>35026</v>
      </c>
      <c r="I113" s="379">
        <v>16076</v>
      </c>
      <c r="J113" s="370">
        <v>21027</v>
      </c>
      <c r="K113" s="1004">
        <f>H113+J113-I113</f>
        <v>39977</v>
      </c>
      <c r="L113" s="832">
        <f t="shared" ref="L113:P114" ca="1" si="42">L23</f>
        <v>43544.122358541463</v>
      </c>
      <c r="M113" s="831">
        <f t="shared" ca="1" si="42"/>
        <v>54133.803231189129</v>
      </c>
      <c r="N113" s="831">
        <f t="shared" ca="1" si="42"/>
        <v>67298.833770116675</v>
      </c>
      <c r="O113" s="831">
        <f t="shared" ca="1" si="42"/>
        <v>83665.524246933783</v>
      </c>
      <c r="P113" s="833">
        <f t="shared" ca="1" si="42"/>
        <v>104012.5</v>
      </c>
    </row>
    <row r="114" spans="1:23" outlineLevel="1" x14ac:dyDescent="0.2">
      <c r="B114" s="28" t="s">
        <v>313</v>
      </c>
      <c r="C114" s="831">
        <f>C113-C115</f>
        <v>4186</v>
      </c>
      <c r="D114" s="831">
        <f>D113-D115</f>
        <v>6373</v>
      </c>
      <c r="E114" s="831">
        <f>E113-E115</f>
        <v>9111</v>
      </c>
      <c r="F114" s="354">
        <v>13128</v>
      </c>
      <c r="G114" s="354">
        <v>18359</v>
      </c>
      <c r="H114" s="355">
        <v>25825</v>
      </c>
      <c r="I114" s="379">
        <v>11733</v>
      </c>
      <c r="J114" s="370">
        <v>14595</v>
      </c>
      <c r="K114" s="1004">
        <f>H114+J114-I114</f>
        <v>28687</v>
      </c>
      <c r="L114" s="832">
        <f t="shared" ca="1" si="42"/>
        <v>31751.726211352678</v>
      </c>
      <c r="M114" s="831">
        <f t="shared" ca="1" si="42"/>
        <v>37677.127048907634</v>
      </c>
      <c r="N114" s="831">
        <f t="shared" ca="1" si="42"/>
        <v>45157.517459748291</v>
      </c>
      <c r="O114" s="831">
        <f t="shared" ca="1" si="42"/>
        <v>54047.928663519218</v>
      </c>
      <c r="P114" s="833">
        <f t="shared" ca="1" si="42"/>
        <v>64591.762499999997</v>
      </c>
    </row>
    <row r="115" spans="1:23" outlineLevel="1" x14ac:dyDescent="0.2">
      <c r="B115" s="85" t="s">
        <v>314</v>
      </c>
      <c r="C115" s="513">
        <v>458</v>
      </c>
      <c r="D115" s="513">
        <v>1507</v>
      </c>
      <c r="E115" s="513">
        <v>3108</v>
      </c>
      <c r="F115" s="419">
        <f t="shared" ref="F115:P115" si="43">F113-F114</f>
        <v>4331</v>
      </c>
      <c r="G115" s="419">
        <f t="shared" si="43"/>
        <v>7296</v>
      </c>
      <c r="H115" s="923">
        <f t="shared" si="43"/>
        <v>9201</v>
      </c>
      <c r="I115" s="834">
        <f>I113-I114</f>
        <v>4343</v>
      </c>
      <c r="J115" s="835">
        <f>J113-J114</f>
        <v>6432</v>
      </c>
      <c r="K115" s="1005">
        <f>K113-K114</f>
        <v>11290</v>
      </c>
      <c r="L115" s="834">
        <f t="shared" ca="1" si="43"/>
        <v>11792.396147188785</v>
      </c>
      <c r="M115" s="419">
        <f t="shared" ca="1" si="43"/>
        <v>16456.676182281495</v>
      </c>
      <c r="N115" s="419">
        <f t="shared" ca="1" si="43"/>
        <v>22141.316310368384</v>
      </c>
      <c r="O115" s="419">
        <f t="shared" ca="1" si="43"/>
        <v>29617.595583414564</v>
      </c>
      <c r="P115" s="835">
        <f t="shared" ca="1" si="43"/>
        <v>39420.737500000003</v>
      </c>
    </row>
    <row r="116" spans="1:23" outlineLevel="1" x14ac:dyDescent="0.2">
      <c r="B116" s="85"/>
      <c r="C116" s="86"/>
      <c r="D116" s="86"/>
      <c r="E116" s="86"/>
      <c r="F116" s="86"/>
      <c r="G116" s="86"/>
      <c r="H116" s="87"/>
      <c r="I116" s="631"/>
      <c r="J116" s="632"/>
      <c r="K116" s="624"/>
      <c r="L116" s="332"/>
      <c r="M116" s="65"/>
      <c r="N116" s="65"/>
      <c r="O116" s="65"/>
      <c r="P116" s="333"/>
    </row>
    <row r="117" spans="1:23" outlineLevel="1" x14ac:dyDescent="0.2">
      <c r="B117" s="85" t="s">
        <v>317</v>
      </c>
      <c r="C117" s="65"/>
      <c r="D117" s="65"/>
      <c r="E117" s="65"/>
      <c r="F117" s="65"/>
      <c r="G117" s="65"/>
      <c r="H117" s="101"/>
      <c r="I117" s="332"/>
      <c r="J117" s="333"/>
      <c r="K117" s="620"/>
      <c r="L117" s="332"/>
      <c r="M117" s="65"/>
      <c r="N117" s="65"/>
      <c r="O117" s="65"/>
      <c r="P117" s="333"/>
    </row>
    <row r="118" spans="1:23" outlineLevel="1" x14ac:dyDescent="0.2">
      <c r="B118" s="28" t="s">
        <v>311</v>
      </c>
      <c r="C118" s="30"/>
      <c r="D118" s="978">
        <f t="shared" ref="D118:G120" si="44">D113/C113-1</f>
        <v>0.69681309216192933</v>
      </c>
      <c r="E118" s="978">
        <f t="shared" si="44"/>
        <v>0.55063451776649752</v>
      </c>
      <c r="F118" s="978">
        <f t="shared" si="44"/>
        <v>0.42884033063262139</v>
      </c>
      <c r="G118" s="978">
        <f t="shared" si="44"/>
        <v>0.46944269431238905</v>
      </c>
      <c r="H118" s="1001">
        <f>H113/G113-1</f>
        <v>0.36526992788930035</v>
      </c>
      <c r="I118" s="141"/>
      <c r="J118" s="168"/>
      <c r="K118" s="520"/>
      <c r="L118" s="979">
        <f ca="1">L113/H113-1</f>
        <v>0.24319426593220639</v>
      </c>
      <c r="M118" s="978">
        <f t="shared" ref="M118:P120" ca="1" si="45">M113/L113-1</f>
        <v>0.24319426593220639</v>
      </c>
      <c r="N118" s="978">
        <f t="shared" ca="1" si="45"/>
        <v>0.24319426593220639</v>
      </c>
      <c r="O118" s="978">
        <f t="shared" ca="1" si="45"/>
        <v>0.24319426593220639</v>
      </c>
      <c r="P118" s="980">
        <f t="shared" ca="1" si="45"/>
        <v>0.24319426593220572</v>
      </c>
    </row>
    <row r="119" spans="1:23" outlineLevel="1" x14ac:dyDescent="0.2">
      <c r="B119" s="28" t="s">
        <v>313</v>
      </c>
      <c r="C119" s="30"/>
      <c r="D119" s="978">
        <f t="shared" si="44"/>
        <v>0.52245580506450073</v>
      </c>
      <c r="E119" s="978">
        <f t="shared" si="44"/>
        <v>0.4296249803860035</v>
      </c>
      <c r="F119" s="978">
        <f t="shared" si="44"/>
        <v>0.44089562067830101</v>
      </c>
      <c r="G119" s="978">
        <f t="shared" si="44"/>
        <v>0.39846130408287639</v>
      </c>
      <c r="H119" s="1001">
        <f>H114/G114-1</f>
        <v>0.40666702979465108</v>
      </c>
      <c r="I119" s="141"/>
      <c r="J119" s="168"/>
      <c r="K119" s="520"/>
      <c r="L119" s="979">
        <f ca="1">L114/H114-1</f>
        <v>0.22949569066225273</v>
      </c>
      <c r="M119" s="978">
        <f t="shared" ca="1" si="45"/>
        <v>0.1866166518983261</v>
      </c>
      <c r="N119" s="978">
        <f t="shared" ca="1" si="45"/>
        <v>0.19853929948349225</v>
      </c>
      <c r="O119" s="978">
        <f t="shared" ca="1" si="45"/>
        <v>0.19687555259643097</v>
      </c>
      <c r="P119" s="980">
        <f t="shared" ca="1" si="45"/>
        <v>0.1950830327304951</v>
      </c>
    </row>
    <row r="120" spans="1:23" outlineLevel="1" x14ac:dyDescent="0.2">
      <c r="B120" s="85" t="s">
        <v>314</v>
      </c>
      <c r="C120" s="38"/>
      <c r="D120" s="1002">
        <f t="shared" si="44"/>
        <v>2.2903930131004366</v>
      </c>
      <c r="E120" s="1002">
        <f t="shared" si="44"/>
        <v>1.0623755806237556</v>
      </c>
      <c r="F120" s="1002">
        <f t="shared" si="44"/>
        <v>0.3935006435006434</v>
      </c>
      <c r="G120" s="1002">
        <f t="shared" si="44"/>
        <v>0.68459939967674899</v>
      </c>
      <c r="H120" s="1003">
        <f>H115/G115-1</f>
        <v>0.26110197368421062</v>
      </c>
      <c r="I120" s="337"/>
      <c r="J120" s="338"/>
      <c r="K120" s="521"/>
      <c r="L120" s="1006">
        <f ca="1">L115/H115-1</f>
        <v>0.28164288090303069</v>
      </c>
      <c r="M120" s="1002">
        <f t="shared" ca="1" si="45"/>
        <v>0.39553284819087753</v>
      </c>
      <c r="N120" s="1002">
        <f t="shared" ca="1" si="45"/>
        <v>0.34543063648584171</v>
      </c>
      <c r="O120" s="1002">
        <f t="shared" ca="1" si="45"/>
        <v>0.33766191531915246</v>
      </c>
      <c r="P120" s="1007">
        <f t="shared" ca="1" si="45"/>
        <v>0.33099047115340641</v>
      </c>
    </row>
    <row r="121" spans="1:23" outlineLevel="1" x14ac:dyDescent="0.2">
      <c r="B121" s="85"/>
      <c r="C121" s="30"/>
      <c r="D121" s="30"/>
      <c r="E121" s="30"/>
      <c r="F121" s="30"/>
      <c r="G121" s="30"/>
      <c r="H121" s="31"/>
      <c r="I121" s="141"/>
      <c r="J121" s="168"/>
      <c r="K121" s="520"/>
      <c r="L121" s="332"/>
      <c r="M121" s="65"/>
      <c r="N121" s="65"/>
      <c r="O121" s="65"/>
      <c r="P121" s="333"/>
    </row>
    <row r="122" spans="1:23" outlineLevel="1" x14ac:dyDescent="0.2">
      <c r="B122" s="85" t="s">
        <v>306</v>
      </c>
      <c r="C122" s="30"/>
      <c r="D122" s="30"/>
      <c r="E122" s="30"/>
      <c r="F122" s="30"/>
      <c r="G122" s="30"/>
      <c r="H122" s="31"/>
      <c r="I122" s="141"/>
      <c r="J122" s="168"/>
      <c r="K122" s="520"/>
      <c r="L122" s="130"/>
      <c r="M122" s="65"/>
      <c r="N122" s="65"/>
      <c r="O122" s="65"/>
      <c r="P122" s="333"/>
    </row>
    <row r="123" spans="1:23" outlineLevel="1" x14ac:dyDescent="0.2">
      <c r="B123" s="28" t="s">
        <v>311</v>
      </c>
      <c r="C123" s="978">
        <f t="shared" ref="C123:H123" si="46">C113/C$39</f>
        <v>5.2186811704948981E-2</v>
      </c>
      <c r="D123" s="978">
        <f t="shared" si="46"/>
        <v>7.3640730426331236E-2</v>
      </c>
      <c r="E123" s="978">
        <f t="shared" si="46"/>
        <v>8.9854177237530058E-2</v>
      </c>
      <c r="F123" s="978">
        <f t="shared" si="46"/>
        <v>9.8158164011109481E-2</v>
      </c>
      <c r="G123" s="978">
        <f t="shared" si="46"/>
        <v>0.11016072172341093</v>
      </c>
      <c r="H123" s="1001">
        <f t="shared" si="46"/>
        <v>0.12486008227518697</v>
      </c>
      <c r="I123" s="979">
        <f t="shared" ref="I123:K125" si="47">I113/I$39</f>
        <v>0.1305887704704965</v>
      </c>
      <c r="J123" s="980">
        <f t="shared" si="47"/>
        <v>0.12792947360735926</v>
      </c>
      <c r="K123" s="1008">
        <f t="shared" si="47"/>
        <v>0.12423628419240355</v>
      </c>
      <c r="L123" s="979">
        <f t="shared" ref="L123:P125" ca="1" si="48">L113/L$39</f>
        <v>0.12137947384738795</v>
      </c>
      <c r="M123" s="978">
        <f t="shared" ca="1" si="48"/>
        <v>0.12681342102279247</v>
      </c>
      <c r="N123" s="978">
        <f t="shared" ca="1" si="48"/>
        <v>0.13622023985643175</v>
      </c>
      <c r="O123" s="978">
        <f t="shared" ca="1" si="48"/>
        <v>0.15370058279449542</v>
      </c>
      <c r="P123" s="980">
        <f t="shared" ca="1" si="48"/>
        <v>0.17982435645196532</v>
      </c>
      <c r="Q123" s="30"/>
    </row>
    <row r="124" spans="1:23" outlineLevel="1" x14ac:dyDescent="0.2">
      <c r="B124" s="28" t="s">
        <v>313</v>
      </c>
      <c r="C124" s="978">
        <f t="shared" ref="C124:H124" si="49">C114/C$39</f>
        <v>4.7040050343866588E-2</v>
      </c>
      <c r="D124" s="978">
        <f t="shared" si="49"/>
        <v>5.955740799581332E-2</v>
      </c>
      <c r="E124" s="978">
        <f t="shared" si="49"/>
        <v>6.6999051379911315E-2</v>
      </c>
      <c r="F124" s="978">
        <f t="shared" si="49"/>
        <v>7.3808372595099675E-2</v>
      </c>
      <c r="G124" s="978">
        <f t="shared" si="49"/>
        <v>7.8832223352956587E-2</v>
      </c>
      <c r="H124" s="1001">
        <f t="shared" si="49"/>
        <v>9.2060515752775185E-2</v>
      </c>
      <c r="I124" s="979">
        <f t="shared" si="47"/>
        <v>9.5309656875487397E-2</v>
      </c>
      <c r="J124" s="980">
        <f t="shared" si="47"/>
        <v>8.8796816821201718E-2</v>
      </c>
      <c r="K124" s="1008">
        <f t="shared" si="47"/>
        <v>8.9150418606385687E-2</v>
      </c>
      <c r="L124" s="979">
        <f t="shared" ca="1" si="48"/>
        <v>8.8508106548720378E-2</v>
      </c>
      <c r="M124" s="978">
        <f t="shared" ca="1" si="48"/>
        <v>8.826214103186357E-2</v>
      </c>
      <c r="N124" s="978">
        <f t="shared" ca="1" si="48"/>
        <v>9.1403780943665719E-2</v>
      </c>
      <c r="O124" s="978">
        <f t="shared" ca="1" si="48"/>
        <v>9.9290576485244017E-2</v>
      </c>
      <c r="P124" s="980">
        <f t="shared" ca="1" si="48"/>
        <v>0.11167092535667046</v>
      </c>
      <c r="Q124" s="723"/>
      <c r="R124" s="720"/>
      <c r="S124" s="720"/>
      <c r="T124" s="720"/>
      <c r="U124" s="720"/>
      <c r="V124" s="720"/>
      <c r="W124" s="720"/>
    </row>
    <row r="125" spans="1:23" outlineLevel="1" x14ac:dyDescent="0.2">
      <c r="A125" s="720" t="s">
        <v>127</v>
      </c>
      <c r="B125" s="88" t="s">
        <v>314</v>
      </c>
      <c r="C125" s="1009">
        <f t="shared" ref="C125:H125" si="50">C115/C$39</f>
        <v>5.1467613610823928E-3</v>
      </c>
      <c r="D125" s="1009">
        <f t="shared" si="50"/>
        <v>1.4083322430517915E-2</v>
      </c>
      <c r="E125" s="1009">
        <f t="shared" si="50"/>
        <v>2.2855125857618744E-2</v>
      </c>
      <c r="F125" s="1009">
        <f t="shared" si="50"/>
        <v>2.4349791416009806E-2</v>
      </c>
      <c r="G125" s="1009">
        <f t="shared" si="50"/>
        <v>3.1328498370454337E-2</v>
      </c>
      <c r="H125" s="1010">
        <f t="shared" si="50"/>
        <v>3.279956652241179E-2</v>
      </c>
      <c r="I125" s="1011">
        <f t="shared" si="47"/>
        <v>3.5279113595009098E-2</v>
      </c>
      <c r="J125" s="1012">
        <f t="shared" si="47"/>
        <v>3.9132656786157551E-2</v>
      </c>
      <c r="K125" s="1013">
        <f t="shared" si="47"/>
        <v>3.508586558601786E-2</v>
      </c>
      <c r="L125" s="1011">
        <f t="shared" ca="1" si="48"/>
        <v>3.2871367298667582E-2</v>
      </c>
      <c r="M125" s="1014">
        <f t="shared" ca="1" si="48"/>
        <v>3.8551279990928909E-2</v>
      </c>
      <c r="N125" s="1014">
        <f t="shared" ca="1" si="48"/>
        <v>4.4816458912766047E-2</v>
      </c>
      <c r="O125" s="1014">
        <f t="shared" ca="1" si="48"/>
        <v>5.4410006309251385E-2</v>
      </c>
      <c r="P125" s="1012">
        <f t="shared" ca="1" si="48"/>
        <v>6.815343109529487E-2</v>
      </c>
      <c r="Q125" s="724"/>
      <c r="R125" s="720"/>
      <c r="S125" s="720"/>
      <c r="T125" s="720"/>
      <c r="U125" s="720"/>
      <c r="V125" s="720"/>
      <c r="W125" s="720"/>
    </row>
    <row r="126" spans="1:23" x14ac:dyDescent="0.2"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720"/>
      <c r="R126" s="720"/>
      <c r="S126" s="720"/>
      <c r="T126" s="720"/>
      <c r="U126" s="720"/>
      <c r="V126" s="720"/>
      <c r="W126" s="720"/>
    </row>
    <row r="127" spans="1:23" outlineLevel="1" x14ac:dyDescent="0.2">
      <c r="A127" s="720" t="s">
        <v>609</v>
      </c>
      <c r="B127" s="342" t="s">
        <v>324</v>
      </c>
      <c r="C127" s="136">
        <v>2014</v>
      </c>
      <c r="D127" s="284">
        <f>D$32</f>
        <v>2015</v>
      </c>
      <c r="E127" s="136">
        <f>E$32</f>
        <v>2016</v>
      </c>
      <c r="F127" s="136">
        <f>F$32</f>
        <v>2017</v>
      </c>
      <c r="G127" s="136">
        <f>G$32</f>
        <v>2018</v>
      </c>
      <c r="H127" s="137">
        <f>H$32</f>
        <v>2019</v>
      </c>
      <c r="I127" s="327" t="str">
        <f>$I$3</f>
        <v xml:space="preserve">Q2 2019 </v>
      </c>
      <c r="J127" s="329" t="str">
        <f>$J$3</f>
        <v>Q2 2020</v>
      </c>
      <c r="K127" s="329" t="str">
        <f>$K$3</f>
        <v xml:space="preserve">LTM </v>
      </c>
      <c r="L127" s="341">
        <v>2020</v>
      </c>
      <c r="M127" s="136">
        <v>2021</v>
      </c>
      <c r="N127" s="136">
        <v>2022</v>
      </c>
      <c r="O127" s="136">
        <v>2023</v>
      </c>
      <c r="P127" s="137">
        <v>2024</v>
      </c>
      <c r="Q127" s="720"/>
      <c r="R127" s="720"/>
      <c r="S127" s="720"/>
      <c r="T127" s="720"/>
      <c r="U127" s="720"/>
      <c r="V127" s="720"/>
      <c r="W127" s="720"/>
    </row>
    <row r="128" spans="1:23" outlineLevel="1" x14ac:dyDescent="0.2">
      <c r="B128" s="85" t="s">
        <v>325</v>
      </c>
      <c r="C128" s="1015">
        <v>62752</v>
      </c>
      <c r="D128" s="1015">
        <v>71651</v>
      </c>
      <c r="E128" s="1015">
        <v>88265</v>
      </c>
      <c r="F128" s="1015">
        <v>111934</v>
      </c>
      <c r="G128" s="1015">
        <v>139156</v>
      </c>
      <c r="H128" s="948">
        <v>165536</v>
      </c>
      <c r="I128" s="1016">
        <v>70257</v>
      </c>
      <c r="J128" s="1017">
        <v>96917</v>
      </c>
      <c r="K128" s="958">
        <f>H128+J128-I128</f>
        <v>192196</v>
      </c>
      <c r="L128" s="1022">
        <f ca="1">L6+L15</f>
        <v>210230.21643198063</v>
      </c>
      <c r="M128" s="1023">
        <f ca="1">M6+M15</f>
        <v>243107.72329367479</v>
      </c>
      <c r="N128" s="1023">
        <f ca="1">N6+N15</f>
        <v>270344.36401115893</v>
      </c>
      <c r="O128" s="1023">
        <f ca="1">O6+O15</f>
        <v>283679.30327915866</v>
      </c>
      <c r="P128" s="1024">
        <f ca="1">P6+P15</f>
        <v>283600.956951803</v>
      </c>
      <c r="Q128" s="720"/>
      <c r="R128" s="720" t="s">
        <v>326</v>
      </c>
      <c r="S128" s="720" t="s">
        <v>327</v>
      </c>
      <c r="T128" s="720"/>
      <c r="U128" s="720"/>
      <c r="V128" s="720"/>
      <c r="W128" s="720"/>
    </row>
    <row r="129" spans="1:23" outlineLevel="1" x14ac:dyDescent="0.2">
      <c r="B129" s="85" t="s">
        <v>328</v>
      </c>
      <c r="C129" s="37"/>
      <c r="D129" s="37"/>
      <c r="E129" s="37"/>
      <c r="F129" s="37"/>
      <c r="G129" s="37"/>
      <c r="H129" s="160"/>
      <c r="I129" s="598"/>
      <c r="J129" s="160"/>
      <c r="K129" s="269"/>
      <c r="L129" s="130"/>
      <c r="P129" s="131"/>
      <c r="Q129" s="720"/>
      <c r="R129" s="720"/>
      <c r="S129" s="720" t="s">
        <v>329</v>
      </c>
      <c r="T129" s="720"/>
      <c r="U129" s="720"/>
      <c r="V129" s="720"/>
      <c r="W129" s="720"/>
    </row>
    <row r="130" spans="1:23" outlineLevel="1" x14ac:dyDescent="0.2">
      <c r="B130" s="28" t="s">
        <v>330</v>
      </c>
      <c r="C130" s="354">
        <v>8709</v>
      </c>
      <c r="D130" s="354">
        <v>11539</v>
      </c>
      <c r="E130" s="354">
        <v>16167</v>
      </c>
      <c r="F130" s="354">
        <v>21700</v>
      </c>
      <c r="G130" s="354">
        <v>27700</v>
      </c>
      <c r="H130" s="370">
        <v>37900</v>
      </c>
      <c r="I130" s="832">
        <f>7320+8134</f>
        <v>15454</v>
      </c>
      <c r="J130" s="833">
        <f>10936+13652</f>
        <v>24588</v>
      </c>
      <c r="K130" s="1025">
        <f>J130+H130-I130</f>
        <v>47034</v>
      </c>
      <c r="L130" s="837">
        <f ca="1">Prime!I13</f>
        <v>48966.261749999991</v>
      </c>
      <c r="M130" s="836">
        <f ca="1">Prime!J13</f>
        <v>55718.409451885702</v>
      </c>
      <c r="N130" s="836">
        <f ca="1">Prime!K13</f>
        <v>59360.164693660954</v>
      </c>
      <c r="O130" s="836">
        <f ca="1">Prime!L13</f>
        <v>59642.201869906923</v>
      </c>
      <c r="P130" s="838">
        <f ca="1">Prime!M13</f>
        <v>56480.859331012674</v>
      </c>
      <c r="Q130" s="720"/>
      <c r="R130" s="720"/>
      <c r="S130" s="720" t="s">
        <v>331</v>
      </c>
      <c r="T130" s="720"/>
      <c r="U130" s="720"/>
      <c r="V130" s="720"/>
      <c r="W130" s="720"/>
    </row>
    <row r="131" spans="1:23" outlineLevel="1" x14ac:dyDescent="0.2">
      <c r="B131" s="28" t="s">
        <v>332</v>
      </c>
      <c r="C131" s="115"/>
      <c r="D131" s="115"/>
      <c r="E131" s="115"/>
      <c r="F131" s="115"/>
      <c r="G131" s="354">
        <v>6700</v>
      </c>
      <c r="H131" s="370">
        <v>7800</v>
      </c>
      <c r="I131" s="832">
        <f>I182</f>
        <v>3500</v>
      </c>
      <c r="J131" s="833">
        <f>J182</f>
        <v>5200</v>
      </c>
      <c r="K131" s="1025">
        <f>J131+H131-I131</f>
        <v>9500</v>
      </c>
      <c r="L131" s="837">
        <f ca="1">Prime!I14</f>
        <v>9993.1146428571428</v>
      </c>
      <c r="M131" s="836">
        <f ca="1">Prime!J14</f>
        <v>11608.001969142855</v>
      </c>
      <c r="N131" s="836">
        <f ca="1">Prime!K14</f>
        <v>12904.383629056729</v>
      </c>
      <c r="O131" s="836">
        <f ca="1">Prime!L14</f>
        <v>13555.045879524301</v>
      </c>
      <c r="P131" s="838">
        <f ca="1">Prime!M14</f>
        <v>13447.823650241115</v>
      </c>
      <c r="Q131" s="720"/>
      <c r="R131" s="720"/>
      <c r="S131" s="720"/>
      <c r="T131" s="720"/>
      <c r="U131" s="720"/>
      <c r="V131" s="720"/>
      <c r="W131" s="720"/>
    </row>
    <row r="132" spans="1:23" outlineLevel="1" x14ac:dyDescent="0.2">
      <c r="B132" s="28" t="s">
        <v>333</v>
      </c>
      <c r="C132" s="831">
        <f t="shared" ref="C132:H132" si="51">C128-C130-C131</f>
        <v>54043</v>
      </c>
      <c r="D132" s="831">
        <f t="shared" si="51"/>
        <v>60112</v>
      </c>
      <c r="E132" s="831">
        <f t="shared" si="51"/>
        <v>72098</v>
      </c>
      <c r="F132" s="831">
        <f t="shared" si="51"/>
        <v>90234</v>
      </c>
      <c r="G132" s="831">
        <f t="shared" si="51"/>
        <v>104756</v>
      </c>
      <c r="H132" s="833">
        <f t="shared" si="51"/>
        <v>119836</v>
      </c>
      <c r="I132" s="832">
        <f>I183+I184</f>
        <v>51257</v>
      </c>
      <c r="J132" s="833">
        <f>J183+J184</f>
        <v>67117</v>
      </c>
      <c r="K132" s="1025">
        <f>J132+H132-I132</f>
        <v>135696</v>
      </c>
      <c r="L132" s="837">
        <f ca="1">Prime!I15+Retail!I10+Retail!I20</f>
        <v>151270.84003912349</v>
      </c>
      <c r="M132" s="836">
        <f ca="1">Prime!J15+Retail!J10+Retail!J20</f>
        <v>175781.31187264624</v>
      </c>
      <c r="N132" s="836">
        <f ca="1">Prime!K15+Retail!K10+Retail!K20</f>
        <v>198079.81568844127</v>
      </c>
      <c r="O132" s="836">
        <f ca="1">Prime!L15+Retail!L10+Retail!L20</f>
        <v>210482.05552972743</v>
      </c>
      <c r="P132" s="838">
        <f ca="1">Prime!M15+Retail!M10+Retail!M20</f>
        <v>213672.27397054923</v>
      </c>
      <c r="Q132" s="720"/>
      <c r="R132" s="720" t="s">
        <v>334</v>
      </c>
      <c r="S132" s="720" t="s">
        <v>335</v>
      </c>
      <c r="T132" s="720"/>
      <c r="U132" s="720"/>
      <c r="V132" s="720"/>
      <c r="W132" s="720"/>
    </row>
    <row r="133" spans="1:23" outlineLevel="1" x14ac:dyDescent="0.2">
      <c r="B133" s="130"/>
      <c r="H133" s="131"/>
      <c r="I133" s="130"/>
      <c r="J133" s="131"/>
      <c r="K133" s="269"/>
      <c r="L133" s="130"/>
      <c r="M133" s="110"/>
      <c r="N133" s="110"/>
      <c r="P133" s="131"/>
      <c r="Q133" s="720"/>
      <c r="R133" s="720"/>
      <c r="S133" s="720" t="s">
        <v>336</v>
      </c>
      <c r="T133" s="720"/>
      <c r="U133" s="720"/>
      <c r="V133" s="720"/>
      <c r="W133" s="720"/>
    </row>
    <row r="134" spans="1:23" outlineLevel="1" x14ac:dyDescent="0.2">
      <c r="B134" s="85" t="s">
        <v>337</v>
      </c>
      <c r="C134" s="115"/>
      <c r="D134" s="115"/>
      <c r="E134" s="115"/>
      <c r="F134" s="115"/>
      <c r="G134" s="115"/>
      <c r="H134" s="161"/>
      <c r="I134" s="270"/>
      <c r="J134" s="161"/>
      <c r="K134" s="269"/>
      <c r="L134" s="130"/>
      <c r="P134" s="131"/>
      <c r="Q134" s="720"/>
      <c r="R134" s="720"/>
      <c r="S134" s="720" t="s">
        <v>338</v>
      </c>
      <c r="T134" s="720"/>
      <c r="U134" s="720"/>
      <c r="V134" s="720"/>
      <c r="W134" s="720"/>
    </row>
    <row r="135" spans="1:23" outlineLevel="1" x14ac:dyDescent="0.2">
      <c r="B135" s="28" t="s">
        <v>339</v>
      </c>
      <c r="C135" s="970">
        <v>10766</v>
      </c>
      <c r="D135" s="970">
        <v>13410</v>
      </c>
      <c r="E135" s="970">
        <v>17619</v>
      </c>
      <c r="F135" s="970">
        <v>25249</v>
      </c>
      <c r="G135" s="970">
        <v>34027</v>
      </c>
      <c r="H135" s="972">
        <v>40232</v>
      </c>
      <c r="I135" s="971">
        <v>17872</v>
      </c>
      <c r="J135" s="972">
        <v>25337</v>
      </c>
      <c r="K135" s="1025">
        <f>H135+J135-I135</f>
        <v>47697</v>
      </c>
      <c r="L135" s="968">
        <f ca="1">Prime!I17+Retail!I12+Retail!I22</f>
        <v>55111.080839999995</v>
      </c>
      <c r="M135" s="967">
        <f ca="1">Prime!J17+Retail!J12+Retail!J22</f>
        <v>64985.119793667851</v>
      </c>
      <c r="N135" s="967">
        <f ca="1">Prime!K17+Retail!K12+Retail!K22</f>
        <v>74284.317894111111</v>
      </c>
      <c r="O135" s="967">
        <f ca="1">Prime!L17+Retail!L12+Retail!L22</f>
        <v>80077.96222617224</v>
      </c>
      <c r="P135" s="969">
        <f ca="1">Prime!M17+Retail!M12+Retail!M22</f>
        <v>82310.204344193349</v>
      </c>
      <c r="Q135" s="720"/>
      <c r="R135" s="720"/>
      <c r="S135" s="720" t="s">
        <v>340</v>
      </c>
      <c r="T135" s="720"/>
      <c r="U135" s="720"/>
      <c r="V135" s="720"/>
      <c r="W135" s="720"/>
    </row>
    <row r="136" spans="1:23" outlineLevel="1" x14ac:dyDescent="0.2">
      <c r="B136" s="28" t="s">
        <v>341</v>
      </c>
      <c r="C136" s="970">
        <v>9275</v>
      </c>
      <c r="D136" s="970">
        <v>12540</v>
      </c>
      <c r="E136" s="970">
        <v>16085</v>
      </c>
      <c r="F136" s="970">
        <v>22620</v>
      </c>
      <c r="G136" s="970">
        <v>28837</v>
      </c>
      <c r="H136" s="972">
        <v>35931</v>
      </c>
      <c r="I136" s="971">
        <v>16991</v>
      </c>
      <c r="J136" s="972">
        <v>19713</v>
      </c>
      <c r="K136" s="1025">
        <f>H136+J136-I136</f>
        <v>38653</v>
      </c>
      <c r="L136" s="968">
        <f ca="1">Prime!I18+Retail!I13+Retail!I23+AWS!I6</f>
        <v>46890.093182412384</v>
      </c>
      <c r="M136" s="967">
        <f ca="1">Prime!J18+Retail!J13+Retail!J23+AWS!J6</f>
        <v>55461.762046158576</v>
      </c>
      <c r="N136" s="967">
        <f ca="1">Prime!K18+Retail!K13+Retail!K23+AWS!K6</f>
        <v>64351.748791499835</v>
      </c>
      <c r="O136" s="967">
        <f ca="1">Prime!L18+Retail!L13+Retail!L23+AWS!L6</f>
        <v>72338.614742547856</v>
      </c>
      <c r="P136" s="969">
        <f ca="1">Prime!M18+Retail!M13+Retail!M23+AWS!M6</f>
        <v>79482.929420156608</v>
      </c>
      <c r="Q136" s="720"/>
      <c r="R136" s="720"/>
      <c r="S136" s="720"/>
      <c r="T136" s="720"/>
      <c r="U136" s="720"/>
      <c r="V136" s="720"/>
      <c r="W136" s="720"/>
    </row>
    <row r="137" spans="1:23" outlineLevel="1" x14ac:dyDescent="0.2">
      <c r="B137" s="85" t="s">
        <v>342</v>
      </c>
      <c r="C137" s="953">
        <f t="shared" ref="C137:H137" si="52">SUM(C138:C139)</f>
        <v>4332</v>
      </c>
      <c r="D137" s="953">
        <f t="shared" si="52"/>
        <v>5254</v>
      </c>
      <c r="E137" s="953">
        <f t="shared" si="52"/>
        <v>7233</v>
      </c>
      <c r="F137" s="953">
        <f t="shared" si="52"/>
        <v>10069</v>
      </c>
      <c r="G137" s="953">
        <f t="shared" si="52"/>
        <v>13814</v>
      </c>
      <c r="H137" s="955">
        <f t="shared" si="52"/>
        <v>18878</v>
      </c>
      <c r="I137" s="947">
        <v>7955</v>
      </c>
      <c r="J137" s="948">
        <v>9173</v>
      </c>
      <c r="K137" s="958">
        <f>H137+J137-I137</f>
        <v>20096</v>
      </c>
      <c r="L137" s="954">
        <f ca="1">SUM(L138:L139)</f>
        <v>20598.009636838295</v>
      </c>
      <c r="M137" s="953">
        <f ca="1">SUM(M138:M139)</f>
        <v>27022.249017837756</v>
      </c>
      <c r="N137" s="953">
        <f ca="1">SUM(N138:N139)</f>
        <v>32223.872133608238</v>
      </c>
      <c r="O137" s="953">
        <f ca="1">SUM(O138:O139)</f>
        <v>37157.620394086902</v>
      </c>
      <c r="P137" s="955">
        <f ca="1">SUM(P138:P139)</f>
        <v>42005.571048886741</v>
      </c>
      <c r="Q137" s="720"/>
      <c r="R137" s="725"/>
      <c r="S137" s="725" t="s">
        <v>343</v>
      </c>
      <c r="T137" s="725"/>
      <c r="U137" s="720"/>
      <c r="V137" s="720"/>
      <c r="W137" s="720"/>
    </row>
    <row r="138" spans="1:23" s="145" customFormat="1" outlineLevel="1" x14ac:dyDescent="0.2">
      <c r="A138" s="725"/>
      <c r="B138" s="647" t="s">
        <v>344</v>
      </c>
      <c r="C138" s="1018">
        <v>3300</v>
      </c>
      <c r="D138" s="973">
        <v>3800</v>
      </c>
      <c r="E138" s="973">
        <v>5000</v>
      </c>
      <c r="F138" s="973">
        <v>6300</v>
      </c>
      <c r="G138" s="973">
        <v>8200</v>
      </c>
      <c r="H138" s="975">
        <v>11000</v>
      </c>
      <c r="I138" s="1027">
        <f>I137-I139</f>
        <v>4337.8999999999996</v>
      </c>
      <c r="J138" s="976">
        <f>J137-J139</f>
        <v>4441.9250000000002</v>
      </c>
      <c r="K138" s="1026">
        <f>K137-K139</f>
        <v>11101.174999999999</v>
      </c>
      <c r="L138" s="1037">
        <f ca="1">Prime!I19+Retail!I14+Retail!I24</f>
        <v>11532.771174285714</v>
      </c>
      <c r="M138" s="999">
        <f ca="1">Prime!J19+Retail!J14+Retail!J24</f>
        <v>16195.488371599929</v>
      </c>
      <c r="N138" s="999">
        <f ca="1">Prime!K19+Retail!K14+Retail!K24</f>
        <v>18764.105379584904</v>
      </c>
      <c r="O138" s="999">
        <f ca="1">Prime!L19+Retail!L14+Retail!L24</f>
        <v>20424.515544700142</v>
      </c>
      <c r="P138" s="1000">
        <f ca="1">Prime!M19+Retail!M14+Retail!M24</f>
        <v>21203.071048886741</v>
      </c>
      <c r="Q138" s="725"/>
      <c r="R138" s="725"/>
      <c r="S138" s="725"/>
      <c r="T138" s="725"/>
      <c r="U138" s="725"/>
      <c r="V138" s="725"/>
      <c r="W138" s="725"/>
    </row>
    <row r="139" spans="1:23" s="145" customFormat="1" outlineLevel="1" x14ac:dyDescent="0.2">
      <c r="A139" s="725"/>
      <c r="B139" s="647" t="s">
        <v>345</v>
      </c>
      <c r="C139" s="1018">
        <v>1032</v>
      </c>
      <c r="D139" s="973">
        <v>1454</v>
      </c>
      <c r="E139" s="973">
        <v>2233</v>
      </c>
      <c r="F139" s="973">
        <v>3769</v>
      </c>
      <c r="G139" s="973">
        <v>5614</v>
      </c>
      <c r="H139" s="975">
        <v>7878</v>
      </c>
      <c r="I139" s="1037">
        <f>AWS!O7</f>
        <v>3617.1</v>
      </c>
      <c r="J139" s="1000">
        <f>AWS!P7</f>
        <v>4731.0749999999998</v>
      </c>
      <c r="K139" s="1038">
        <f>AWS!Q7</f>
        <v>8994.8250000000007</v>
      </c>
      <c r="L139" s="1037">
        <f ca="1">AWS!I7</f>
        <v>9065.2384625525792</v>
      </c>
      <c r="M139" s="999">
        <f ca="1">AWS!J7</f>
        <v>10826.760646237826</v>
      </c>
      <c r="N139" s="999">
        <f ca="1">AWS!K7</f>
        <v>13459.766754023336</v>
      </c>
      <c r="O139" s="999">
        <f ca="1">AWS!L7</f>
        <v>16733.104849386757</v>
      </c>
      <c r="P139" s="1000">
        <f ca="1">AWS!M7</f>
        <v>20802.5</v>
      </c>
      <c r="Q139" s="725"/>
      <c r="R139" s="725"/>
      <c r="S139" s="725"/>
      <c r="T139" s="725"/>
      <c r="U139" s="725"/>
      <c r="V139" s="725"/>
      <c r="W139" s="725"/>
    </row>
    <row r="140" spans="1:23" outlineLevel="1" x14ac:dyDescent="0.2">
      <c r="B140" s="28" t="s">
        <v>346</v>
      </c>
      <c r="C140" s="1019">
        <v>1552</v>
      </c>
      <c r="D140" s="970">
        <v>1747</v>
      </c>
      <c r="E140" s="970">
        <v>2432</v>
      </c>
      <c r="F140" s="970">
        <v>3674</v>
      </c>
      <c r="G140" s="970">
        <v>4336</v>
      </c>
      <c r="H140" s="972">
        <v>5203</v>
      </c>
      <c r="I140" s="971">
        <v>2444</v>
      </c>
      <c r="J140" s="972">
        <v>3032</v>
      </c>
      <c r="K140" s="1025">
        <f>H140+J140-I140</f>
        <v>5791</v>
      </c>
      <c r="L140" s="968">
        <f ca="1">Prime!I20+Retail!I15+Retail!I25+AWS!I8</f>
        <v>7000.5969144156616</v>
      </c>
      <c r="M140" s="967">
        <f ca="1">Prime!J20+Retail!J15+Retail!J25+AWS!J8</f>
        <v>8014.3693695279826</v>
      </c>
      <c r="N140" s="967">
        <f ca="1">Prime!K20+Retail!K15+Retail!K25+AWS!K8</f>
        <v>9448.2997321012044</v>
      </c>
      <c r="O140" s="967">
        <f ca="1">Prime!L20+Retail!L15+Retail!L25+AWS!L8</f>
        <v>10505.408569254292</v>
      </c>
      <c r="P140" s="969">
        <f ca="1">Prime!M20+Retail!M15+Retail!M25+AWS!M8</f>
        <v>11030.376515433984</v>
      </c>
      <c r="Q140" s="720"/>
      <c r="R140" s="720"/>
      <c r="S140" s="720"/>
      <c r="T140" s="720"/>
      <c r="U140" s="720"/>
      <c r="V140" s="720"/>
      <c r="W140" s="720"/>
    </row>
    <row r="141" spans="1:23" outlineLevel="1" x14ac:dyDescent="0.2">
      <c r="B141" s="28" t="s">
        <v>347</v>
      </c>
      <c r="C141" s="1019">
        <v>133</v>
      </c>
      <c r="D141" s="970">
        <v>171</v>
      </c>
      <c r="E141" s="970">
        <v>167</v>
      </c>
      <c r="F141" s="970">
        <v>214</v>
      </c>
      <c r="G141" s="970">
        <v>296</v>
      </c>
      <c r="H141" s="972">
        <v>201</v>
      </c>
      <c r="I141" s="971">
        <v>81</v>
      </c>
      <c r="J141" s="972">
        <v>360</v>
      </c>
      <c r="K141" s="1025">
        <f>H141+J141-I141</f>
        <v>480</v>
      </c>
      <c r="L141" s="968">
        <f ca="1">Prime!I21+Retail!I16+Retail!I26+AWS!I9</f>
        <v>558.60599950139863</v>
      </c>
      <c r="M141" s="967">
        <f ca="1">Prime!J21+Retail!J16+Retail!J26+AWS!J9</f>
        <v>426.87755597618906</v>
      </c>
      <c r="N141" s="967">
        <f ca="1">Prime!K21+Retail!K16+Retail!K26+AWS!K9</f>
        <v>494.04430531795975</v>
      </c>
      <c r="O141" s="967">
        <f ca="1">Prime!L21+Retail!L16+Retail!L26+AWS!L9</f>
        <v>544.34096947308501</v>
      </c>
      <c r="P141" s="969">
        <f ca="1">Prime!M21+Retail!M16+Retail!M26+AWS!M9</f>
        <v>578.41163484315769</v>
      </c>
      <c r="Q141" s="720"/>
      <c r="R141" s="720"/>
      <c r="S141" s="720"/>
      <c r="T141" s="720"/>
      <c r="U141" s="720"/>
      <c r="V141" s="720"/>
      <c r="W141" s="720"/>
    </row>
    <row r="142" spans="1:23" outlineLevel="1" x14ac:dyDescent="0.2">
      <c r="B142" s="85" t="s">
        <v>348</v>
      </c>
      <c r="C142" s="953">
        <f t="shared" ref="C142:H142" si="53">C135+C136+C137+C140+C141</f>
        <v>26058</v>
      </c>
      <c r="D142" s="953">
        <f t="shared" si="53"/>
        <v>33122</v>
      </c>
      <c r="E142" s="953">
        <f t="shared" si="53"/>
        <v>43536</v>
      </c>
      <c r="F142" s="953">
        <f t="shared" si="53"/>
        <v>61826</v>
      </c>
      <c r="G142" s="953">
        <f t="shared" si="53"/>
        <v>81310</v>
      </c>
      <c r="H142" s="955">
        <f t="shared" si="53"/>
        <v>100445</v>
      </c>
      <c r="I142" s="954">
        <f t="shared" ref="I142:P142" si="54">I135+I136+I137+I140+I141</f>
        <v>45343</v>
      </c>
      <c r="J142" s="955">
        <f t="shared" si="54"/>
        <v>57615</v>
      </c>
      <c r="K142" s="958">
        <f t="shared" si="54"/>
        <v>112717</v>
      </c>
      <c r="L142" s="954">
        <f t="shared" ca="1" si="54"/>
        <v>130158.38657316772</v>
      </c>
      <c r="M142" s="953">
        <f t="shared" ca="1" si="54"/>
        <v>155910.37778316837</v>
      </c>
      <c r="N142" s="953">
        <f t="shared" ca="1" si="54"/>
        <v>180802.28285663834</v>
      </c>
      <c r="O142" s="953">
        <f t="shared" ca="1" si="54"/>
        <v>200623.94690153439</v>
      </c>
      <c r="P142" s="955">
        <f t="shared" ca="1" si="54"/>
        <v>215407.49296351385</v>
      </c>
    </row>
    <row r="143" spans="1:23" outlineLevel="1" x14ac:dyDescent="0.2">
      <c r="B143" s="85" t="s">
        <v>349</v>
      </c>
      <c r="C143" s="419">
        <f t="shared" ref="C143:H143" si="55">C128+C142</f>
        <v>88810</v>
      </c>
      <c r="D143" s="419">
        <f t="shared" si="55"/>
        <v>104773</v>
      </c>
      <c r="E143" s="419">
        <f t="shared" si="55"/>
        <v>131801</v>
      </c>
      <c r="F143" s="419">
        <f t="shared" si="55"/>
        <v>173760</v>
      </c>
      <c r="G143" s="419">
        <f t="shared" si="55"/>
        <v>220466</v>
      </c>
      <c r="H143" s="835">
        <f t="shared" si="55"/>
        <v>265981</v>
      </c>
      <c r="I143" s="834">
        <f t="shared" ref="I143:P143" si="56">I128+I142</f>
        <v>115600</v>
      </c>
      <c r="J143" s="835">
        <f t="shared" si="56"/>
        <v>154532</v>
      </c>
      <c r="K143" s="1005">
        <f t="shared" si="56"/>
        <v>304913</v>
      </c>
      <c r="L143" s="834">
        <f t="shared" ca="1" si="56"/>
        <v>340388.60300514835</v>
      </c>
      <c r="M143" s="419">
        <f t="shared" ca="1" si="56"/>
        <v>399018.10107684316</v>
      </c>
      <c r="N143" s="419">
        <f t="shared" ca="1" si="56"/>
        <v>451146.64686779724</v>
      </c>
      <c r="O143" s="419">
        <f t="shared" ca="1" si="56"/>
        <v>484303.25018069305</v>
      </c>
      <c r="P143" s="835">
        <f t="shared" ca="1" si="56"/>
        <v>499008.44991531689</v>
      </c>
    </row>
    <row r="144" spans="1:23" outlineLevel="1" x14ac:dyDescent="0.2">
      <c r="B144" s="28"/>
      <c r="C144" s="37"/>
      <c r="D144" s="37"/>
      <c r="E144" s="37"/>
      <c r="F144" s="37"/>
      <c r="G144" s="37"/>
      <c r="H144" s="160"/>
      <c r="I144" s="598"/>
      <c r="J144" s="160"/>
      <c r="K144" s="519"/>
      <c r="L144" s="130"/>
      <c r="P144" s="131"/>
    </row>
    <row r="145" spans="2:16" outlineLevel="1" x14ac:dyDescent="0.2">
      <c r="B145" s="85" t="s">
        <v>306</v>
      </c>
      <c r="C145" s="37"/>
      <c r="D145" s="37"/>
      <c r="E145" s="37"/>
      <c r="F145" s="37"/>
      <c r="G145" s="37"/>
      <c r="H145" s="111"/>
      <c r="I145" s="598"/>
      <c r="J145" s="160"/>
      <c r="K145" s="519"/>
      <c r="L145" s="130"/>
      <c r="P145" s="131"/>
    </row>
    <row r="146" spans="2:16" outlineLevel="1" x14ac:dyDescent="0.2">
      <c r="B146" s="85" t="s">
        <v>325</v>
      </c>
      <c r="C146" s="1002">
        <f>C128/C39</f>
        <v>0.70517373128961214</v>
      </c>
      <c r="D146" s="1002">
        <f t="shared" ref="D146:P146" si="57">D128/D39</f>
        <v>0.66959796646916991</v>
      </c>
      <c r="E146" s="1002">
        <f t="shared" si="57"/>
        <v>0.64906939633935601</v>
      </c>
      <c r="F146" s="1002">
        <f t="shared" si="57"/>
        <v>0.6293164517108385</v>
      </c>
      <c r="G146" s="1002">
        <f t="shared" si="57"/>
        <v>0.59752583871147813</v>
      </c>
      <c r="H146" s="1028">
        <f t="shared" si="57"/>
        <v>0.59009988521399392</v>
      </c>
      <c r="I146" s="1006">
        <f>I128/I39</f>
        <v>0.57071256823498828</v>
      </c>
      <c r="J146" s="1007">
        <f>J128/J39</f>
        <v>0.58964858484826366</v>
      </c>
      <c r="K146" s="1029">
        <f>K128/K39</f>
        <v>0.59728636157398485</v>
      </c>
      <c r="L146" s="1006">
        <f t="shared" ca="1" si="57"/>
        <v>0.58601785212765589</v>
      </c>
      <c r="M146" s="1002">
        <f t="shared" ca="1" si="57"/>
        <v>0.56950223756255569</v>
      </c>
      <c r="N146" s="1002">
        <f t="shared" ca="1" si="57"/>
        <v>0.54720672033081985</v>
      </c>
      <c r="O146" s="1002">
        <f t="shared" ca="1" si="57"/>
        <v>0.52114266459450331</v>
      </c>
      <c r="P146" s="1007">
        <f t="shared" ca="1" si="57"/>
        <v>0.49030991056862872</v>
      </c>
    </row>
    <row r="147" spans="2:16" outlineLevel="1" x14ac:dyDescent="0.2">
      <c r="B147" s="28" t="s">
        <v>330</v>
      </c>
      <c r="C147" s="977">
        <f t="shared" ref="C147:P147" si="58">C130/C$39</f>
        <v>9.7867128152110391E-2</v>
      </c>
      <c r="D147" s="977">
        <f t="shared" si="58"/>
        <v>0.10783507466871016</v>
      </c>
      <c r="E147" s="977">
        <f t="shared" si="58"/>
        <v>0.11888636413774846</v>
      </c>
      <c r="F147" s="977">
        <f t="shared" si="58"/>
        <v>0.12200195652907245</v>
      </c>
      <c r="G147" s="977">
        <f t="shared" si="58"/>
        <v>0.11894180439440587</v>
      </c>
      <c r="H147" s="977">
        <f t="shared" si="58"/>
        <v>0.13510526803601858</v>
      </c>
      <c r="I147" s="979">
        <f t="shared" ref="I147:K149" si="59">I130/I$39</f>
        <v>0.1255361320509488</v>
      </c>
      <c r="J147" s="980">
        <f t="shared" si="59"/>
        <v>0.14959480178141199</v>
      </c>
      <c r="K147" s="1008">
        <f t="shared" si="59"/>
        <v>0.14616728095418638</v>
      </c>
      <c r="L147" s="979">
        <f t="shared" ca="1" si="58"/>
        <v>0.13649371638610192</v>
      </c>
      <c r="M147" s="978">
        <f t="shared" ca="1" si="58"/>
        <v>0.13052550707302502</v>
      </c>
      <c r="N147" s="978">
        <f t="shared" ca="1" si="58"/>
        <v>0.12015150069477598</v>
      </c>
      <c r="O147" s="978">
        <f t="shared" ca="1" si="58"/>
        <v>0.10956772540497882</v>
      </c>
      <c r="P147" s="980">
        <f t="shared" ca="1" si="58"/>
        <v>9.7648207485190097E-2</v>
      </c>
    </row>
    <row r="148" spans="2:16" outlineLevel="1" x14ac:dyDescent="0.2">
      <c r="B148" s="28" t="s">
        <v>332</v>
      </c>
      <c r="C148" s="977">
        <f t="shared" ref="C148:P148" si="60">C131/C$39</f>
        <v>0</v>
      </c>
      <c r="D148" s="977">
        <f t="shared" si="60"/>
        <v>0</v>
      </c>
      <c r="E148" s="977">
        <f t="shared" si="60"/>
        <v>0</v>
      </c>
      <c r="F148" s="977">
        <f t="shared" si="60"/>
        <v>0</v>
      </c>
      <c r="G148" s="977">
        <f t="shared" si="60"/>
        <v>2.8769317308394198E-2</v>
      </c>
      <c r="H148" s="977">
        <f t="shared" si="60"/>
        <v>2.780530582271622E-2</v>
      </c>
      <c r="I148" s="979">
        <f t="shared" si="59"/>
        <v>2.8431245126072265E-2</v>
      </c>
      <c r="J148" s="980">
        <f t="shared" si="59"/>
        <v>3.1637098148012945E-2</v>
      </c>
      <c r="K148" s="1008">
        <f t="shared" si="59"/>
        <v>2.9523093274328584E-2</v>
      </c>
      <c r="L148" s="979">
        <f t="shared" ca="1" si="60"/>
        <v>2.7855860486959576E-2</v>
      </c>
      <c r="M148" s="978">
        <f t="shared" ca="1" si="60"/>
        <v>2.7192813973546882E-2</v>
      </c>
      <c r="N148" s="978">
        <f t="shared" ca="1" si="60"/>
        <v>2.6119891455386082E-2</v>
      </c>
      <c r="O148" s="978">
        <f t="shared" ca="1" si="60"/>
        <v>2.4901755773858822E-2</v>
      </c>
      <c r="P148" s="980">
        <f t="shared" ca="1" si="60"/>
        <v>2.3249573210759551E-2</v>
      </c>
    </row>
    <row r="149" spans="2:16" outlineLevel="1" x14ac:dyDescent="0.2">
      <c r="B149" s="28" t="s">
        <v>333</v>
      </c>
      <c r="C149" s="977">
        <f t="shared" ref="C149:P149" si="61">C132/C$39</f>
        <v>0.60730660313750173</v>
      </c>
      <c r="D149" s="977">
        <f t="shared" si="61"/>
        <v>0.5617628918004598</v>
      </c>
      <c r="E149" s="977">
        <f t="shared" si="61"/>
        <v>0.53018303220160745</v>
      </c>
      <c r="F149" s="977">
        <f t="shared" si="61"/>
        <v>0.50731449518176608</v>
      </c>
      <c r="G149" s="977">
        <f t="shared" si="61"/>
        <v>0.44981471700867803</v>
      </c>
      <c r="H149" s="977">
        <f t="shared" si="61"/>
        <v>0.42718931135525912</v>
      </c>
      <c r="I149" s="979">
        <f t="shared" si="59"/>
        <v>0.41637152326488175</v>
      </c>
      <c r="J149" s="980">
        <f t="shared" si="59"/>
        <v>0.40834367623080481</v>
      </c>
      <c r="K149" s="1008">
        <f t="shared" si="59"/>
        <v>0.42170164894245171</v>
      </c>
      <c r="L149" s="979">
        <f t="shared" ca="1" si="61"/>
        <v>0.42166827525459433</v>
      </c>
      <c r="M149" s="978">
        <f t="shared" ca="1" si="61"/>
        <v>0.41178391651598378</v>
      </c>
      <c r="N149" s="978">
        <f t="shared" ca="1" si="61"/>
        <v>0.4009353281806578</v>
      </c>
      <c r="O149" s="978">
        <f t="shared" ca="1" si="61"/>
        <v>0.38667318341566564</v>
      </c>
      <c r="P149" s="980">
        <f t="shared" ca="1" si="61"/>
        <v>0.36941212987267913</v>
      </c>
    </row>
    <row r="150" spans="2:16" outlineLevel="1" x14ac:dyDescent="0.2">
      <c r="B150" s="85" t="s">
        <v>337</v>
      </c>
      <c r="C150" s="30"/>
      <c r="D150" s="30"/>
      <c r="E150" s="30"/>
      <c r="F150" s="30"/>
      <c r="G150" s="30"/>
      <c r="H150" s="31"/>
      <c r="I150" s="141"/>
      <c r="J150" s="168"/>
      <c r="K150" s="520"/>
      <c r="L150" s="345"/>
      <c r="M150" s="346"/>
      <c r="N150" s="346"/>
      <c r="O150" s="346"/>
      <c r="P150" s="347"/>
    </row>
    <row r="151" spans="2:16" outlineLevel="1" x14ac:dyDescent="0.2">
      <c r="B151" s="28" t="s">
        <v>339</v>
      </c>
      <c r="C151" s="978">
        <f t="shared" ref="C151:P151" si="62">C135/C$39</f>
        <v>0.12098260439609836</v>
      </c>
      <c r="D151" s="978">
        <f t="shared" si="62"/>
        <v>0.1253200755097845</v>
      </c>
      <c r="E151" s="978">
        <f t="shared" si="62"/>
        <v>0.12956385536852788</v>
      </c>
      <c r="F151" s="978">
        <f t="shared" si="62"/>
        <v>0.14195517974205302</v>
      </c>
      <c r="G151" s="978">
        <f t="shared" si="62"/>
        <v>0.14610948657503425</v>
      </c>
      <c r="H151" s="1001">
        <f t="shared" si="62"/>
        <v>0.14341834152045116</v>
      </c>
      <c r="I151" s="979">
        <f t="shared" ref="I151:K159" si="63">I135/I$39</f>
        <v>0.14517806082661813</v>
      </c>
      <c r="J151" s="980">
        <f t="shared" si="63"/>
        <v>0.15415176072619308</v>
      </c>
      <c r="K151" s="1008">
        <f t="shared" si="63"/>
        <v>0.14822768209533163</v>
      </c>
      <c r="L151" s="899">
        <f t="shared" ca="1" si="62"/>
        <v>0.15362243244771479</v>
      </c>
      <c r="M151" s="896">
        <f t="shared" ca="1" si="62"/>
        <v>0.15223362972330332</v>
      </c>
      <c r="N151" s="896">
        <f t="shared" ca="1" si="62"/>
        <v>0.15035962786030457</v>
      </c>
      <c r="O151" s="896">
        <f t="shared" ca="1" si="62"/>
        <v>0.14710993057106594</v>
      </c>
      <c r="P151" s="901">
        <f t="shared" ca="1" si="62"/>
        <v>0.14230385314865357</v>
      </c>
    </row>
    <row r="152" spans="2:16" outlineLevel="1" x14ac:dyDescent="0.2">
      <c r="B152" s="28" t="s">
        <v>341</v>
      </c>
      <c r="C152" s="978">
        <f t="shared" ref="C152:P152" si="64">C136/C$39</f>
        <v>0.10422753629702881</v>
      </c>
      <c r="D152" s="978">
        <f t="shared" si="64"/>
        <v>0.11718969029774032</v>
      </c>
      <c r="E152" s="978">
        <f t="shared" si="64"/>
        <v>0.11828336532168517</v>
      </c>
      <c r="F152" s="978">
        <f t="shared" si="64"/>
        <v>0.12717438970910686</v>
      </c>
      <c r="G152" s="978">
        <f t="shared" si="64"/>
        <v>0.12382400048091993</v>
      </c>
      <c r="H152" s="1001">
        <f t="shared" si="64"/>
        <v>0.12808621070718162</v>
      </c>
      <c r="I152" s="979">
        <f t="shared" si="63"/>
        <v>0.13802151026774109</v>
      </c>
      <c r="J152" s="980">
        <f t="shared" si="63"/>
        <v>0.11993502226764985</v>
      </c>
      <c r="K152" s="1008">
        <f t="shared" si="63"/>
        <v>0.12012169729817081</v>
      </c>
      <c r="L152" s="899">
        <f t="shared" ca="1" si="64"/>
        <v>0.13070638540541821</v>
      </c>
      <c r="M152" s="896">
        <f t="shared" ca="1" si="64"/>
        <v>0.1299242868820496</v>
      </c>
      <c r="N152" s="896">
        <f t="shared" ca="1" si="64"/>
        <v>0.13025501579273135</v>
      </c>
      <c r="O152" s="896">
        <f t="shared" ca="1" si="64"/>
        <v>0.13289210035498653</v>
      </c>
      <c r="P152" s="901">
        <f t="shared" ca="1" si="64"/>
        <v>0.13741585513180285</v>
      </c>
    </row>
    <row r="153" spans="2:16" outlineLevel="1" x14ac:dyDescent="0.2">
      <c r="B153" s="85" t="s">
        <v>342</v>
      </c>
      <c r="C153" s="1002">
        <f t="shared" ref="C153:P153" si="65">C137/C$39</f>
        <v>4.8680720996089361E-2</v>
      </c>
      <c r="D153" s="1002">
        <f t="shared" si="65"/>
        <v>4.9100050464459935E-2</v>
      </c>
      <c r="E153" s="1002">
        <f t="shared" si="65"/>
        <v>5.3188907763242074E-2</v>
      </c>
      <c r="F153" s="1002">
        <f t="shared" si="65"/>
        <v>5.6610032271485276E-2</v>
      </c>
      <c r="G153" s="1002">
        <f t="shared" si="65"/>
        <v>5.9316320790769775E-2</v>
      </c>
      <c r="H153" s="1003">
        <f t="shared" si="65"/>
        <v>6.7295969656568824E-2</v>
      </c>
      <c r="I153" s="1006">
        <f t="shared" si="63"/>
        <v>6.4620158565115673E-2</v>
      </c>
      <c r="J153" s="1007">
        <f t="shared" si="63"/>
        <v>5.580905794456207E-2</v>
      </c>
      <c r="K153" s="1029">
        <f t="shared" si="63"/>
        <v>6.245221920430602E-2</v>
      </c>
      <c r="L153" s="1030">
        <f t="shared" ca="1" si="65"/>
        <v>5.7417061973059451E-2</v>
      </c>
      <c r="M153" s="1031">
        <f t="shared" ca="1" si="65"/>
        <v>6.3302107687631712E-2</v>
      </c>
      <c r="N153" s="1031">
        <f t="shared" ca="1" si="65"/>
        <v>6.5224660595712011E-2</v>
      </c>
      <c r="O153" s="1031">
        <f t="shared" ca="1" si="65"/>
        <v>6.8261664063344343E-2</v>
      </c>
      <c r="P153" s="1032">
        <f t="shared" ca="1" si="65"/>
        <v>7.262227887286013E-2</v>
      </c>
    </row>
    <row r="154" spans="2:16" outlineLevel="1" x14ac:dyDescent="0.2">
      <c r="B154" s="28" t="s">
        <v>344</v>
      </c>
      <c r="C154" s="978">
        <f t="shared" ref="C154:P154" si="66">C138/C$39</f>
        <v>3.7083651728322918E-2</v>
      </c>
      <c r="D154" s="978">
        <f t="shared" si="66"/>
        <v>3.5512027362951608E-2</v>
      </c>
      <c r="E154" s="978">
        <f t="shared" si="66"/>
        <v>3.6768220491664644E-2</v>
      </c>
      <c r="F154" s="978">
        <f t="shared" si="66"/>
        <v>3.5419922863279101E-2</v>
      </c>
      <c r="G154" s="978">
        <f t="shared" si="66"/>
        <v>3.5210209243109317E-2</v>
      </c>
      <c r="H154" s="1001">
        <f t="shared" si="66"/>
        <v>3.9212610775625441E-2</v>
      </c>
      <c r="I154" s="979">
        <f t="shared" si="63"/>
        <v>3.5237685209253959E-2</v>
      </c>
      <c r="J154" s="980">
        <f t="shared" si="63"/>
        <v>2.7024926382906232E-2</v>
      </c>
      <c r="K154" s="1008">
        <f t="shared" si="63"/>
        <v>3.4499055261015217E-2</v>
      </c>
      <c r="L154" s="899">
        <f t="shared" ca="1" si="66"/>
        <v>3.2147661298828185E-2</v>
      </c>
      <c r="M154" s="896">
        <f t="shared" ca="1" si="66"/>
        <v>3.7939423483073213E-2</v>
      </c>
      <c r="N154" s="896">
        <f t="shared" ca="1" si="66"/>
        <v>3.7980612624425661E-2</v>
      </c>
      <c r="O154" s="896">
        <f t="shared" ca="1" si="66"/>
        <v>3.7521547504445259E-2</v>
      </c>
      <c r="P154" s="901">
        <f t="shared" ca="1" si="66"/>
        <v>3.6657407582467064E-2</v>
      </c>
    </row>
    <row r="155" spans="2:16" outlineLevel="1" x14ac:dyDescent="0.2">
      <c r="B155" s="28" t="s">
        <v>345</v>
      </c>
      <c r="C155" s="978">
        <f t="shared" ref="C155:P155" si="67">C139/C$39</f>
        <v>1.1597069267766441E-2</v>
      </c>
      <c r="D155" s="978">
        <f t="shared" si="67"/>
        <v>1.3588023101508327E-2</v>
      </c>
      <c r="E155" s="978">
        <f t="shared" si="67"/>
        <v>1.642068727157743E-2</v>
      </c>
      <c r="F155" s="978">
        <f t="shared" si="67"/>
        <v>2.1190109408206179E-2</v>
      </c>
      <c r="G155" s="978">
        <f t="shared" si="67"/>
        <v>2.4106111547660455E-2</v>
      </c>
      <c r="H155" s="1001">
        <f t="shared" si="67"/>
        <v>2.8083358880943383E-2</v>
      </c>
      <c r="I155" s="979">
        <f t="shared" si="63"/>
        <v>2.9382473355861711E-2</v>
      </c>
      <c r="J155" s="980">
        <f t="shared" si="63"/>
        <v>2.8784131561655837E-2</v>
      </c>
      <c r="K155" s="1008">
        <f t="shared" si="63"/>
        <v>2.7953163943290803E-2</v>
      </c>
      <c r="L155" s="899">
        <f t="shared" ca="1" si="67"/>
        <v>2.5269400674231262E-2</v>
      </c>
      <c r="M155" s="896">
        <f t="shared" ca="1" si="67"/>
        <v>2.5362684204558495E-2</v>
      </c>
      <c r="N155" s="896">
        <f t="shared" ca="1" si="67"/>
        <v>2.7244047971286354E-2</v>
      </c>
      <c r="O155" s="896">
        <f t="shared" ca="1" si="67"/>
        <v>3.0740116558899081E-2</v>
      </c>
      <c r="P155" s="901">
        <f t="shared" ca="1" si="67"/>
        <v>3.5964871290393066E-2</v>
      </c>
    </row>
    <row r="156" spans="2:16" outlineLevel="1" x14ac:dyDescent="0.2">
      <c r="B156" s="28" t="s">
        <v>346</v>
      </c>
      <c r="C156" s="978">
        <f t="shared" ref="C156:P156" si="68">C140/C$39</f>
        <v>1.7440553782532477E-2</v>
      </c>
      <c r="D156" s="978">
        <f t="shared" si="68"/>
        <v>1.6326187316599069E-2</v>
      </c>
      <c r="E156" s="978">
        <f t="shared" si="68"/>
        <v>1.7884062447145684E-2</v>
      </c>
      <c r="F156" s="978">
        <f t="shared" si="68"/>
        <v>2.0655999460267842E-2</v>
      </c>
      <c r="G156" s="978">
        <f t="shared" si="68"/>
        <v>1.8618471619283171E-2</v>
      </c>
      <c r="H156" s="1001">
        <f t="shared" si="68"/>
        <v>1.8547564896870834E-2</v>
      </c>
      <c r="I156" s="979">
        <f t="shared" si="63"/>
        <v>1.9853132310891603E-2</v>
      </c>
      <c r="J156" s="980">
        <f t="shared" si="63"/>
        <v>1.8446861843226012E-2</v>
      </c>
      <c r="K156" s="1008">
        <f t="shared" si="63"/>
        <v>1.7996656121224929E-2</v>
      </c>
      <c r="L156" s="899">
        <f t="shared" ca="1" si="68"/>
        <v>1.9514201321886117E-2</v>
      </c>
      <c r="M156" s="896">
        <f t="shared" ca="1" si="68"/>
        <v>1.8774398553703813E-2</v>
      </c>
      <c r="N156" s="896">
        <f t="shared" ca="1" si="68"/>
        <v>1.9124397610494503E-2</v>
      </c>
      <c r="O156" s="896">
        <f t="shared" ca="1" si="68"/>
        <v>1.9299316344723039E-2</v>
      </c>
      <c r="P156" s="901">
        <f t="shared" ca="1" si="68"/>
        <v>1.9070115210294801E-2</v>
      </c>
    </row>
    <row r="157" spans="2:16" outlineLevel="1" x14ac:dyDescent="0.2">
      <c r="B157" s="28" t="s">
        <v>347</v>
      </c>
      <c r="C157" s="978">
        <f t="shared" ref="C157:P157" si="69">C141/C$39</f>
        <v>1.4945835393536206E-3</v>
      </c>
      <c r="D157" s="978">
        <f t="shared" si="69"/>
        <v>1.5980412313328224E-3</v>
      </c>
      <c r="E157" s="978">
        <f t="shared" si="69"/>
        <v>1.2280585644215991E-3</v>
      </c>
      <c r="F157" s="978">
        <f t="shared" si="69"/>
        <v>1.2031529353558298E-3</v>
      </c>
      <c r="G157" s="978">
        <f t="shared" si="69"/>
        <v>1.271002675117117E-3</v>
      </c>
      <c r="H157" s="1001">
        <f t="shared" si="69"/>
        <v>7.1652134235461028E-4</v>
      </c>
      <c r="I157" s="979">
        <f t="shared" si="63"/>
        <v>6.5798024434624383E-4</v>
      </c>
      <c r="J157" s="980">
        <f t="shared" si="63"/>
        <v>2.1902606410162812E-3</v>
      </c>
      <c r="K157" s="1008">
        <f t="shared" si="63"/>
        <v>1.4916931338608125E-3</v>
      </c>
      <c r="L157" s="899">
        <f t="shared" ca="1" si="69"/>
        <v>1.5571172097391915E-3</v>
      </c>
      <c r="M157" s="896">
        <f t="shared" ca="1" si="69"/>
        <v>1E-3</v>
      </c>
      <c r="N157" s="896">
        <f t="shared" ca="1" si="69"/>
        <v>1.0000000000000002E-3</v>
      </c>
      <c r="O157" s="896">
        <f t="shared" ca="1" si="69"/>
        <v>1.0000000000000002E-3</v>
      </c>
      <c r="P157" s="901">
        <f t="shared" ca="1" si="69"/>
        <v>1E-3</v>
      </c>
    </row>
    <row r="158" spans="2:16" outlineLevel="1" x14ac:dyDescent="0.2">
      <c r="B158" s="85" t="s">
        <v>348</v>
      </c>
      <c r="C158" s="1002">
        <f t="shared" ref="C158:P158" si="70">C142/C$39</f>
        <v>0.29282599901110262</v>
      </c>
      <c r="D158" s="1002">
        <f t="shared" si="70"/>
        <v>0.30953404481991664</v>
      </c>
      <c r="E158" s="1002">
        <f t="shared" si="70"/>
        <v>0.32014824946502241</v>
      </c>
      <c r="F158" s="1002">
        <f t="shared" si="70"/>
        <v>0.34759875411826879</v>
      </c>
      <c r="G158" s="1002">
        <f t="shared" si="70"/>
        <v>0.34913928214112422</v>
      </c>
      <c r="H158" s="1003">
        <f t="shared" si="70"/>
        <v>0.35806460812342705</v>
      </c>
      <c r="I158" s="1006">
        <f t="shared" si="63"/>
        <v>0.36833084221471274</v>
      </c>
      <c r="J158" s="1007">
        <f t="shared" si="63"/>
        <v>0.35053296342264728</v>
      </c>
      <c r="K158" s="1029">
        <f t="shared" si="63"/>
        <v>0.35028994785289419</v>
      </c>
      <c r="L158" s="1030">
        <f t="shared" ca="1" si="70"/>
        <v>0.36281719835781773</v>
      </c>
      <c r="M158" s="1031">
        <f t="shared" ca="1" si="70"/>
        <v>0.36523442284668844</v>
      </c>
      <c r="N158" s="1031">
        <f t="shared" ca="1" si="70"/>
        <v>0.36596370185924243</v>
      </c>
      <c r="O158" s="1031">
        <f t="shared" ca="1" si="70"/>
        <v>0.36856301133411989</v>
      </c>
      <c r="P158" s="1032">
        <f t="shared" ca="1" si="70"/>
        <v>0.37241210236361139</v>
      </c>
    </row>
    <row r="159" spans="2:16" outlineLevel="1" x14ac:dyDescent="0.2">
      <c r="B159" s="85" t="s">
        <v>349</v>
      </c>
      <c r="C159" s="1002">
        <f>C143/C$39</f>
        <v>0.99799973030071465</v>
      </c>
      <c r="D159" s="1002">
        <f t="shared" ref="D159:P159" si="71">D143/D$39</f>
        <v>0.97913201128908656</v>
      </c>
      <c r="E159" s="1002">
        <f t="shared" si="71"/>
        <v>0.96921764580437841</v>
      </c>
      <c r="F159" s="1002">
        <f t="shared" si="71"/>
        <v>0.97691520582910729</v>
      </c>
      <c r="G159" s="1002">
        <f t="shared" si="71"/>
        <v>0.94666512085260235</v>
      </c>
      <c r="H159" s="1003">
        <f t="shared" si="71"/>
        <v>0.94816449333742092</v>
      </c>
      <c r="I159" s="1006">
        <f t="shared" si="63"/>
        <v>0.93904341044970108</v>
      </c>
      <c r="J159" s="1007">
        <f t="shared" si="63"/>
        <v>0.94018154827091094</v>
      </c>
      <c r="K159" s="1029">
        <f t="shared" si="63"/>
        <v>0.94757630942687909</v>
      </c>
      <c r="L159" s="1030">
        <f t="shared" ca="1" si="71"/>
        <v>0.94883505048547356</v>
      </c>
      <c r="M159" s="1031">
        <f t="shared" ca="1" si="71"/>
        <v>0.93473666040924408</v>
      </c>
      <c r="N159" s="1031">
        <f t="shared" ca="1" si="71"/>
        <v>0.91317042219006217</v>
      </c>
      <c r="O159" s="1031">
        <f t="shared" ca="1" si="71"/>
        <v>0.88970567592862315</v>
      </c>
      <c r="P159" s="1032">
        <f t="shared" ca="1" si="71"/>
        <v>0.86272201293224016</v>
      </c>
    </row>
    <row r="160" spans="2:16" outlineLevel="1" x14ac:dyDescent="0.2">
      <c r="B160" s="28"/>
      <c r="C160" s="37"/>
      <c r="D160" s="37"/>
      <c r="E160" s="37"/>
      <c r="F160" s="37"/>
      <c r="G160" s="37"/>
      <c r="H160" s="343"/>
      <c r="I160" s="345"/>
      <c r="J160" s="347"/>
      <c r="K160" s="522"/>
      <c r="L160" s="345"/>
      <c r="M160" s="346"/>
      <c r="N160" s="346"/>
      <c r="O160" s="346"/>
      <c r="P160" s="347"/>
    </row>
    <row r="161" spans="1:16" outlineLevel="1" x14ac:dyDescent="0.2">
      <c r="B161" s="85" t="s">
        <v>351</v>
      </c>
      <c r="C161" s="37"/>
      <c r="D161" s="37"/>
      <c r="E161" s="37"/>
      <c r="F161" s="37"/>
      <c r="G161" s="37"/>
      <c r="H161" s="343"/>
      <c r="I161" s="345"/>
      <c r="J161" s="347"/>
      <c r="K161" s="522"/>
      <c r="L161" s="345"/>
      <c r="M161" s="346"/>
      <c r="N161" s="346"/>
      <c r="O161" s="346"/>
      <c r="P161" s="347"/>
    </row>
    <row r="162" spans="1:16" outlineLevel="1" x14ac:dyDescent="0.2">
      <c r="B162" s="85" t="s">
        <v>325</v>
      </c>
      <c r="C162" s="37"/>
      <c r="D162" s="978">
        <f>D128/C128-1</f>
        <v>0.14181221315655268</v>
      </c>
      <c r="E162" s="978">
        <f>E128/D128-1</f>
        <v>0.23187394453671262</v>
      </c>
      <c r="F162" s="978">
        <f>F128/E128-1</f>
        <v>0.26815838667648562</v>
      </c>
      <c r="G162" s="978">
        <f>G128/F128-1</f>
        <v>0.24319688387799943</v>
      </c>
      <c r="H162" s="1001">
        <f>H128/G128-1</f>
        <v>0.1895714162522637</v>
      </c>
      <c r="I162" s="1021">
        <v>0</v>
      </c>
      <c r="J162" s="980">
        <f>J128/I128-1</f>
        <v>0.37946396800318838</v>
      </c>
      <c r="K162" s="980">
        <f>K128/H128-1</f>
        <v>0.16105258070751982</v>
      </c>
      <c r="L162" s="899">
        <f ca="1">L128/H128-1</f>
        <v>0.26999695795464818</v>
      </c>
      <c r="M162" s="896">
        <f ca="1">M128/L128-1</f>
        <v>0.15638811308711942</v>
      </c>
      <c r="N162" s="896">
        <f ca="1">N128/M128-1</f>
        <v>0.11203527534410007</v>
      </c>
      <c r="O162" s="896">
        <f ca="1">O128/N128-1</f>
        <v>4.93257527922768E-2</v>
      </c>
      <c r="P162" s="901">
        <f ca="1">P128/O128-1</f>
        <v>-2.7617921522660183E-4</v>
      </c>
    </row>
    <row r="163" spans="1:16" outlineLevel="1" x14ac:dyDescent="0.2">
      <c r="B163" s="28" t="s">
        <v>330</v>
      </c>
      <c r="C163" s="37"/>
      <c r="D163" s="978">
        <f>IF(ISERROR(D130/C130-1),0,(D130/C130-1))</f>
        <v>0.32495119990814092</v>
      </c>
      <c r="E163" s="978">
        <f>IF(ISERROR(E130/D130-1),0,(E130/D130-1))</f>
        <v>0.40107461651789578</v>
      </c>
      <c r="F163" s="978">
        <f>IF(ISERROR(F130/E130-1),0,(F130/E130-1))</f>
        <v>0.3422403661780169</v>
      </c>
      <c r="G163" s="978">
        <f>IF(ISERROR(G130/F130-1),0,(G130/F130-1))</f>
        <v>0.27649769585253448</v>
      </c>
      <c r="H163" s="1001">
        <f>IF(ISERROR(H130/G130-1),0,(H130/G130-1))</f>
        <v>0.36823104693140785</v>
      </c>
      <c r="I163" s="1021">
        <v>0</v>
      </c>
      <c r="J163" s="980">
        <f>IF(ISERROR(J130/I130-1),0,(J130/I130-1))</f>
        <v>0.59104438980199303</v>
      </c>
      <c r="K163" s="1020">
        <v>0</v>
      </c>
      <c r="L163" s="899">
        <f ca="1">IF(ISERROR(L130/H130-1),0,(L130/H130-1))</f>
        <v>0.29198579815303405</v>
      </c>
      <c r="M163" s="896">
        <f ca="1">IF(ISERROR(M130/L130-1),0,(M130/L130-1))</f>
        <v>0.13789387755102034</v>
      </c>
      <c r="N163" s="896">
        <f ca="1">IF(ISERROR(N130/M130-1),0,(N130/M130-1))</f>
        <v>6.5360000000000085E-2</v>
      </c>
      <c r="O163" s="896">
        <f ca="1">IF(ISERROR(O130/N130-1),0,(O130/N130-1))</f>
        <v>4.7512869565216054E-3</v>
      </c>
      <c r="P163" s="1033">
        <f ca="1">IF(ISERROR(P130/O130-1),0,(P130/O130-1))</f>
        <v>-5.3005127909091065E-2</v>
      </c>
    </row>
    <row r="164" spans="1:16" outlineLevel="1" x14ac:dyDescent="0.2">
      <c r="B164" s="28" t="s">
        <v>332</v>
      </c>
      <c r="C164" s="37"/>
      <c r="D164" s="978">
        <f t="shared" ref="D164:H165" si="72">IF(ISERROR(D131/C131-1),0,(D131/C131-1))</f>
        <v>0</v>
      </c>
      <c r="E164" s="978">
        <f t="shared" si="72"/>
        <v>0</v>
      </c>
      <c r="F164" s="978">
        <f t="shared" si="72"/>
        <v>0</v>
      </c>
      <c r="G164" s="978">
        <f t="shared" si="72"/>
        <v>0</v>
      </c>
      <c r="H164" s="1001">
        <f>IF(ISERROR(H131/G131-1),0,(H131/G131-1))</f>
        <v>0.16417910447761197</v>
      </c>
      <c r="I164" s="1021">
        <v>0</v>
      </c>
      <c r="J164" s="980">
        <f>IF(ISERROR(J131/I131-1),0,(J131/I131-1))</f>
        <v>0.48571428571428577</v>
      </c>
      <c r="K164" s="980">
        <f>K130/H130-1</f>
        <v>0.24100263852242754</v>
      </c>
      <c r="L164" s="899">
        <f ca="1">IF(ISERROR(L131/H131-1),0,(L131/H131-1))</f>
        <v>0.28116854395604385</v>
      </c>
      <c r="M164" s="896">
        <f t="shared" ref="M164:P165" ca="1" si="73">IF(ISERROR(M131/L131-1),0,(M131/L131-1))</f>
        <v>0.16159999999999974</v>
      </c>
      <c r="N164" s="896">
        <f t="shared" ca="1" si="73"/>
        <v>0.11168</v>
      </c>
      <c r="O164" s="896">
        <f t="shared" ca="1" si="73"/>
        <v>5.0421800000000072E-2</v>
      </c>
      <c r="P164" s="1033">
        <f t="shared" ca="1" si="73"/>
        <v>-7.9101340000000686E-3</v>
      </c>
    </row>
    <row r="165" spans="1:16" outlineLevel="1" x14ac:dyDescent="0.2">
      <c r="B165" s="28" t="s">
        <v>333</v>
      </c>
      <c r="C165" s="37"/>
      <c r="D165" s="978">
        <f t="shared" si="72"/>
        <v>0.11229946524064172</v>
      </c>
      <c r="E165" s="978">
        <f t="shared" si="72"/>
        <v>0.19939446366781999</v>
      </c>
      <c r="F165" s="978">
        <f t="shared" si="72"/>
        <v>0.25154650614441465</v>
      </c>
      <c r="G165" s="978">
        <f t="shared" si="72"/>
        <v>0.1609371190460358</v>
      </c>
      <c r="H165" s="1001">
        <f t="shared" si="72"/>
        <v>0.14395356829203099</v>
      </c>
      <c r="I165" s="1021">
        <v>0</v>
      </c>
      <c r="J165" s="980">
        <f>IF(ISERROR(J132/I132-1),0,(J132/I132-1))</f>
        <v>0.30942115223286581</v>
      </c>
      <c r="K165" s="980">
        <f>K131/H131-1</f>
        <v>0.21794871794871784</v>
      </c>
      <c r="L165" s="899">
        <f ca="1">IF(ISERROR(L132/H132-1),0,(L132/H132-1))</f>
        <v>0.26231549817353295</v>
      </c>
      <c r="M165" s="896">
        <f t="shared" ca="1" si="73"/>
        <v>0.1620303809193071</v>
      </c>
      <c r="N165" s="896">
        <f t="shared" ca="1" si="73"/>
        <v>0.12685366594573111</v>
      </c>
      <c r="O165" s="896">
        <f t="shared" ca="1" si="73"/>
        <v>6.2612335326450275E-2</v>
      </c>
      <c r="P165" s="1033">
        <f t="shared" ca="1" si="73"/>
        <v>1.5156724086492268E-2</v>
      </c>
    </row>
    <row r="166" spans="1:16" outlineLevel="1" x14ac:dyDescent="0.2">
      <c r="A166" s="720" t="s">
        <v>127</v>
      </c>
      <c r="B166" s="85" t="s">
        <v>337</v>
      </c>
      <c r="C166" s="37"/>
      <c r="D166" s="30"/>
      <c r="E166" s="30"/>
      <c r="F166" s="30"/>
      <c r="G166" s="30"/>
      <c r="H166" s="31"/>
      <c r="I166" s="141"/>
      <c r="J166" s="168"/>
      <c r="K166" s="520"/>
      <c r="L166" s="345"/>
      <c r="M166" s="346"/>
      <c r="N166" s="346"/>
      <c r="O166" s="346"/>
      <c r="P166" s="347"/>
    </row>
    <row r="167" spans="1:16" outlineLevel="1" x14ac:dyDescent="0.2">
      <c r="B167" s="28" t="s">
        <v>339</v>
      </c>
      <c r="C167" s="37"/>
      <c r="D167" s="978">
        <f t="shared" ref="D167:H175" si="74">D135/C135-1</f>
        <v>0.24558796210291667</v>
      </c>
      <c r="E167" s="978">
        <f t="shared" si="74"/>
        <v>0.31387024608501113</v>
      </c>
      <c r="F167" s="978">
        <f t="shared" si="74"/>
        <v>0.43305522447357969</v>
      </c>
      <c r="G167" s="978">
        <f t="shared" si="74"/>
        <v>0.34765733296368162</v>
      </c>
      <c r="H167" s="1001">
        <f t="shared" si="74"/>
        <v>0.18235518852675825</v>
      </c>
      <c r="I167" s="141"/>
      <c r="J167" s="168"/>
      <c r="K167" s="520"/>
      <c r="L167" s="899">
        <f t="shared" ref="L167:L175" ca="1" si="75">L135/H135-1</f>
        <v>0.36983199542652612</v>
      </c>
      <c r="M167" s="896">
        <f t="shared" ref="M167:P175" ca="1" si="76">M135/L135-1</f>
        <v>0.17916612781256158</v>
      </c>
      <c r="N167" s="896">
        <f t="shared" ca="1" si="76"/>
        <v>0.14309734489939907</v>
      </c>
      <c r="O167" s="896">
        <f t="shared" ca="1" si="76"/>
        <v>7.7992832084958996E-2</v>
      </c>
      <c r="P167" s="901">
        <f t="shared" ca="1" si="76"/>
        <v>2.7875860673331809E-2</v>
      </c>
    </row>
    <row r="168" spans="1:16" outlineLevel="1" x14ac:dyDescent="0.2">
      <c r="B168" s="28" t="s">
        <v>341</v>
      </c>
      <c r="C168" s="37"/>
      <c r="D168" s="978">
        <f t="shared" si="74"/>
        <v>0.35202156334231804</v>
      </c>
      <c r="E168" s="978">
        <f t="shared" si="74"/>
        <v>0.282695374800638</v>
      </c>
      <c r="F168" s="978">
        <f t="shared" si="74"/>
        <v>0.40627914205781779</v>
      </c>
      <c r="G168" s="978">
        <f t="shared" si="74"/>
        <v>0.27484526967285583</v>
      </c>
      <c r="H168" s="1001">
        <f t="shared" si="74"/>
        <v>0.24600339841176266</v>
      </c>
      <c r="I168" s="141"/>
      <c r="J168" s="168"/>
      <c r="K168" s="520"/>
      <c r="L168" s="899">
        <f t="shared" ca="1" si="75"/>
        <v>0.30500384577140593</v>
      </c>
      <c r="M168" s="896">
        <f t="shared" ca="1" si="76"/>
        <v>0.18280340860916167</v>
      </c>
      <c r="N168" s="896">
        <f t="shared" ca="1" si="76"/>
        <v>0.1602903769617432</v>
      </c>
      <c r="O168" s="896">
        <f t="shared" ca="1" si="76"/>
        <v>0.12411264807931688</v>
      </c>
      <c r="P168" s="901">
        <f t="shared" ca="1" si="76"/>
        <v>9.8762116236746689E-2</v>
      </c>
    </row>
    <row r="169" spans="1:16" outlineLevel="1" x14ac:dyDescent="0.2">
      <c r="B169" s="85" t="s">
        <v>342</v>
      </c>
      <c r="C169" s="37"/>
      <c r="D169" s="1002">
        <f t="shared" si="74"/>
        <v>0.21283471837488466</v>
      </c>
      <c r="E169" s="1002">
        <f t="shared" si="74"/>
        <v>0.37666539779215835</v>
      </c>
      <c r="F169" s="1002">
        <f t="shared" si="74"/>
        <v>0.39209180146550526</v>
      </c>
      <c r="G169" s="1002">
        <f t="shared" si="74"/>
        <v>0.37193365776144605</v>
      </c>
      <c r="H169" s="1003">
        <f t="shared" si="74"/>
        <v>0.36658462429419436</v>
      </c>
      <c r="I169" s="337"/>
      <c r="J169" s="338"/>
      <c r="K169" s="521"/>
      <c r="L169" s="1030">
        <f t="shared" ca="1" si="75"/>
        <v>9.1111857020780507E-2</v>
      </c>
      <c r="M169" s="1031">
        <f t="shared" ca="1" si="76"/>
        <v>0.31188641496264258</v>
      </c>
      <c r="N169" s="1031">
        <f t="shared" ca="1" si="76"/>
        <v>0.19249408560837478</v>
      </c>
      <c r="O169" s="1031">
        <f t="shared" ca="1" si="76"/>
        <v>0.15310848553588197</v>
      </c>
      <c r="P169" s="1032">
        <f t="shared" ca="1" si="76"/>
        <v>0.13046989025086542</v>
      </c>
    </row>
    <row r="170" spans="1:16" outlineLevel="1" x14ac:dyDescent="0.2">
      <c r="B170" s="28" t="s">
        <v>344</v>
      </c>
      <c r="C170" s="37"/>
      <c r="D170" s="978">
        <f t="shared" si="74"/>
        <v>0.1515151515151516</v>
      </c>
      <c r="E170" s="978">
        <f t="shared" si="74"/>
        <v>0.31578947368421062</v>
      </c>
      <c r="F170" s="978">
        <f t="shared" si="74"/>
        <v>0.26</v>
      </c>
      <c r="G170" s="978">
        <f t="shared" si="74"/>
        <v>0.30158730158730163</v>
      </c>
      <c r="H170" s="1001">
        <f t="shared" si="74"/>
        <v>0.34146341463414642</v>
      </c>
      <c r="I170" s="141"/>
      <c r="J170" s="168"/>
      <c r="K170" s="520"/>
      <c r="L170" s="899">
        <f t="shared" ca="1" si="75"/>
        <v>4.8433743116883088E-2</v>
      </c>
      <c r="M170" s="896">
        <f t="shared" ca="1" si="76"/>
        <v>0.4043015444293685</v>
      </c>
      <c r="N170" s="896">
        <f t="shared" ca="1" si="76"/>
        <v>0.15860077504604608</v>
      </c>
      <c r="O170" s="896">
        <f t="shared" ca="1" si="76"/>
        <v>8.8488639960514259E-2</v>
      </c>
      <c r="P170" s="901">
        <f t="shared" ca="1" si="76"/>
        <v>3.8118676669842699E-2</v>
      </c>
    </row>
    <row r="171" spans="1:16" outlineLevel="1" x14ac:dyDescent="0.2">
      <c r="B171" s="28" t="s">
        <v>345</v>
      </c>
      <c r="C171" s="37"/>
      <c r="D171" s="978">
        <f t="shared" si="74"/>
        <v>0.4089147286821706</v>
      </c>
      <c r="E171" s="978">
        <f t="shared" si="74"/>
        <v>0.53576341127922977</v>
      </c>
      <c r="F171" s="978">
        <f t="shared" si="74"/>
        <v>0.68786386027765345</v>
      </c>
      <c r="G171" s="978">
        <f t="shared" si="74"/>
        <v>0.48951976651631735</v>
      </c>
      <c r="H171" s="1001">
        <f t="shared" si="74"/>
        <v>0.40327752048450294</v>
      </c>
      <c r="I171" s="141"/>
      <c r="J171" s="168"/>
      <c r="K171" s="520"/>
      <c r="L171" s="899">
        <f t="shared" ca="1" si="75"/>
        <v>0.15070302901149768</v>
      </c>
      <c r="M171" s="896">
        <f t="shared" ca="1" si="76"/>
        <v>0.19431614413254383</v>
      </c>
      <c r="N171" s="896">
        <f t="shared" ca="1" si="76"/>
        <v>0.24319426593220661</v>
      </c>
      <c r="O171" s="896">
        <f t="shared" ca="1" si="76"/>
        <v>0.24319426593220639</v>
      </c>
      <c r="P171" s="901">
        <f t="shared" ca="1" si="76"/>
        <v>0.24319426593220572</v>
      </c>
    </row>
    <row r="172" spans="1:16" outlineLevel="1" x14ac:dyDescent="0.2">
      <c r="B172" s="28" t="s">
        <v>346</v>
      </c>
      <c r="C172" s="37"/>
      <c r="D172" s="978">
        <f t="shared" si="74"/>
        <v>0.12564432989690721</v>
      </c>
      <c r="E172" s="978">
        <f t="shared" si="74"/>
        <v>0.39210074413279905</v>
      </c>
      <c r="F172" s="978">
        <f t="shared" si="74"/>
        <v>0.51069078947368429</v>
      </c>
      <c r="G172" s="978">
        <f t="shared" si="74"/>
        <v>0.18018508437670122</v>
      </c>
      <c r="H172" s="1001">
        <f t="shared" si="74"/>
        <v>0.19995387453874547</v>
      </c>
      <c r="I172" s="141"/>
      <c r="J172" s="168"/>
      <c r="K172" s="520"/>
      <c r="L172" s="899">
        <f t="shared" ca="1" si="75"/>
        <v>0.34549239177698676</v>
      </c>
      <c r="M172" s="896">
        <f t="shared" ca="1" si="76"/>
        <v>0.14481228779573874</v>
      </c>
      <c r="N172" s="896">
        <f t="shared" ca="1" si="76"/>
        <v>0.1789199245077564</v>
      </c>
      <c r="O172" s="896">
        <f t="shared" ca="1" si="76"/>
        <v>0.11188349937306641</v>
      </c>
      <c r="P172" s="901">
        <f t="shared" ca="1" si="76"/>
        <v>4.9971206994851247E-2</v>
      </c>
    </row>
    <row r="173" spans="1:16" outlineLevel="1" x14ac:dyDescent="0.2">
      <c r="B173" s="28" t="s">
        <v>347</v>
      </c>
      <c r="C173" s="37"/>
      <c r="D173" s="978">
        <f t="shared" si="74"/>
        <v>0.28571428571428581</v>
      </c>
      <c r="E173" s="978">
        <f t="shared" si="74"/>
        <v>-2.3391812865497075E-2</v>
      </c>
      <c r="F173" s="978">
        <f t="shared" si="74"/>
        <v>0.2814371257485031</v>
      </c>
      <c r="G173" s="978">
        <f t="shared" si="74"/>
        <v>0.38317757009345788</v>
      </c>
      <c r="H173" s="1001">
        <f t="shared" si="74"/>
        <v>-0.32094594594594594</v>
      </c>
      <c r="I173" s="141"/>
      <c r="J173" s="168"/>
      <c r="K173" s="520"/>
      <c r="L173" s="899">
        <f t="shared" ca="1" si="75"/>
        <v>1.7791343258776049</v>
      </c>
      <c r="M173" s="896">
        <f t="shared" ca="1" si="76"/>
        <v>-0.23581637798875765</v>
      </c>
      <c r="N173" s="896">
        <f t="shared" ca="1" si="76"/>
        <v>0.15734429791740379</v>
      </c>
      <c r="O173" s="896">
        <f t="shared" ca="1" si="76"/>
        <v>0.10180597896529764</v>
      </c>
      <c r="P173" s="901">
        <f t="shared" ca="1" si="76"/>
        <v>6.259066886523823E-2</v>
      </c>
    </row>
    <row r="174" spans="1:16" outlineLevel="1" x14ac:dyDescent="0.2">
      <c r="B174" s="85" t="s">
        <v>348</v>
      </c>
      <c r="C174" s="37"/>
      <c r="D174" s="1002">
        <f t="shared" si="74"/>
        <v>0.27108757387366644</v>
      </c>
      <c r="E174" s="1002">
        <f t="shared" si="74"/>
        <v>0.31441338083449066</v>
      </c>
      <c r="F174" s="1002">
        <f t="shared" si="74"/>
        <v>0.42011209114296211</v>
      </c>
      <c r="G174" s="1002">
        <f t="shared" si="74"/>
        <v>0.31514249668424288</v>
      </c>
      <c r="H174" s="1003">
        <f t="shared" si="74"/>
        <v>0.23533390726847858</v>
      </c>
      <c r="I174" s="337"/>
      <c r="J174" s="338"/>
      <c r="K174" s="521"/>
      <c r="L174" s="1030">
        <f t="shared" ca="1" si="75"/>
        <v>0.29581747795477842</v>
      </c>
      <c r="M174" s="1031">
        <f t="shared" ca="1" si="76"/>
        <v>0.19785118645062738</v>
      </c>
      <c r="N174" s="1031">
        <f t="shared" ca="1" si="76"/>
        <v>0.15965521620432654</v>
      </c>
      <c r="O174" s="1031">
        <f t="shared" ca="1" si="76"/>
        <v>0.10963171333745292</v>
      </c>
      <c r="P174" s="1032">
        <f t="shared" ca="1" si="76"/>
        <v>7.368784380079596E-2</v>
      </c>
    </row>
    <row r="175" spans="1:16" outlineLevel="1" x14ac:dyDescent="0.2">
      <c r="B175" s="88" t="s">
        <v>349</v>
      </c>
      <c r="C175" s="112"/>
      <c r="D175" s="1009">
        <f t="shared" si="74"/>
        <v>0.17974327215403663</v>
      </c>
      <c r="E175" s="1009">
        <f t="shared" si="74"/>
        <v>0.25796722438032704</v>
      </c>
      <c r="F175" s="1009">
        <f t="shared" si="74"/>
        <v>0.31835115059825037</v>
      </c>
      <c r="G175" s="1009">
        <f t="shared" si="74"/>
        <v>0.26879604051565376</v>
      </c>
      <c r="H175" s="1010">
        <f t="shared" si="74"/>
        <v>0.20644906697631371</v>
      </c>
      <c r="I175" s="339"/>
      <c r="J175" s="340"/>
      <c r="K175" s="523"/>
      <c r="L175" s="1034">
        <f t="shared" ca="1" si="75"/>
        <v>0.27974781283305328</v>
      </c>
      <c r="M175" s="1035">
        <f t="shared" ca="1" si="76"/>
        <v>0.17224283525969897</v>
      </c>
      <c r="N175" s="1035">
        <f t="shared" ca="1" si="76"/>
        <v>0.13064205771686321</v>
      </c>
      <c r="O175" s="1035">
        <f t="shared" ca="1" si="76"/>
        <v>7.3494070150125435E-2</v>
      </c>
      <c r="P175" s="1036">
        <f t="shared" ca="1" si="76"/>
        <v>3.0363619755054971E-2</v>
      </c>
    </row>
    <row r="176" spans="1:16" outlineLevel="1" x14ac:dyDescent="0.2"/>
    <row r="178" spans="1:16" outlineLevel="1" x14ac:dyDescent="0.2">
      <c r="A178" s="720" t="s">
        <v>609</v>
      </c>
      <c r="B178" s="342" t="s">
        <v>352</v>
      </c>
      <c r="C178" s="136">
        <v>2014</v>
      </c>
      <c r="D178" s="136">
        <f>D$32</f>
        <v>2015</v>
      </c>
      <c r="E178" s="136">
        <f>E$32</f>
        <v>2016</v>
      </c>
      <c r="F178" s="136">
        <f>F$32</f>
        <v>2017</v>
      </c>
      <c r="G178" s="136">
        <f>G$32</f>
        <v>2018</v>
      </c>
      <c r="H178" s="137">
        <f>H$32</f>
        <v>2019</v>
      </c>
      <c r="I178" s="327" t="str">
        <f>$I$3</f>
        <v xml:space="preserve">Q2 2019 </v>
      </c>
      <c r="J178" s="329" t="str">
        <f>$J$3</f>
        <v>Q2 2020</v>
      </c>
      <c r="K178" s="609" t="str">
        <f>$K$3</f>
        <v xml:space="preserve">LTM </v>
      </c>
      <c r="L178" s="341">
        <v>2020</v>
      </c>
      <c r="M178" s="136">
        <v>2021</v>
      </c>
      <c r="N178" s="136">
        <v>2022</v>
      </c>
      <c r="O178" s="136">
        <v>2023</v>
      </c>
      <c r="P178" s="137">
        <v>2024</v>
      </c>
    </row>
    <row r="179" spans="1:16" outlineLevel="1" x14ac:dyDescent="0.2">
      <c r="B179" s="244" t="s">
        <v>162</v>
      </c>
      <c r="C179" s="258">
        <f t="shared" ref="C179:P179" si="77">C39-C113</f>
        <v>84344</v>
      </c>
      <c r="D179" s="258">
        <f t="shared" si="77"/>
        <v>99126</v>
      </c>
      <c r="E179" s="258">
        <f t="shared" si="77"/>
        <v>123768</v>
      </c>
      <c r="F179" s="258">
        <f t="shared" si="77"/>
        <v>160407</v>
      </c>
      <c r="G179" s="258">
        <f t="shared" si="77"/>
        <v>207232</v>
      </c>
      <c r="H179" s="294">
        <f t="shared" si="77"/>
        <v>245496</v>
      </c>
      <c r="I179" s="1044">
        <f t="shared" si="77"/>
        <v>107028</v>
      </c>
      <c r="J179" s="1045">
        <f t="shared" si="77"/>
        <v>143337</v>
      </c>
      <c r="K179" s="258">
        <f t="shared" si="77"/>
        <v>281805</v>
      </c>
      <c r="L179" s="1044">
        <f t="shared" ca="1" si="77"/>
        <v>315199.58428571431</v>
      </c>
      <c r="M179" s="1046">
        <f t="shared" ca="1" si="77"/>
        <v>372743.75274499995</v>
      </c>
      <c r="N179" s="1046">
        <f t="shared" ca="1" si="77"/>
        <v>426745.47154784302</v>
      </c>
      <c r="O179" s="1046">
        <f t="shared" ca="1" si="77"/>
        <v>460675.44522615115</v>
      </c>
      <c r="P179" s="1045">
        <f t="shared" ca="1" si="77"/>
        <v>474399.13484315772</v>
      </c>
    </row>
    <row r="180" spans="1:16" outlineLevel="1" x14ac:dyDescent="0.2">
      <c r="B180" s="244" t="s">
        <v>353</v>
      </c>
      <c r="H180" s="131"/>
      <c r="I180" s="130"/>
      <c r="J180" s="131"/>
      <c r="L180" s="150"/>
      <c r="M180" s="145"/>
      <c r="N180" s="145"/>
      <c r="O180" s="145"/>
      <c r="P180" s="151"/>
    </row>
    <row r="181" spans="1:16" outlineLevel="1" x14ac:dyDescent="0.2">
      <c r="B181" s="245" t="s">
        <v>354</v>
      </c>
      <c r="C181" s="1047">
        <f t="shared" ref="C181:H182" si="78">C130</f>
        <v>8709</v>
      </c>
      <c r="D181" s="1047">
        <f t="shared" si="78"/>
        <v>11539</v>
      </c>
      <c r="E181" s="1047">
        <f t="shared" si="78"/>
        <v>16167</v>
      </c>
      <c r="F181" s="1047">
        <f t="shared" si="78"/>
        <v>21700</v>
      </c>
      <c r="G181" s="1047">
        <f t="shared" si="78"/>
        <v>27700</v>
      </c>
      <c r="H181" s="1048">
        <f t="shared" si="78"/>
        <v>37900</v>
      </c>
      <c r="I181" s="1039">
        <v>15500</v>
      </c>
      <c r="J181" s="1040">
        <v>24600</v>
      </c>
      <c r="K181" s="1051">
        <f>J181+H181-I181</f>
        <v>47000</v>
      </c>
      <c r="L181" s="1052">
        <f t="shared" ref="L181:P182" ca="1" si="79">L130</f>
        <v>48966.261749999991</v>
      </c>
      <c r="M181" s="1047">
        <f t="shared" ca="1" si="79"/>
        <v>55718.409451885702</v>
      </c>
      <c r="N181" s="1047">
        <f t="shared" ca="1" si="79"/>
        <v>59360.164693660954</v>
      </c>
      <c r="O181" s="1047">
        <f t="shared" ca="1" si="79"/>
        <v>59642.201869906923</v>
      </c>
      <c r="P181" s="1048">
        <f t="shared" ca="1" si="79"/>
        <v>56480.859331012674</v>
      </c>
    </row>
    <row r="182" spans="1:16" s="145" customFormat="1" outlineLevel="1" x14ac:dyDescent="0.2">
      <c r="A182" s="725"/>
      <c r="B182" s="648" t="s">
        <v>355</v>
      </c>
      <c r="C182" s="1049">
        <f t="shared" si="78"/>
        <v>0</v>
      </c>
      <c r="D182" s="1049">
        <f t="shared" si="78"/>
        <v>0</v>
      </c>
      <c r="E182" s="1049">
        <f t="shared" si="78"/>
        <v>0</v>
      </c>
      <c r="F182" s="1049">
        <f t="shared" si="78"/>
        <v>0</v>
      </c>
      <c r="G182" s="1049">
        <f t="shared" si="78"/>
        <v>6700</v>
      </c>
      <c r="H182" s="1050">
        <f t="shared" si="78"/>
        <v>7800</v>
      </c>
      <c r="I182" s="1041">
        <v>3500</v>
      </c>
      <c r="J182" s="1042">
        <v>5200</v>
      </c>
      <c r="K182" s="1049">
        <f>H182+J182-I182</f>
        <v>9500</v>
      </c>
      <c r="L182" s="1053">
        <f t="shared" ca="1" si="79"/>
        <v>9993.1146428571428</v>
      </c>
      <c r="M182" s="1049">
        <f t="shared" ca="1" si="79"/>
        <v>11608.001969142855</v>
      </c>
      <c r="N182" s="1049">
        <f t="shared" ca="1" si="79"/>
        <v>12904.383629056729</v>
      </c>
      <c r="O182" s="1049">
        <f t="shared" ca="1" si="79"/>
        <v>13555.045879524301</v>
      </c>
      <c r="P182" s="1050">
        <f t="shared" ca="1" si="79"/>
        <v>13447.823650241115</v>
      </c>
    </row>
    <row r="183" spans="1:16" s="145" customFormat="1" outlineLevel="1" x14ac:dyDescent="0.2">
      <c r="A183" s="725"/>
      <c r="B183" s="648" t="s">
        <v>356</v>
      </c>
      <c r="C183" s="1049">
        <f>C132</f>
        <v>54043</v>
      </c>
      <c r="D183" s="1049">
        <f>D132</f>
        <v>60112</v>
      </c>
      <c r="E183" s="1049">
        <f>E132</f>
        <v>72098</v>
      </c>
      <c r="F183" s="1049">
        <f>F132</f>
        <v>90234</v>
      </c>
      <c r="G183" s="1054">
        <f>G132+'Whole Foods'!H6</f>
        <v>93215.92</v>
      </c>
      <c r="H183" s="1055">
        <f>H132+'Whole Foods'!I6</f>
        <v>108231.4</v>
      </c>
      <c r="I183" s="1053">
        <f>I185-I181-I182-I184</f>
        <v>45454.7</v>
      </c>
      <c r="J183" s="1050">
        <f>J185-J181-J182-J184</f>
        <v>61358.020562581114</v>
      </c>
      <c r="K183" s="1049">
        <f>J183+H183-I183</f>
        <v>124134.7205625811</v>
      </c>
      <c r="L183" s="1056">
        <f ca="1">L132+'Whole Foods'!J6</f>
        <v>139752.8811642857</v>
      </c>
      <c r="M183" s="1054">
        <f ca="1">M132+'Whole Foods'!K6</f>
        <v>164022.55275484771</v>
      </c>
      <c r="N183" s="1054">
        <f ca="1">N132+'Whole Foods'!L6</f>
        <v>186106.9886494393</v>
      </c>
      <c r="O183" s="1054">
        <f ca="1">O132+'Whole Foods'!M6</f>
        <v>198325.00945416576</v>
      </c>
      <c r="P183" s="1055">
        <f ca="1">P132+'Whole Foods'!N6</f>
        <v>201374.72441538103</v>
      </c>
    </row>
    <row r="184" spans="1:16" outlineLevel="1" x14ac:dyDescent="0.2">
      <c r="B184" s="247" t="s">
        <v>357</v>
      </c>
      <c r="C184" s="1043">
        <v>0</v>
      </c>
      <c r="D184" s="1043">
        <v>0</v>
      </c>
      <c r="E184" s="1043">
        <v>0</v>
      </c>
      <c r="F184" s="1043">
        <v>0</v>
      </c>
      <c r="G184" s="1057">
        <f>-'Whole Foods'!H6</f>
        <v>11540.08</v>
      </c>
      <c r="H184" s="1058">
        <f>-'Whole Foods'!I6</f>
        <v>11604.6</v>
      </c>
      <c r="I184" s="1052">
        <f>H184/2</f>
        <v>5802.3</v>
      </c>
      <c r="J184" s="1048">
        <f>L184/2</f>
        <v>5758.9794374188878</v>
      </c>
      <c r="K184" s="1047">
        <f>H184+J184-I184</f>
        <v>11561.279437418889</v>
      </c>
      <c r="L184" s="1059">
        <f>-'Whole Foods'!J6</f>
        <v>11517.958874837776</v>
      </c>
      <c r="M184" s="1057">
        <f>-'Whole Foods'!K6</f>
        <v>11758.75911779852</v>
      </c>
      <c r="N184" s="1057">
        <f>-'Whole Foods'!L6</f>
        <v>11972.827039001968</v>
      </c>
      <c r="O184" s="1057">
        <f>-'Whole Foods'!M6</f>
        <v>12157.046075561666</v>
      </c>
      <c r="P184" s="1058">
        <f>-'Whole Foods'!N6</f>
        <v>12297.549555168189</v>
      </c>
    </row>
    <row r="185" spans="1:16" outlineLevel="1" x14ac:dyDescent="0.2">
      <c r="B185" s="248" t="s">
        <v>358</v>
      </c>
      <c r="C185" s="258">
        <f t="shared" ref="C185:H185" si="80">SUM(C181:C184)</f>
        <v>62752</v>
      </c>
      <c r="D185" s="258">
        <f t="shared" si="80"/>
        <v>71651</v>
      </c>
      <c r="E185" s="258">
        <f t="shared" si="80"/>
        <v>88265</v>
      </c>
      <c r="F185" s="258">
        <f t="shared" si="80"/>
        <v>111934</v>
      </c>
      <c r="G185" s="258">
        <f t="shared" si="80"/>
        <v>139156</v>
      </c>
      <c r="H185" s="294">
        <f t="shared" si="80"/>
        <v>165536</v>
      </c>
      <c r="I185" s="466">
        <f>I128</f>
        <v>70257</v>
      </c>
      <c r="J185" s="294">
        <f>J128</f>
        <v>96917</v>
      </c>
      <c r="K185" s="258">
        <f>K128</f>
        <v>192196</v>
      </c>
      <c r="L185" s="466">
        <f ca="1">SUM(L181:L184)</f>
        <v>210230.21643198063</v>
      </c>
      <c r="M185" s="258">
        <f ca="1">SUM(M181:M184)</f>
        <v>243107.72329367482</v>
      </c>
      <c r="N185" s="258">
        <f ca="1">SUM(N181:N184)</f>
        <v>270344.36401115893</v>
      </c>
      <c r="O185" s="258">
        <f ca="1">SUM(O181:O184)</f>
        <v>283679.30327915866</v>
      </c>
      <c r="P185" s="294">
        <f ca="1">SUM(P181:P184)</f>
        <v>283600.956951803</v>
      </c>
    </row>
    <row r="186" spans="1:16" outlineLevel="1" x14ac:dyDescent="0.2">
      <c r="B186" s="244" t="s">
        <v>164</v>
      </c>
      <c r="C186" s="258">
        <f t="shared" ref="C186:H186" si="81">C179-C185</f>
        <v>21592</v>
      </c>
      <c r="D186" s="258">
        <f t="shared" si="81"/>
        <v>27475</v>
      </c>
      <c r="E186" s="258">
        <f t="shared" si="81"/>
        <v>35503</v>
      </c>
      <c r="F186" s="258">
        <f t="shared" si="81"/>
        <v>48473</v>
      </c>
      <c r="G186" s="258">
        <f t="shared" si="81"/>
        <v>68076</v>
      </c>
      <c r="H186" s="294">
        <f t="shared" si="81"/>
        <v>79960</v>
      </c>
      <c r="I186" s="466">
        <f t="shared" ref="I186:P186" si="82">I179-I185</f>
        <v>36771</v>
      </c>
      <c r="J186" s="294">
        <f t="shared" si="82"/>
        <v>46420</v>
      </c>
      <c r="K186" s="258">
        <f t="shared" si="82"/>
        <v>89609</v>
      </c>
      <c r="L186" s="466">
        <f t="shared" ca="1" si="82"/>
        <v>104969.36785373368</v>
      </c>
      <c r="M186" s="258">
        <f t="shared" ca="1" si="82"/>
        <v>129636.02945132513</v>
      </c>
      <c r="N186" s="258">
        <f t="shared" ca="1" si="82"/>
        <v>156401.10753668408</v>
      </c>
      <c r="O186" s="258">
        <f t="shared" ca="1" si="82"/>
        <v>176996.14194699249</v>
      </c>
      <c r="P186" s="294">
        <f t="shared" ca="1" si="82"/>
        <v>190798.17789135472</v>
      </c>
    </row>
    <row r="187" spans="1:16" outlineLevel="1" x14ac:dyDescent="0.2">
      <c r="B187" s="244"/>
      <c r="C187" s="249"/>
      <c r="D187" s="249"/>
      <c r="E187" s="249"/>
      <c r="F187" s="249"/>
      <c r="G187" s="249"/>
      <c r="H187" s="285"/>
      <c r="I187" s="462"/>
      <c r="J187" s="285"/>
      <c r="K187" s="249"/>
      <c r="L187" s="150"/>
      <c r="M187" s="145"/>
      <c r="N187" s="145"/>
      <c r="O187" s="145"/>
      <c r="P187" s="151"/>
    </row>
    <row r="188" spans="1:16" outlineLevel="1" x14ac:dyDescent="0.2">
      <c r="B188" s="244" t="s">
        <v>359</v>
      </c>
      <c r="H188" s="131"/>
      <c r="I188" s="130"/>
      <c r="J188" s="131"/>
      <c r="L188" s="150"/>
      <c r="M188" s="145"/>
      <c r="N188" s="145"/>
      <c r="O188" s="145"/>
      <c r="P188" s="151"/>
    </row>
    <row r="189" spans="1:16" outlineLevel="1" x14ac:dyDescent="0.2">
      <c r="B189" s="130" t="s">
        <v>339</v>
      </c>
      <c r="C189" s="1047">
        <f t="shared" ref="C189:J189" si="83">C135</f>
        <v>10766</v>
      </c>
      <c r="D189" s="1047">
        <f t="shared" si="83"/>
        <v>13410</v>
      </c>
      <c r="E189" s="1047">
        <f t="shared" si="83"/>
        <v>17619</v>
      </c>
      <c r="F189" s="1047">
        <f t="shared" si="83"/>
        <v>25249</v>
      </c>
      <c r="G189" s="1047">
        <f t="shared" si="83"/>
        <v>34027</v>
      </c>
      <c r="H189" s="1048">
        <f t="shared" si="83"/>
        <v>40232</v>
      </c>
      <c r="I189" s="1052">
        <f t="shared" si="83"/>
        <v>17872</v>
      </c>
      <c r="J189" s="1048">
        <f t="shared" si="83"/>
        <v>25337</v>
      </c>
      <c r="K189" s="1047">
        <f>J189+H189-I189</f>
        <v>47697</v>
      </c>
      <c r="L189" s="1052">
        <f ca="1">L135</f>
        <v>55111.080839999995</v>
      </c>
      <c r="M189" s="1047">
        <f ca="1">M135</f>
        <v>64985.119793667851</v>
      </c>
      <c r="N189" s="1047">
        <f ca="1">N135</f>
        <v>74284.317894111111</v>
      </c>
      <c r="O189" s="1047">
        <f ca="1">O135</f>
        <v>80077.96222617224</v>
      </c>
      <c r="P189" s="1048">
        <f ca="1">P135</f>
        <v>82310.204344193349</v>
      </c>
    </row>
    <row r="190" spans="1:16" outlineLevel="1" x14ac:dyDescent="0.2">
      <c r="B190" s="130" t="s">
        <v>341</v>
      </c>
      <c r="C190" s="1057">
        <f>C136-AWS!C6</f>
        <v>6208.9347777228395</v>
      </c>
      <c r="D190" s="1057">
        <f>D136-AWS!D6</f>
        <v>7762.2429209577031</v>
      </c>
      <c r="E190" s="1057">
        <f>E136-AWS!E6</f>
        <v>9440.5310066403399</v>
      </c>
      <c r="F190" s="1057">
        <f>F136-AWS!F6</f>
        <v>13642.638941675194</v>
      </c>
      <c r="G190" s="1057">
        <f>G136-AWS!G6</f>
        <v>16602.264463022839</v>
      </c>
      <c r="H190" s="1058">
        <f>H136-AWS!H6</f>
        <v>18658.743884615109</v>
      </c>
      <c r="I190" s="1059">
        <f>I136-AWS!O6</f>
        <v>9204.8366454380048</v>
      </c>
      <c r="J190" s="1058">
        <f>J136-AWS!P6</f>
        <v>10283.011774476163</v>
      </c>
      <c r="K190" s="1052">
        <f>J190+H190-I190</f>
        <v>19736.919013653267</v>
      </c>
      <c r="L190" s="1059">
        <f ca="1">L136-AWS!I6</f>
        <v>25118.032003141652</v>
      </c>
      <c r="M190" s="1057">
        <f ca="1">M136-AWS!J6</f>
        <v>29748.205511343742</v>
      </c>
      <c r="N190" s="1057">
        <f ca="1">N136-AWS!K6</f>
        <v>34067.273594947328</v>
      </c>
      <c r="O190" s="1057">
        <f ca="1">O136-AWS!L6</f>
        <v>36780.766937601002</v>
      </c>
      <c r="P190" s="1058">
        <f ca="1">P136-AWS!M6</f>
        <v>37877.929420156608</v>
      </c>
    </row>
    <row r="191" spans="1:16" outlineLevel="1" x14ac:dyDescent="0.2">
      <c r="B191" s="130" t="s">
        <v>344</v>
      </c>
      <c r="C191" s="1047">
        <f>C138</f>
        <v>3300</v>
      </c>
      <c r="D191" s="1047">
        <f>D138</f>
        <v>3800</v>
      </c>
      <c r="E191" s="1047">
        <f>E138</f>
        <v>5000</v>
      </c>
      <c r="F191" s="1047">
        <f>F138</f>
        <v>6300</v>
      </c>
      <c r="G191" s="1057">
        <f>G138-'Whole Foods'!H9</f>
        <v>8062.2079999999996</v>
      </c>
      <c r="H191" s="1058">
        <f>H138-'Whole Foods'!I9</f>
        <v>10845.272000000001</v>
      </c>
      <c r="I191" s="1052">
        <f>I138-I225</f>
        <v>4257.8999999999996</v>
      </c>
      <c r="J191" s="1048">
        <f>J138-J225</f>
        <v>4361.9250000000002</v>
      </c>
      <c r="K191" s="1047">
        <f>J191+H191-I191</f>
        <v>10949.297</v>
      </c>
      <c r="L191" s="1059">
        <f ca="1">L138-'Whole Foods'!J9</f>
        <v>11357.412774285714</v>
      </c>
      <c r="M191" s="1057">
        <f ca="1">M138-'Whole Foods'!K9</f>
        <v>16017.06119959993</v>
      </c>
      <c r="N191" s="1057">
        <f ca="1">N138-'Whole Foods'!L9</f>
        <v>18583.001800004902</v>
      </c>
      <c r="O191" s="1057">
        <f ca="1">O138-'Whole Foods'!M9</f>
        <v>20149.464483213018</v>
      </c>
      <c r="P191" s="1058">
        <f ca="1">P138-'Whole Foods'!N9</f>
        <v>20925.269476784746</v>
      </c>
    </row>
    <row r="192" spans="1:16" outlineLevel="1" x14ac:dyDescent="0.2">
      <c r="B192" s="130" t="s">
        <v>346</v>
      </c>
      <c r="C192" s="1057">
        <f>C140-AWS!C8</f>
        <v>1471.0060682339192</v>
      </c>
      <c r="D192" s="1057">
        <f>D140-AWS!D8</f>
        <v>1618.3496439451992</v>
      </c>
      <c r="E192" s="1057">
        <f>E140-AWS!E8</f>
        <v>2213.4746409583267</v>
      </c>
      <c r="F192" s="1057">
        <f>F140-AWS!F8</f>
        <v>3313.3669054231837</v>
      </c>
      <c r="G192" s="1057">
        <f>G140-AWS!G8</f>
        <v>3858.3431106072903</v>
      </c>
      <c r="H192" s="1058">
        <f>H140-AWS!H8</f>
        <v>4553.3529919222019</v>
      </c>
      <c r="I192" s="1059">
        <f>I140-AWS!O8</f>
        <v>2124.8410449701064</v>
      </c>
      <c r="J192" s="1058">
        <f>J140-AWS!P8</f>
        <v>2644.1178360224867</v>
      </c>
      <c r="K192" s="1047">
        <f>J192+H192-I192</f>
        <v>5072.6297829745818</v>
      </c>
      <c r="L192" s="1059">
        <f ca="1">L140-AWS!I8</f>
        <v>6129.7144672448321</v>
      </c>
      <c r="M192" s="1057">
        <f ca="1">M140-AWS!J8</f>
        <v>6931.6933049042</v>
      </c>
      <c r="N192" s="1057">
        <f ca="1">N140-AWS!K8</f>
        <v>8102.3230566988714</v>
      </c>
      <c r="O192" s="1057">
        <f ca="1">O140-AWS!L8</f>
        <v>8832.0980843156158</v>
      </c>
      <c r="P192" s="1058">
        <f ca="1">P140-AWS!M8</f>
        <v>8950.1265154339835</v>
      </c>
    </row>
    <row r="193" spans="2:23" outlineLevel="1" x14ac:dyDescent="0.2">
      <c r="B193" s="130" t="s">
        <v>347</v>
      </c>
      <c r="C193" s="1057">
        <f>C141-AWS!C9</f>
        <v>126.05915404324179</v>
      </c>
      <c r="D193" s="1057">
        <f>D141-AWS!D9</f>
        <v>158.40743509709736</v>
      </c>
      <c r="E193" s="1057">
        <f>E141-AWS!E9</f>
        <v>151.99435240133249</v>
      </c>
      <c r="F193" s="1057">
        <f>F141-AWS!F9</f>
        <v>192.99415290162256</v>
      </c>
      <c r="G193" s="1057">
        <f>G141-AWS!G9</f>
        <v>263.39242636987035</v>
      </c>
      <c r="H193" s="1058">
        <f>H141-AWS!H9</f>
        <v>175.9031234626874</v>
      </c>
      <c r="I193" s="1059">
        <f>I141-AWS!O9</f>
        <v>70.422309591889785</v>
      </c>
      <c r="J193" s="1057">
        <f>J141-AWS!P9</f>
        <v>313.94538950135069</v>
      </c>
      <c r="K193" s="1052">
        <f>J193+H193-I193</f>
        <v>419.42620337214828</v>
      </c>
      <c r="L193" s="1059">
        <f ca="1">L141-AWS!I9</f>
        <v>515.06187714285716</v>
      </c>
      <c r="M193" s="1057">
        <f ca="1">M141-AWS!J9</f>
        <v>372.74375274499994</v>
      </c>
      <c r="N193" s="1057">
        <f ca="1">N141-AWS!K9</f>
        <v>426.74547154784307</v>
      </c>
      <c r="O193" s="1057">
        <f ca="1">O141-AWS!L9</f>
        <v>460.67544522615123</v>
      </c>
      <c r="P193" s="1058">
        <f ca="1">P141-AWS!M9</f>
        <v>474.3991348431577</v>
      </c>
    </row>
    <row r="194" spans="2:23" outlineLevel="1" x14ac:dyDescent="0.2">
      <c r="B194" s="244" t="s">
        <v>360</v>
      </c>
      <c r="C194" s="258">
        <f t="shared" ref="C194:P194" si="84">SUM(C189:C193)</f>
        <v>21872.000000000004</v>
      </c>
      <c r="D194" s="258">
        <f t="shared" si="84"/>
        <v>26749</v>
      </c>
      <c r="E194" s="258">
        <f t="shared" si="84"/>
        <v>34425</v>
      </c>
      <c r="F194" s="258">
        <f t="shared" si="84"/>
        <v>48698</v>
      </c>
      <c r="G194" s="258">
        <f t="shared" si="84"/>
        <v>62813.207999999999</v>
      </c>
      <c r="H194" s="294">
        <f t="shared" si="84"/>
        <v>74465.271999999997</v>
      </c>
      <c r="I194" s="466">
        <f>SUM(I189:I193)</f>
        <v>33530</v>
      </c>
      <c r="J194" s="294">
        <f>SUM(J189:J193)</f>
        <v>42940.000000000007</v>
      </c>
      <c r="K194" s="258">
        <f>SUM(K189:K193)</f>
        <v>83875.272000000012</v>
      </c>
      <c r="L194" s="466">
        <f t="shared" ca="1" si="84"/>
        <v>98231.301961815043</v>
      </c>
      <c r="M194" s="258">
        <f t="shared" ca="1" si="84"/>
        <v>118054.82356226072</v>
      </c>
      <c r="N194" s="258">
        <f t="shared" ca="1" si="84"/>
        <v>135463.66181731006</v>
      </c>
      <c r="O194" s="258">
        <f t="shared" ca="1" si="84"/>
        <v>146300.96717652804</v>
      </c>
      <c r="P194" s="294">
        <f t="shared" ca="1" si="84"/>
        <v>150537.92889141184</v>
      </c>
    </row>
    <row r="195" spans="2:23" outlineLevel="1" x14ac:dyDescent="0.2">
      <c r="B195" s="132"/>
      <c r="C195" s="250"/>
      <c r="D195" s="250"/>
      <c r="E195" s="250"/>
      <c r="F195" s="250"/>
      <c r="G195" s="250"/>
      <c r="H195" s="288"/>
      <c r="I195" s="604"/>
      <c r="J195" s="288"/>
      <c r="K195" s="250"/>
      <c r="L195" s="152"/>
      <c r="M195" s="153"/>
      <c r="N195" s="153"/>
      <c r="O195" s="153"/>
      <c r="P195" s="154"/>
    </row>
    <row r="196" spans="2:23" outlineLevel="1" x14ac:dyDescent="0.2">
      <c r="B196" s="239" t="s">
        <v>361</v>
      </c>
      <c r="C196" s="240"/>
      <c r="D196" s="240"/>
      <c r="E196" s="240"/>
      <c r="F196" s="240"/>
      <c r="G196" s="240"/>
      <c r="H196" s="241"/>
      <c r="I196" s="425"/>
      <c r="J196" s="241"/>
      <c r="K196" s="240"/>
      <c r="L196" s="316"/>
      <c r="M196" s="148"/>
      <c r="N196" s="148"/>
      <c r="O196" s="148"/>
      <c r="P196" s="149"/>
    </row>
    <row r="197" spans="2:23" outlineLevel="1" x14ac:dyDescent="0.2">
      <c r="B197" s="130" t="s">
        <v>95</v>
      </c>
      <c r="C197" s="1066">
        <f>Prime!C9/C179</f>
        <v>0.20463814853457271</v>
      </c>
      <c r="D197" s="1066">
        <f>Prime!D9/D179</f>
        <v>0.2720476968706495</v>
      </c>
      <c r="E197" s="1066">
        <f>Prime!E9/E179</f>
        <v>0.36475918776675031</v>
      </c>
      <c r="F197" s="1066">
        <f>Prime!F9/F179</f>
        <v>0.42788750812091442</v>
      </c>
      <c r="G197" s="1066">
        <f>Prime!G9/G179</f>
        <v>0.52798341387203429</v>
      </c>
      <c r="H197" s="1067">
        <f>Prime!H9/H179</f>
        <v>0.60429846980340673</v>
      </c>
      <c r="I197" s="1068">
        <f>Prime!O9/I179</f>
        <v>0.65070084542394147</v>
      </c>
      <c r="J197" s="1067">
        <f>Prime!P9/J179</f>
        <v>0.69143664079416067</v>
      </c>
      <c r="K197" s="1066">
        <f>Prime!Q9/K179</f>
        <v>0.63099696896909607</v>
      </c>
      <c r="L197" s="1068">
        <f ca="1">Prime!I9/L179</f>
        <v>0.63408171463822938</v>
      </c>
      <c r="M197" s="1066">
        <f ca="1">Prime!J9/M179</f>
        <v>0.6228408596338878</v>
      </c>
      <c r="N197" s="1066">
        <f ca="1">Prime!K9/N179</f>
        <v>0.60478128015050303</v>
      </c>
      <c r="O197" s="1066">
        <f ca="1">Prime!L9/O179</f>
        <v>0.58848571244642589</v>
      </c>
      <c r="P197" s="1067">
        <f ca="1">Prime!M9/P179</f>
        <v>0.56694132271919639</v>
      </c>
    </row>
    <row r="198" spans="2:23" outlineLevel="1" x14ac:dyDescent="0.2">
      <c r="B198" s="130" t="s">
        <v>362</v>
      </c>
      <c r="C198" s="1066">
        <f>Retail!C7/C179</f>
        <v>0.79536185146542726</v>
      </c>
      <c r="D198" s="1066">
        <f>Retail!D7/D179</f>
        <v>0.72795230312935055</v>
      </c>
      <c r="E198" s="1066">
        <f>Retail!E7/E179</f>
        <v>0.63524081223324969</v>
      </c>
      <c r="F198" s="1066">
        <f>Retail!F7/F179</f>
        <v>0.57211249187908553</v>
      </c>
      <c r="G198" s="897">
        <f>G200+G201</f>
        <v>0.47201658612796571</v>
      </c>
      <c r="H198" s="1067">
        <f>Retail!H7/H179</f>
        <v>0.39570153019659332</v>
      </c>
      <c r="I198" s="1062">
        <f>1-I197</f>
        <v>0.34929915457605853</v>
      </c>
      <c r="J198" s="898">
        <f>1-J197</f>
        <v>0.30856335920583933</v>
      </c>
      <c r="K198" s="897">
        <f>1-K197</f>
        <v>0.36900303103090393</v>
      </c>
      <c r="L198" s="1068">
        <f ca="1">Retail!I7/L179</f>
        <v>0.36591828536177046</v>
      </c>
      <c r="M198" s="1066">
        <f ca="1">Retail!J7/M179</f>
        <v>0.37715914036611226</v>
      </c>
      <c r="N198" s="1066">
        <f ca="1">Retail!K7/N179</f>
        <v>0.39521871984949697</v>
      </c>
      <c r="O198" s="1066">
        <f ca="1">Retail!L7/O179</f>
        <v>0.41151428755357422</v>
      </c>
      <c r="P198" s="1067">
        <f ca="1">Retail!M7/P179</f>
        <v>0.43305867728080355</v>
      </c>
    </row>
    <row r="199" spans="2:23" outlineLevel="1" x14ac:dyDescent="0.2">
      <c r="B199" s="130"/>
      <c r="H199" s="131"/>
      <c r="I199" s="130"/>
      <c r="J199" s="131"/>
      <c r="L199" s="150"/>
      <c r="M199" s="145"/>
      <c r="N199" s="145"/>
      <c r="O199" s="145"/>
      <c r="P199" s="151"/>
    </row>
    <row r="200" spans="2:23" outlineLevel="1" x14ac:dyDescent="0.2">
      <c r="B200" s="433" t="s">
        <v>48</v>
      </c>
      <c r="C200" s="703"/>
      <c r="D200" s="703"/>
      <c r="E200" s="703"/>
      <c r="F200" s="703"/>
      <c r="G200" s="1069">
        <f>Retail!G5/G179</f>
        <v>0.38890200922864515</v>
      </c>
      <c r="H200" s="1070">
        <f>Retail!H5/H179</f>
        <v>0.32567187594560754</v>
      </c>
      <c r="I200" s="1065">
        <f>I198-I201</f>
        <v>0.26860998912402728</v>
      </c>
      <c r="J200" s="1064">
        <f>J198-J201</f>
        <v>0.2498625352734283</v>
      </c>
      <c r="K200" s="1063">
        <f>K198-K201</f>
        <v>0.30878408530602325</v>
      </c>
      <c r="L200" s="1071">
        <f ca="1">Retail!I5/L179</f>
        <v>0.31028420183422195</v>
      </c>
      <c r="M200" s="1069">
        <f ca="1">Retail!J5/M179</f>
        <v>0.32929055217757591</v>
      </c>
      <c r="N200" s="1069">
        <f ca="1">Retail!K5/N179</f>
        <v>0.35278040669690003</v>
      </c>
      <c r="O200" s="1069">
        <f ca="1">Retail!L5/O179</f>
        <v>0.37171026148165442</v>
      </c>
      <c r="P200" s="1070">
        <f ca="1">Retail!M5/P179</f>
        <v>0.39401959932607089</v>
      </c>
    </row>
    <row r="201" spans="2:23" outlineLevel="1" x14ac:dyDescent="0.2">
      <c r="B201" s="130" t="s">
        <v>363</v>
      </c>
      <c r="C201" s="242"/>
      <c r="D201" s="242"/>
      <c r="E201" s="242"/>
      <c r="F201" s="242"/>
      <c r="G201" s="1066">
        <f>Retail!G6/G179</f>
        <v>8.3114576899320572E-2</v>
      </c>
      <c r="H201" s="1067">
        <f>Retail!H6/H179</f>
        <v>7.0029654250985757E-2</v>
      </c>
      <c r="I201" s="1062">
        <f>I34/I179</f>
        <v>8.0689165452031239E-2</v>
      </c>
      <c r="J201" s="898">
        <f>J34/J179</f>
        <v>5.870082393241103E-2</v>
      </c>
      <c r="K201" s="897">
        <f>K34/K179</f>
        <v>6.0218945724880679E-2</v>
      </c>
      <c r="L201" s="1068">
        <f ca="1">Retail!I6/L179</f>
        <v>5.563408352754852E-2</v>
      </c>
      <c r="M201" s="1066">
        <f ca="1">Retail!J6/M179</f>
        <v>4.7868588188536308E-2</v>
      </c>
      <c r="N201" s="1066">
        <f ca="1">Retail!K6/N179</f>
        <v>4.243831315259692E-2</v>
      </c>
      <c r="O201" s="1066">
        <f ca="1">Retail!L6/O179</f>
        <v>3.9804026071919837E-2</v>
      </c>
      <c r="P201" s="1067">
        <f ca="1">Retail!M6/P179</f>
        <v>3.9039077954732625E-2</v>
      </c>
    </row>
    <row r="202" spans="2:23" outlineLevel="1" x14ac:dyDescent="0.2">
      <c r="B202" s="132"/>
      <c r="C202" s="243"/>
      <c r="D202" s="243"/>
      <c r="E202" s="243"/>
      <c r="F202" s="243"/>
      <c r="G202" s="133"/>
      <c r="H202" s="276"/>
      <c r="I202" s="605"/>
      <c r="J202" s="276"/>
      <c r="K202" s="243"/>
      <c r="L202" s="152"/>
      <c r="M202" s="153"/>
      <c r="N202" s="153"/>
      <c r="O202" s="153"/>
      <c r="P202" s="154"/>
    </row>
    <row r="203" spans="2:23" outlineLevel="1" x14ac:dyDescent="0.2">
      <c r="B203" s="239" t="s">
        <v>364</v>
      </c>
      <c r="C203" s="240"/>
      <c r="D203" s="240"/>
      <c r="E203" s="240"/>
      <c r="F203" s="240"/>
      <c r="G203" s="240"/>
      <c r="H203" s="241"/>
      <c r="I203" s="425"/>
      <c r="J203" s="241"/>
      <c r="K203" s="240"/>
      <c r="L203" s="316"/>
      <c r="M203" s="148"/>
      <c r="N203" s="148"/>
      <c r="O203" s="148"/>
      <c r="P203" s="149"/>
    </row>
    <row r="204" spans="2:23" outlineLevel="1" x14ac:dyDescent="0.2">
      <c r="B204" s="130" t="s">
        <v>350</v>
      </c>
      <c r="C204" s="252">
        <f t="shared" ref="C204:J204" si="85">C$197*C183</f>
        <v>11059.259461253912</v>
      </c>
      <c r="D204" s="252">
        <f t="shared" si="85"/>
        <v>16353.331154288482</v>
      </c>
      <c r="E204" s="252">
        <f t="shared" si="85"/>
        <v>26298.407919607165</v>
      </c>
      <c r="F204" s="252">
        <f t="shared" si="85"/>
        <v>38610.001407782591</v>
      </c>
      <c r="G204" s="252">
        <f t="shared" si="85"/>
        <v>49216.459668822441</v>
      </c>
      <c r="H204" s="290">
        <f t="shared" si="85"/>
        <v>65404.069404680435</v>
      </c>
      <c r="I204" s="464">
        <f t="shared" si="85"/>
        <v>29577.411718491629</v>
      </c>
      <c r="J204" s="290">
        <f t="shared" si="85"/>
        <v>42425.183623570119</v>
      </c>
      <c r="K204" s="252">
        <f t="shared" ref="K204:K209" si="86">J204+H204-I204</f>
        <v>78251.841309758936</v>
      </c>
      <c r="L204" s="468"/>
      <c r="M204" s="166"/>
      <c r="N204" s="166"/>
      <c r="O204" s="166"/>
      <c r="P204" s="254"/>
      <c r="R204" s="166"/>
      <c r="S204" s="166"/>
      <c r="T204" s="166"/>
      <c r="U204" s="166"/>
      <c r="V204" s="166"/>
      <c r="W204" s="166"/>
    </row>
    <row r="205" spans="2:23" outlineLevel="1" x14ac:dyDescent="0.2">
      <c r="B205" s="130" t="s">
        <v>339</v>
      </c>
      <c r="C205" s="252">
        <f>C$197*C189</f>
        <v>2203.13430712321</v>
      </c>
      <c r="D205" s="252">
        <f t="shared" ref="C205:H209" si="87">D$197*D189</f>
        <v>3648.1596150354098</v>
      </c>
      <c r="E205" s="252">
        <f t="shared" si="87"/>
        <v>6426.6921292623738</v>
      </c>
      <c r="F205" s="252">
        <f t="shared" si="87"/>
        <v>10803.731692544969</v>
      </c>
      <c r="G205" s="252">
        <f t="shared" si="87"/>
        <v>17965.69162382371</v>
      </c>
      <c r="H205" s="290">
        <f t="shared" si="87"/>
        <v>24312.136037130658</v>
      </c>
      <c r="I205" s="464">
        <f t="shared" ref="I205:J209" si="88">I$197*I189</f>
        <v>11629.325509416682</v>
      </c>
      <c r="J205" s="290">
        <f t="shared" si="88"/>
        <v>17518.930167801649</v>
      </c>
      <c r="K205" s="252">
        <f t="shared" si="86"/>
        <v>30201.740695515626</v>
      </c>
      <c r="L205" s="468"/>
      <c r="M205" s="166"/>
      <c r="N205" s="166"/>
      <c r="O205" s="166"/>
      <c r="P205" s="254"/>
      <c r="R205" s="166"/>
      <c r="S205" s="166"/>
      <c r="T205" s="166"/>
      <c r="U205" s="166"/>
      <c r="V205" s="166"/>
      <c r="W205" s="166"/>
    </row>
    <row r="206" spans="2:23" outlineLevel="1" x14ac:dyDescent="0.2">
      <c r="B206" s="130" t="s">
        <v>341</v>
      </c>
      <c r="C206" s="252">
        <f t="shared" si="87"/>
        <v>1270.5849172851206</v>
      </c>
      <c r="D206" s="252">
        <f t="shared" si="87"/>
        <v>2111.700309197046</v>
      </c>
      <c r="E206" s="252">
        <f t="shared" si="87"/>
        <v>3443.520422068952</v>
      </c>
      <c r="F206" s="252">
        <f t="shared" si="87"/>
        <v>5837.514780946748</v>
      </c>
      <c r="G206" s="252">
        <f t="shared" si="87"/>
        <v>8765.7202691931543</v>
      </c>
      <c r="H206" s="290">
        <f t="shared" si="87"/>
        <v>11275.450377926583</v>
      </c>
      <c r="I206" s="464">
        <f t="shared" si="88"/>
        <v>5989.5949871757866</v>
      </c>
      <c r="J206" s="290">
        <f t="shared" si="88"/>
        <v>7110.0511185905989</v>
      </c>
      <c r="K206" s="252">
        <f t="shared" si="86"/>
        <v>12395.906509341396</v>
      </c>
      <c r="L206" s="468"/>
      <c r="M206" s="166"/>
      <c r="O206" s="166"/>
      <c r="P206" s="254"/>
      <c r="R206" s="166"/>
      <c r="S206" s="166"/>
      <c r="T206" s="166"/>
      <c r="U206" s="166"/>
      <c r="V206" s="166"/>
      <c r="W206" s="166"/>
    </row>
    <row r="207" spans="2:23" outlineLevel="1" x14ac:dyDescent="0.2">
      <c r="B207" s="130" t="s">
        <v>344</v>
      </c>
      <c r="C207" s="252">
        <f t="shared" si="87"/>
        <v>675.30589016408999</v>
      </c>
      <c r="D207" s="252">
        <f t="shared" si="87"/>
        <v>1033.7812481084682</v>
      </c>
      <c r="E207" s="252">
        <f t="shared" si="87"/>
        <v>1823.7959388337515</v>
      </c>
      <c r="F207" s="252">
        <f t="shared" si="87"/>
        <v>2695.6913011617607</v>
      </c>
      <c r="G207" s="252">
        <f t="shared" si="87"/>
        <v>4256.7121031864253</v>
      </c>
      <c r="H207" s="290">
        <f t="shared" si="87"/>
        <v>6553.7812742017331</v>
      </c>
      <c r="I207" s="464">
        <f t="shared" si="88"/>
        <v>2770.6191297306</v>
      </c>
      <c r="J207" s="290">
        <f t="shared" si="88"/>
        <v>3015.9947693960694</v>
      </c>
      <c r="K207" s="252">
        <f t="shared" si="86"/>
        <v>6799.1569138672021</v>
      </c>
      <c r="L207" s="468"/>
      <c r="M207" s="166"/>
      <c r="N207" s="166"/>
      <c r="O207" s="166"/>
      <c r="P207" s="254"/>
      <c r="R207" s="166"/>
      <c r="S207" s="166"/>
      <c r="T207" s="166"/>
      <c r="U207" s="166"/>
      <c r="V207" s="166"/>
      <c r="W207" s="166"/>
    </row>
    <row r="208" spans="2:23" outlineLevel="1" x14ac:dyDescent="0.2">
      <c r="B208" s="130" t="s">
        <v>346</v>
      </c>
      <c r="C208" s="252">
        <f t="shared" si="87"/>
        <v>301.02395828651055</v>
      </c>
      <c r="D208" s="252">
        <f t="shared" si="87"/>
        <v>440.26829336672711</v>
      </c>
      <c r="E208" s="252">
        <f t="shared" si="87"/>
        <v>807.3852121782586</v>
      </c>
      <c r="F208" s="252">
        <f t="shared" si="87"/>
        <v>1417.7483086518316</v>
      </c>
      <c r="G208" s="252">
        <f t="shared" si="87"/>
        <v>2037.1411674280812</v>
      </c>
      <c r="H208" s="290">
        <f t="shared" si="87"/>
        <v>2751.5842454933504</v>
      </c>
      <c r="I208" s="464">
        <f t="shared" si="88"/>
        <v>1382.6358643535395</v>
      </c>
      <c r="J208" s="290">
        <f t="shared" si="88"/>
        <v>1828.2399544033135</v>
      </c>
      <c r="K208" s="252">
        <f t="shared" si="86"/>
        <v>3197.1883355431246</v>
      </c>
      <c r="L208" s="468"/>
      <c r="M208" s="166"/>
      <c r="N208" s="166"/>
      <c r="O208" s="166"/>
      <c r="P208" s="254"/>
      <c r="R208" s="166"/>
      <c r="S208" s="166"/>
      <c r="T208" s="166"/>
      <c r="U208" s="166"/>
      <c r="V208" s="166"/>
      <c r="W208" s="166"/>
    </row>
    <row r="209" spans="2:23" outlineLevel="1" x14ac:dyDescent="0.2">
      <c r="B209" s="130" t="s">
        <v>347</v>
      </c>
      <c r="C209" s="252">
        <f t="shared" si="87"/>
        <v>25.796511889243497</v>
      </c>
      <c r="D209" s="252">
        <f t="shared" si="87"/>
        <v>43.09437788535223</v>
      </c>
      <c r="E209" s="252">
        <f t="shared" si="87"/>
        <v>55.441336527043255</v>
      </c>
      <c r="F209" s="252">
        <f t="shared" si="87"/>
        <v>82.579787166982015</v>
      </c>
      <c r="G209" s="252">
        <f t="shared" si="87"/>
        <v>139.06683246280258</v>
      </c>
      <c r="H209" s="290">
        <f t="shared" si="87"/>
        <v>106.29798834214174</v>
      </c>
      <c r="I209" s="464">
        <f t="shared" si="88"/>
        <v>45.823856388149224</v>
      </c>
      <c r="J209" s="290">
        <f t="shared" si="88"/>
        <v>217.07334550962827</v>
      </c>
      <c r="K209" s="252">
        <f t="shared" si="86"/>
        <v>277.54747746362079</v>
      </c>
      <c r="L209" s="468"/>
      <c r="M209" s="166"/>
      <c r="N209" s="166"/>
      <c r="O209" s="166"/>
      <c r="P209" s="254"/>
      <c r="R209" s="166"/>
      <c r="S209" s="166"/>
      <c r="T209" s="166"/>
      <c r="U209" s="166"/>
      <c r="V209" s="166"/>
      <c r="W209" s="166"/>
    </row>
    <row r="210" spans="2:23" outlineLevel="1" x14ac:dyDescent="0.2">
      <c r="B210" s="244" t="s">
        <v>365</v>
      </c>
      <c r="C210" s="255">
        <f t="shared" ref="C210:H210" si="89">SUM(C204:C209)</f>
        <v>15535.105046002089</v>
      </c>
      <c r="D210" s="255">
        <f t="shared" si="89"/>
        <v>23630.334997881488</v>
      </c>
      <c r="E210" s="255">
        <f t="shared" si="89"/>
        <v>38855.242958477553</v>
      </c>
      <c r="F210" s="255">
        <f t="shared" si="89"/>
        <v>59447.267278254883</v>
      </c>
      <c r="G210" s="255">
        <f t="shared" si="89"/>
        <v>82380.791664916629</v>
      </c>
      <c r="H210" s="291">
        <f t="shared" si="89"/>
        <v>110403.31932777488</v>
      </c>
      <c r="I210" s="465">
        <f>SUM(I204:I209)</f>
        <v>51395.411065556378</v>
      </c>
      <c r="J210" s="291">
        <f>SUM(J204:J209)</f>
        <v>72115.472979271377</v>
      </c>
      <c r="K210" s="255">
        <f>SUM(K204:K209)</f>
        <v>131123.3812414899</v>
      </c>
      <c r="L210" s="469"/>
      <c r="M210" s="251"/>
      <c r="N210" s="251"/>
      <c r="O210" s="251"/>
      <c r="P210" s="289"/>
      <c r="R210" s="251"/>
      <c r="S210" s="251"/>
      <c r="T210" s="251"/>
      <c r="U210" s="251"/>
      <c r="V210" s="251"/>
      <c r="W210" s="251"/>
    </row>
    <row r="211" spans="2:23" outlineLevel="1" x14ac:dyDescent="0.2">
      <c r="B211" s="132"/>
      <c r="C211" s="133"/>
      <c r="D211" s="133"/>
      <c r="E211" s="133"/>
      <c r="F211" s="133"/>
      <c r="G211" s="133"/>
      <c r="H211" s="134"/>
      <c r="I211" s="132"/>
      <c r="J211" s="134"/>
      <c r="K211" s="133"/>
      <c r="L211" s="152"/>
      <c r="M211" s="153"/>
      <c r="N211" s="153"/>
      <c r="O211" s="153"/>
      <c r="P211" s="154"/>
      <c r="R211" s="166"/>
      <c r="S211" s="166"/>
      <c r="T211" s="166"/>
      <c r="U211" s="166"/>
      <c r="V211" s="166"/>
    </row>
    <row r="212" spans="2:23" outlineLevel="1" x14ac:dyDescent="0.2">
      <c r="B212" s="239" t="s">
        <v>366</v>
      </c>
      <c r="C212" s="240"/>
      <c r="D212" s="240"/>
      <c r="E212" s="240"/>
      <c r="F212" s="240"/>
      <c r="G212" s="240"/>
      <c r="H212" s="241"/>
      <c r="I212" s="425"/>
      <c r="J212" s="241"/>
      <c r="K212" s="240"/>
      <c r="L212" s="316"/>
      <c r="M212" s="148"/>
      <c r="N212" s="148"/>
      <c r="O212" s="148"/>
      <c r="P212" s="149"/>
    </row>
    <row r="213" spans="2:23" outlineLevel="1" x14ac:dyDescent="0.2">
      <c r="B213" s="130" t="s">
        <v>350</v>
      </c>
      <c r="C213" s="252">
        <f t="shared" ref="C213:J213" si="90">C$198*C183</f>
        <v>42983.740538746082</v>
      </c>
      <c r="D213" s="252">
        <f t="shared" si="90"/>
        <v>43758.668845711523</v>
      </c>
      <c r="E213" s="252">
        <f t="shared" si="90"/>
        <v>45799.592080392838</v>
      </c>
      <c r="F213" s="252">
        <f t="shared" si="90"/>
        <v>51623.998592217402</v>
      </c>
      <c r="G213" s="252">
        <f t="shared" si="90"/>
        <v>43999.460331177557</v>
      </c>
      <c r="H213" s="290">
        <f t="shared" si="90"/>
        <v>42827.330595319567</v>
      </c>
      <c r="I213" s="464">
        <f t="shared" si="90"/>
        <v>15877.288281508367</v>
      </c>
      <c r="J213" s="290">
        <f t="shared" si="90"/>
        <v>18932.836939010991</v>
      </c>
      <c r="K213" s="252">
        <f t="shared" ref="K213:K219" si="91">J213+H213-I213</f>
        <v>45882.879252822189</v>
      </c>
      <c r="L213" s="464">
        <f ca="1">L$198*L183</f>
        <v>51138.134650002692</v>
      </c>
      <c r="M213" s="252">
        <f ca="1">M$198*M183</f>
        <v>61862.604997673661</v>
      </c>
      <c r="N213" s="252">
        <f ca="1">N$198*N183</f>
        <v>73552.965809076268</v>
      </c>
      <c r="O213" s="252">
        <f ca="1">O$198*O183</f>
        <v>81613.574969586887</v>
      </c>
      <c r="P213" s="290">
        <f ca="1">P$198*P183</f>
        <v>87207.071793111245</v>
      </c>
      <c r="Q213" s="252"/>
      <c r="R213" s="166"/>
      <c r="S213" s="166"/>
      <c r="T213" s="166"/>
      <c r="U213" s="166"/>
      <c r="V213" s="166"/>
    </row>
    <row r="214" spans="2:23" outlineLevel="1" x14ac:dyDescent="0.2">
      <c r="B214" s="130" t="s">
        <v>339</v>
      </c>
      <c r="C214" s="252">
        <f t="shared" ref="C214:F218" si="92">C$198*C189</f>
        <v>8562.8656928767905</v>
      </c>
      <c r="D214" s="252">
        <f t="shared" si="92"/>
        <v>9761.8403849645911</v>
      </c>
      <c r="E214" s="252">
        <f t="shared" si="92"/>
        <v>11192.307870737626</v>
      </c>
      <c r="F214" s="252">
        <f t="shared" si="92"/>
        <v>14445.26830745503</v>
      </c>
      <c r="G214" s="252">
        <f t="shared" ref="G214:P215" si="93">G$200*G189</f>
        <v>13233.168668023109</v>
      </c>
      <c r="H214" s="290">
        <f t="shared" si="93"/>
        <v>13102.430913043683</v>
      </c>
      <c r="I214" s="464">
        <f>I$200*I189</f>
        <v>4800.597725624616</v>
      </c>
      <c r="J214" s="290">
        <f>J$200*J189</f>
        <v>6330.7670562228532</v>
      </c>
      <c r="K214" s="252">
        <f t="shared" si="91"/>
        <v>14632.600243641922</v>
      </c>
      <c r="L214" s="464">
        <f t="shared" ca="1" si="93"/>
        <v>17100.09773066068</v>
      </c>
      <c r="M214" s="252">
        <f t="shared" ca="1" si="93"/>
        <v>21398.985980182806</v>
      </c>
      <c r="N214" s="252">
        <f t="shared" ca="1" si="93"/>
        <v>26206.051877886326</v>
      </c>
      <c r="O214" s="252">
        <f t="shared" ca="1" si="93"/>
        <v>29765.80027800853</v>
      </c>
      <c r="P214" s="290">
        <f t="shared" ca="1" si="93"/>
        <v>32431.833736146084</v>
      </c>
      <c r="Q214" s="252"/>
      <c r="R214" s="166"/>
      <c r="S214" s="166"/>
      <c r="T214" s="166"/>
      <c r="U214" s="166"/>
      <c r="V214" s="166"/>
    </row>
    <row r="215" spans="2:23" outlineLevel="1" x14ac:dyDescent="0.2">
      <c r="B215" s="130" t="s">
        <v>341</v>
      </c>
      <c r="C215" s="252">
        <f t="shared" si="92"/>
        <v>4938.3498604377191</v>
      </c>
      <c r="D215" s="252">
        <f t="shared" si="92"/>
        <v>5650.5426117606576</v>
      </c>
      <c r="E215" s="252">
        <f t="shared" si="92"/>
        <v>5997.0105845713879</v>
      </c>
      <c r="F215" s="252">
        <f t="shared" si="92"/>
        <v>7805.1241607284455</v>
      </c>
      <c r="G215" s="252">
        <f t="shared" si="93"/>
        <v>6456.6540074149152</v>
      </c>
      <c r="H215" s="290">
        <f t="shared" si="93"/>
        <v>6076.6281236912346</v>
      </c>
      <c r="I215" s="464">
        <f>I$200*I190</f>
        <v>2472.5110712195501</v>
      </c>
      <c r="J215" s="290">
        <f>J$200*J190</f>
        <v>2569.339392217129</v>
      </c>
      <c r="K215" s="252">
        <f t="shared" si="91"/>
        <v>6173.4564446888135</v>
      </c>
      <c r="L215" s="464">
        <f t="shared" ca="1" si="93"/>
        <v>7793.7285117412512</v>
      </c>
      <c r="M215" s="252">
        <f t="shared" ca="1" si="93"/>
        <v>9795.8030191223879</v>
      </c>
      <c r="N215" s="252">
        <f t="shared" ca="1" si="93"/>
        <v>12018.266633880083</v>
      </c>
      <c r="O215" s="252">
        <f t="shared" ca="1" si="93"/>
        <v>13671.788495871459</v>
      </c>
      <c r="P215" s="290">
        <f t="shared" ca="1" si="93"/>
        <v>14924.646573431299</v>
      </c>
      <c r="Q215" s="252"/>
      <c r="R215" s="166"/>
      <c r="S215" s="166"/>
      <c r="T215" s="166"/>
      <c r="U215" s="166"/>
      <c r="V215" s="166"/>
    </row>
    <row r="216" spans="2:23" outlineLevel="1" x14ac:dyDescent="0.2">
      <c r="B216" s="130" t="s">
        <v>344</v>
      </c>
      <c r="C216" s="252">
        <f t="shared" si="92"/>
        <v>2624.6941098359098</v>
      </c>
      <c r="D216" s="252">
        <f t="shared" si="92"/>
        <v>2766.2187518915321</v>
      </c>
      <c r="E216" s="252">
        <f t="shared" si="92"/>
        <v>3176.2040611662483</v>
      </c>
      <c r="F216" s="252">
        <f t="shared" si="92"/>
        <v>3604.3086988382388</v>
      </c>
      <c r="G216" s="252">
        <f t="shared" ref="G216:P216" si="94">G$198*G191</f>
        <v>3805.4958968135738</v>
      </c>
      <c r="H216" s="290">
        <f t="shared" si="94"/>
        <v>4291.4907257982686</v>
      </c>
      <c r="I216" s="464">
        <f>I$198*I191</f>
        <v>1487.2808702693994</v>
      </c>
      <c r="J216" s="290">
        <f>J$198*J191</f>
        <v>1345.9302306039308</v>
      </c>
      <c r="K216" s="252">
        <f t="shared" si="91"/>
        <v>4150.1400861328002</v>
      </c>
      <c r="L216" s="464">
        <f t="shared" ca="1" si="94"/>
        <v>4155.8850085124968</v>
      </c>
      <c r="M216" s="252">
        <f t="shared" ca="1" si="94"/>
        <v>6040.9810332325205</v>
      </c>
      <c r="N216" s="252">
        <f t="shared" ca="1" si="94"/>
        <v>7344.3501823588349</v>
      </c>
      <c r="O216" s="252">
        <f t="shared" ca="1" si="94"/>
        <v>8291.7925213954532</v>
      </c>
      <c r="P216" s="290">
        <f t="shared" ca="1" si="94"/>
        <v>9061.8695213607734</v>
      </c>
      <c r="Q216" s="252"/>
      <c r="R216" s="166"/>
      <c r="S216" s="166"/>
      <c r="T216" s="166"/>
      <c r="U216" s="166"/>
      <c r="V216" s="166"/>
    </row>
    <row r="217" spans="2:23" outlineLevel="1" x14ac:dyDescent="0.2">
      <c r="B217" s="130" t="s">
        <v>346</v>
      </c>
      <c r="C217" s="252">
        <f t="shared" si="92"/>
        <v>1169.9821099474086</v>
      </c>
      <c r="D217" s="252">
        <f t="shared" si="92"/>
        <v>1178.0813505784722</v>
      </c>
      <c r="E217" s="252">
        <f t="shared" si="92"/>
        <v>1406.0894287800681</v>
      </c>
      <c r="F217" s="252">
        <f t="shared" si="92"/>
        <v>1895.6185967713518</v>
      </c>
      <c r="G217" s="252">
        <f t="shared" ref="G217:P218" si="95">G$200*G192</f>
        <v>1500.5173880086759</v>
      </c>
      <c r="H217" s="290">
        <f t="shared" si="95"/>
        <v>1482.8990107218483</v>
      </c>
      <c r="I217" s="464">
        <f>I$200*I192</f>
        <v>570.75352997970708</v>
      </c>
      <c r="J217" s="290">
        <f>J$200*J192</f>
        <v>660.66598607026947</v>
      </c>
      <c r="K217" s="252">
        <f t="shared" si="91"/>
        <v>1572.8114668124106</v>
      </c>
      <c r="L217" s="464">
        <f t="shared" ca="1" si="95"/>
        <v>1901.9535609407458</v>
      </c>
      <c r="M217" s="252">
        <f t="shared" ca="1" si="95"/>
        <v>2282.5411158975103</v>
      </c>
      <c r="N217" s="252">
        <f t="shared" ca="1" si="95"/>
        <v>2858.3408231318981</v>
      </c>
      <c r="O217" s="252">
        <f t="shared" ca="1" si="95"/>
        <v>3282.9814883525769</v>
      </c>
      <c r="P217" s="290">
        <f t="shared" ca="1" si="95"/>
        <v>3526.5252635289412</v>
      </c>
      <c r="Q217" s="252"/>
      <c r="R217" s="166"/>
      <c r="S217" s="166"/>
      <c r="T217" s="166"/>
      <c r="U217" s="166"/>
      <c r="V217" s="166"/>
    </row>
    <row r="218" spans="2:23" outlineLevel="1" x14ac:dyDescent="0.2">
      <c r="B218" s="130" t="s">
        <v>347</v>
      </c>
      <c r="C218" s="252">
        <f t="shared" si="92"/>
        <v>100.26264215399829</v>
      </c>
      <c r="D218" s="252">
        <f t="shared" si="92"/>
        <v>115.31305721174515</v>
      </c>
      <c r="E218" s="252">
        <f t="shared" si="92"/>
        <v>96.553015874289244</v>
      </c>
      <c r="F218" s="252">
        <f t="shared" si="92"/>
        <v>110.41436573464053</v>
      </c>
      <c r="G218" s="252">
        <f t="shared" si="95"/>
        <v>102.43384383085056</v>
      </c>
      <c r="H218" s="290">
        <f t="shared" si="95"/>
        <v>57.286700202785219</v>
      </c>
      <c r="I218" s="464">
        <f>I$200*I193</f>
        <v>18.916135813566399</v>
      </c>
      <c r="J218" s="290">
        <f>J$200*J193</f>
        <v>78.443190958211432</v>
      </c>
      <c r="K218" s="252">
        <f t="shared" si="91"/>
        <v>116.81375534743026</v>
      </c>
      <c r="L218" s="464">
        <f t="shared" ca="1" si="95"/>
        <v>159.81556344450752</v>
      </c>
      <c r="M218" s="252">
        <f t="shared" ca="1" si="95"/>
        <v>122.74099616214286</v>
      </c>
      <c r="N218" s="252">
        <f t="shared" ca="1" si="95"/>
        <v>150.54744100870846</v>
      </c>
      <c r="O218" s="252">
        <f t="shared" ca="1" si="95"/>
        <v>171.23779020319023</v>
      </c>
      <c r="P218" s="290">
        <f t="shared" ca="1" si="95"/>
        <v>186.92255703153566</v>
      </c>
      <c r="Q218" s="252"/>
      <c r="R218" s="166"/>
      <c r="S218" s="166"/>
      <c r="T218" s="166"/>
      <c r="U218" s="166"/>
      <c r="V218" s="166"/>
    </row>
    <row r="219" spans="2:23" outlineLevel="1" x14ac:dyDescent="0.2">
      <c r="B219" s="244" t="s">
        <v>367</v>
      </c>
      <c r="C219" s="255">
        <f t="shared" ref="C219:J219" si="96">SUM(C213:C218)</f>
        <v>60379.8949539979</v>
      </c>
      <c r="D219" s="255">
        <f t="shared" si="96"/>
        <v>63230.66500211852</v>
      </c>
      <c r="E219" s="255">
        <f t="shared" si="96"/>
        <v>67667.757041522462</v>
      </c>
      <c r="F219" s="255">
        <f t="shared" si="96"/>
        <v>79484.732721745109</v>
      </c>
      <c r="G219" s="255">
        <f t="shared" si="96"/>
        <v>69097.730135268677</v>
      </c>
      <c r="H219" s="291">
        <f t="shared" si="96"/>
        <v>67838.066068777378</v>
      </c>
      <c r="I219" s="465">
        <f t="shared" si="96"/>
        <v>25227.347614415205</v>
      </c>
      <c r="J219" s="291">
        <f t="shared" si="96"/>
        <v>29917.982795083386</v>
      </c>
      <c r="K219" s="465">
        <f t="shared" si="91"/>
        <v>72528.701249445556</v>
      </c>
      <c r="L219" s="465">
        <f ca="1">SUM(L213:L218)</f>
        <v>82249.615025302381</v>
      </c>
      <c r="M219" s="255">
        <f ca="1">SUM(M213:M218)</f>
        <v>101503.65714227101</v>
      </c>
      <c r="N219" s="255">
        <f ca="1">SUM(N213:N218)</f>
        <v>122130.5227673421</v>
      </c>
      <c r="O219" s="255">
        <f ca="1">SUM(O213:O218)</f>
        <v>136797.1755434181</v>
      </c>
      <c r="P219" s="291">
        <f ca="1">SUM(P213:P218)</f>
        <v>147338.86944460991</v>
      </c>
      <c r="Q219" s="255"/>
      <c r="R219" s="251"/>
      <c r="S219" s="251"/>
      <c r="T219" s="251"/>
      <c r="U219" s="251"/>
      <c r="V219" s="251"/>
    </row>
    <row r="220" spans="2:23" outlineLevel="1" x14ac:dyDescent="0.2">
      <c r="B220" s="130"/>
      <c r="G220" s="256"/>
      <c r="H220" s="292"/>
      <c r="I220" s="606"/>
      <c r="J220" s="292"/>
      <c r="K220" s="256"/>
      <c r="L220" s="150"/>
      <c r="M220" s="145"/>
      <c r="N220" s="145"/>
      <c r="O220" s="145"/>
      <c r="P220" s="151"/>
      <c r="R220" s="166"/>
      <c r="S220" s="166"/>
      <c r="T220" s="166"/>
      <c r="U220" s="166"/>
      <c r="V220" s="166"/>
    </row>
    <row r="221" spans="2:23" outlineLevel="1" x14ac:dyDescent="0.2">
      <c r="B221" s="696" t="s">
        <v>368</v>
      </c>
      <c r="C221" s="64"/>
      <c r="D221" s="64"/>
      <c r="E221" s="64"/>
      <c r="F221" s="64"/>
      <c r="G221" s="697"/>
      <c r="H221" s="698"/>
      <c r="I221" s="699"/>
      <c r="J221" s="698"/>
      <c r="K221" s="697"/>
      <c r="L221" s="700"/>
      <c r="M221" s="701"/>
      <c r="N221" s="701"/>
      <c r="O221" s="701"/>
      <c r="P221" s="702"/>
      <c r="Q221" s="145"/>
    </row>
    <row r="222" spans="2:23" outlineLevel="1" x14ac:dyDescent="0.2">
      <c r="B222" s="130" t="s">
        <v>350</v>
      </c>
      <c r="C222" s="166"/>
      <c r="D222" s="166"/>
      <c r="E222" s="166"/>
      <c r="F222" s="166"/>
      <c r="G222" s="1072">
        <f>-'Whole Foods'!H6</f>
        <v>11540.08</v>
      </c>
      <c r="H222" s="1073">
        <f>-'Whole Foods'!I6</f>
        <v>11604.6</v>
      </c>
      <c r="I222" s="463">
        <f>I184</f>
        <v>5802.3</v>
      </c>
      <c r="J222" s="293">
        <f>J184</f>
        <v>5758.9794374188878</v>
      </c>
      <c r="K222" s="252">
        <f t="shared" ref="K222:K229" si="97">J222+H222-I222</f>
        <v>11561.279437418889</v>
      </c>
      <c r="L222" s="463">
        <f>L184</f>
        <v>11517.958874837776</v>
      </c>
      <c r="M222" s="257">
        <f>M184</f>
        <v>11758.75911779852</v>
      </c>
      <c r="N222" s="257">
        <f>N184</f>
        <v>11972.827039001968</v>
      </c>
      <c r="O222" s="257">
        <f>O184</f>
        <v>12157.046075561666</v>
      </c>
      <c r="P222" s="293">
        <f>P184</f>
        <v>12297.549555168189</v>
      </c>
      <c r="Q222" s="235"/>
    </row>
    <row r="223" spans="2:23" outlineLevel="1" x14ac:dyDescent="0.2">
      <c r="B223" s="130" t="s">
        <v>339</v>
      </c>
      <c r="C223" s="166"/>
      <c r="D223" s="166"/>
      <c r="E223" s="166"/>
      <c r="F223" s="166"/>
      <c r="G223" s="252">
        <f>G$201*G189</f>
        <v>2828.1397081531809</v>
      </c>
      <c r="H223" s="290">
        <f>H$201*H189</f>
        <v>2817.4330498256591</v>
      </c>
      <c r="I223" s="464">
        <f>I$201*I189</f>
        <v>1442.0767649587024</v>
      </c>
      <c r="J223" s="290">
        <f>J$201*J189</f>
        <v>1487.3027759754982</v>
      </c>
      <c r="K223" s="252">
        <f t="shared" si="97"/>
        <v>2862.6590608424549</v>
      </c>
      <c r="L223" s="464">
        <f t="shared" ref="G223:P224" ca="1" si="98">L$201*L189</f>
        <v>3066.0544747460385</v>
      </c>
      <c r="M223" s="252">
        <f t="shared" ca="1" si="98"/>
        <v>3110.7459377857858</v>
      </c>
      <c r="N223" s="252">
        <f t="shared" ca="1" si="98"/>
        <v>3152.5011451173464</v>
      </c>
      <c r="O223" s="252">
        <f t="shared" ca="1" si="98"/>
        <v>3187.4252962367718</v>
      </c>
      <c r="P223" s="290">
        <f t="shared" ca="1" si="98"/>
        <v>3213.314483862936</v>
      </c>
      <c r="Q223" s="236"/>
    </row>
    <row r="224" spans="2:23" outlineLevel="1" x14ac:dyDescent="0.2">
      <c r="B224" s="130" t="s">
        <v>341</v>
      </c>
      <c r="C224" s="166"/>
      <c r="D224" s="166"/>
      <c r="E224" s="166"/>
      <c r="F224" s="166"/>
      <c r="G224" s="252">
        <f t="shared" si="98"/>
        <v>1379.890186414769</v>
      </c>
      <c r="H224" s="290">
        <f t="shared" si="98"/>
        <v>1306.6653829972909</v>
      </c>
      <c r="I224" s="464">
        <f>I$201*I190</f>
        <v>742.73058704266737</v>
      </c>
      <c r="J224" s="290">
        <f>J$201*J190</f>
        <v>603.62126366843472</v>
      </c>
      <c r="K224" s="252">
        <f t="shared" si="97"/>
        <v>1167.5560596230582</v>
      </c>
      <c r="L224" s="464">
        <f t="shared" ca="1" si="98"/>
        <v>1397.4186905104195</v>
      </c>
      <c r="M224" s="252">
        <f t="shared" ca="1" si="98"/>
        <v>1424.0045989704597</v>
      </c>
      <c r="N224" s="252">
        <f t="shared" ca="1" si="98"/>
        <v>1445.757625077571</v>
      </c>
      <c r="O224" s="252">
        <f t="shared" ca="1" si="98"/>
        <v>1464.0226061294775</v>
      </c>
      <c r="P224" s="290">
        <f t="shared" ca="1" si="98"/>
        <v>1478.7194393973541</v>
      </c>
      <c r="Q224" s="145"/>
      <c r="R224" s="166"/>
      <c r="S224" s="166"/>
      <c r="T224" s="166"/>
      <c r="U224" s="166"/>
      <c r="V224" s="166"/>
    </row>
    <row r="225" spans="2:22" outlineLevel="1" x14ac:dyDescent="0.2">
      <c r="B225" s="130" t="s">
        <v>344</v>
      </c>
      <c r="C225" s="166"/>
      <c r="D225" s="166"/>
      <c r="E225" s="166"/>
      <c r="F225" s="166"/>
      <c r="G225" s="1072">
        <f>'Whole Foods'!H9</f>
        <v>137.792</v>
      </c>
      <c r="H225" s="1073">
        <f>'Whole Foods'!I9</f>
        <v>154.72799999999998</v>
      </c>
      <c r="I225" s="1060">
        <v>80</v>
      </c>
      <c r="J225" s="1061">
        <v>80</v>
      </c>
      <c r="K225" s="252">
        <f t="shared" si="97"/>
        <v>154.72799999999998</v>
      </c>
      <c r="L225" s="1074">
        <f>'Whole Foods'!J9</f>
        <v>175.35840000000002</v>
      </c>
      <c r="M225" s="1072">
        <f>'Whole Foods'!K9</f>
        <v>178.42717200000004</v>
      </c>
      <c r="N225" s="1072">
        <f>'Whole Foods'!L9</f>
        <v>181.10357958</v>
      </c>
      <c r="O225" s="1072">
        <f>'Whole Foods'!M9</f>
        <v>275.05106148712497</v>
      </c>
      <c r="P225" s="1073">
        <f>'Whole Foods'!N9</f>
        <v>277.80157210199621</v>
      </c>
      <c r="Q225" s="235"/>
    </row>
    <row r="226" spans="2:22" outlineLevel="1" x14ac:dyDescent="0.2">
      <c r="B226" s="130" t="s">
        <v>346</v>
      </c>
      <c r="C226" s="166"/>
      <c r="D226" s="166"/>
      <c r="E226" s="166"/>
      <c r="F226" s="166"/>
      <c r="G226" s="252">
        <f t="shared" ref="G226:P227" si="99">G$201*G192</f>
        <v>320.68455517053337</v>
      </c>
      <c r="H226" s="290">
        <f t="shared" si="99"/>
        <v>318.86973570700331</v>
      </c>
      <c r="I226" s="464">
        <f>I$201*I192</f>
        <v>171.45165063685985</v>
      </c>
      <c r="J226" s="290">
        <f>J$201*J192</f>
        <v>155.21189554890364</v>
      </c>
      <c r="K226" s="252">
        <f t="shared" si="97"/>
        <v>302.62998061904705</v>
      </c>
      <c r="L226" s="464">
        <f t="shared" ca="1" si="99"/>
        <v>341.02104667072155</v>
      </c>
      <c r="M226" s="252">
        <f t="shared" ca="1" si="99"/>
        <v>331.81037226169337</v>
      </c>
      <c r="N226" s="252">
        <f t="shared" ca="1" si="99"/>
        <v>343.84892314369301</v>
      </c>
      <c r="O226" s="252">
        <f t="shared" ca="1" si="99"/>
        <v>351.553062417852</v>
      </c>
      <c r="P226" s="290">
        <f t="shared" ca="1" si="99"/>
        <v>349.40468674074674</v>
      </c>
      <c r="Q226" s="236"/>
    </row>
    <row r="227" spans="2:22" outlineLevel="1" x14ac:dyDescent="0.2">
      <c r="B227" s="130" t="s">
        <v>347</v>
      </c>
      <c r="C227" s="166"/>
      <c r="D227" s="166"/>
      <c r="E227" s="166"/>
      <c r="F227" s="166"/>
      <c r="G227" s="252">
        <f t="shared" si="99"/>
        <v>21.891750076217221</v>
      </c>
      <c r="H227" s="290">
        <f t="shared" si="99"/>
        <v>12.31843491776046</v>
      </c>
      <c r="I227" s="464">
        <f>I$201*I193</f>
        <v>5.6823173901741617</v>
      </c>
      <c r="J227" s="290">
        <f>J$201*J193</f>
        <v>18.42885303351099</v>
      </c>
      <c r="K227" s="252">
        <f t="shared" si="97"/>
        <v>25.064970561097287</v>
      </c>
      <c r="L227" s="464">
        <f t="shared" ca="1" si="99"/>
        <v>28.654995494821648</v>
      </c>
      <c r="M227" s="252">
        <f t="shared" ca="1" si="99"/>
        <v>17.842717200000003</v>
      </c>
      <c r="N227" s="252">
        <f t="shared" ca="1" si="99"/>
        <v>18.110357958000002</v>
      </c>
      <c r="O227" s="252">
        <f t="shared" ca="1" si="99"/>
        <v>18.336737432475001</v>
      </c>
      <c r="P227" s="290">
        <f t="shared" ca="1" si="99"/>
        <v>18.520104806799747</v>
      </c>
      <c r="Q227" s="145"/>
    </row>
    <row r="228" spans="2:22" outlineLevel="1" x14ac:dyDescent="0.2">
      <c r="B228" s="244" t="s">
        <v>369</v>
      </c>
      <c r="C228" s="251"/>
      <c r="D228" s="251"/>
      <c r="E228" s="251"/>
      <c r="F228" s="251"/>
      <c r="G228" s="255">
        <f t="shared" ref="G228:P228" si="100">SUM(G222:G227)</f>
        <v>16228.478199814699</v>
      </c>
      <c r="H228" s="291">
        <f t="shared" si="100"/>
        <v>16214.614603447713</v>
      </c>
      <c r="I228" s="465">
        <f>SUM(I222:I227)</f>
        <v>8244.2413200284027</v>
      </c>
      <c r="J228" s="291">
        <f>SUM(J222:J227)</f>
        <v>8103.5442256452361</v>
      </c>
      <c r="K228" s="255">
        <f t="shared" si="97"/>
        <v>16073.917509064548</v>
      </c>
      <c r="L228" s="465">
        <f t="shared" ca="1" si="100"/>
        <v>16526.466482259777</v>
      </c>
      <c r="M228" s="255">
        <f t="shared" ca="1" si="100"/>
        <v>16821.589916016459</v>
      </c>
      <c r="N228" s="255">
        <f t="shared" ca="1" si="100"/>
        <v>17114.148669878581</v>
      </c>
      <c r="O228" s="255">
        <f t="shared" ca="1" si="100"/>
        <v>17453.434839265366</v>
      </c>
      <c r="P228" s="291">
        <f t="shared" ca="1" si="100"/>
        <v>17635.309842078019</v>
      </c>
      <c r="Q228" s="166"/>
      <c r="R228" s="166"/>
      <c r="S228" s="166"/>
    </row>
    <row r="229" spans="2:22" outlineLevel="1" x14ac:dyDescent="0.2">
      <c r="B229" s="244" t="s">
        <v>370</v>
      </c>
      <c r="C229" s="29"/>
      <c r="D229" s="29"/>
      <c r="E229" s="29"/>
      <c r="F229" s="29"/>
      <c r="G229" s="1076">
        <f>'Whole Foods'!H8+'Whole Foods'!H9-'Whole Foods'!H6</f>
        <v>16228.418352000001</v>
      </c>
      <c r="H229" s="1077">
        <f>'Whole Foods'!I8+'Whole Foods'!I9-'Whole Foods'!I6</f>
        <v>16214.6348</v>
      </c>
      <c r="I229" s="1075">
        <f>'Whole Foods'!J8+'Whole Foods'!J9-'Whole Foods'!J6</f>
        <v>16427.994074837778</v>
      </c>
      <c r="J229" s="1077">
        <f>'Whole Foods'!K8+'Whole Foods'!K9-'Whole Foods'!K6</f>
        <v>16568.296250745771</v>
      </c>
      <c r="K229" s="255">
        <f t="shared" si="97"/>
        <v>16354.936975907993</v>
      </c>
      <c r="L229" s="1075">
        <f>'Whole Foods'!J8+'Whole Foods'!J9-'Whole Foods'!J6</f>
        <v>16427.994074837778</v>
      </c>
      <c r="M229" s="1076">
        <f>'Whole Foods'!K8+'Whole Foods'!K9-'Whole Foods'!K6</f>
        <v>16568.296250745771</v>
      </c>
      <c r="N229" s="1076">
        <f>'Whole Foods'!L8+'Whole Foods'!L9-'Whole Foods'!L6</f>
        <v>16854.507228943428</v>
      </c>
      <c r="O229" s="1076">
        <f>'Whole Foods'!M8+'Whole Foods'!M9-'Whole Foods'!M6</f>
        <v>17099.747267877396</v>
      </c>
      <c r="P229" s="1077">
        <f>'Whole Foods'!N8+'Whole Foods'!N9-'Whole Foods'!N6</f>
        <v>17289.677759407074</v>
      </c>
      <c r="Q229" s="234"/>
      <c r="R229" s="234"/>
      <c r="S229" s="234"/>
    </row>
    <row r="230" spans="2:22" outlineLevel="1" x14ac:dyDescent="0.2">
      <c r="B230" s="253" t="s">
        <v>371</v>
      </c>
      <c r="G230" s="259">
        <f>G229-G228</f>
        <v>-5.9847814698514412E-2</v>
      </c>
      <c r="H230" s="295">
        <f t="shared" ref="H230:P230" si="101">H229-H228</f>
        <v>2.019655228650663E-2</v>
      </c>
      <c r="I230" s="467"/>
      <c r="J230" s="295"/>
      <c r="K230" s="259"/>
      <c r="L230" s="467">
        <f t="shared" ca="1" si="101"/>
        <v>-98.472407421999378</v>
      </c>
      <c r="M230" s="259">
        <f t="shared" ca="1" si="101"/>
        <v>-253.29366527068851</v>
      </c>
      <c r="N230" s="259">
        <f t="shared" ca="1" si="101"/>
        <v>-259.64144093515279</v>
      </c>
      <c r="O230" s="259">
        <f t="shared" ca="1" si="101"/>
        <v>-353.68757138797082</v>
      </c>
      <c r="P230" s="295">
        <f t="shared" ca="1" si="101"/>
        <v>-345.63208267094524</v>
      </c>
    </row>
    <row r="231" spans="2:22" outlineLevel="1" x14ac:dyDescent="0.2">
      <c r="B231" s="130"/>
      <c r="H231" s="131"/>
      <c r="I231" s="130"/>
      <c r="J231" s="131"/>
      <c r="L231" s="150"/>
      <c r="M231" s="145"/>
      <c r="N231" s="145"/>
      <c r="O231" s="145"/>
      <c r="P231" s="151"/>
      <c r="S231" s="166"/>
      <c r="T231" s="166"/>
      <c r="U231" s="166"/>
      <c r="V231" s="166"/>
    </row>
    <row r="232" spans="2:22" outlineLevel="1" x14ac:dyDescent="0.2">
      <c r="B232" s="244" t="s">
        <v>372</v>
      </c>
      <c r="C232" s="255">
        <f t="shared" ref="C232:H232" si="102">C219+C228</f>
        <v>60379.8949539979</v>
      </c>
      <c r="D232" s="255">
        <f t="shared" si="102"/>
        <v>63230.66500211852</v>
      </c>
      <c r="E232" s="255">
        <f t="shared" si="102"/>
        <v>67667.757041522462</v>
      </c>
      <c r="F232" s="255">
        <f t="shared" si="102"/>
        <v>79484.732721745109</v>
      </c>
      <c r="G232" s="255">
        <f t="shared" si="102"/>
        <v>85326.208335083371</v>
      </c>
      <c r="H232" s="291">
        <f t="shared" si="102"/>
        <v>84052.680672225091</v>
      </c>
      <c r="I232" s="469"/>
      <c r="J232" s="289"/>
      <c r="K232" s="251"/>
      <c r="L232" s="150"/>
      <c r="M232" s="145"/>
      <c r="N232" s="145"/>
      <c r="O232" s="145"/>
      <c r="P232" s="151"/>
    </row>
    <row r="233" spans="2:22" outlineLevel="1" x14ac:dyDescent="0.2">
      <c r="B233" s="132"/>
      <c r="C233" s="133"/>
      <c r="D233" s="133"/>
      <c r="E233" s="133"/>
      <c r="F233" s="133"/>
      <c r="G233" s="133"/>
      <c r="H233" s="134"/>
      <c r="I233" s="132"/>
      <c r="J233" s="134"/>
      <c r="K233" s="133"/>
      <c r="L233" s="152"/>
      <c r="M233" s="153"/>
      <c r="N233" s="153"/>
      <c r="O233" s="153"/>
      <c r="P233" s="154"/>
    </row>
  </sheetData>
  <pageMargins left="0.7" right="0.7" top="0.75" bottom="0.75" header="0.3" footer="0.3"/>
  <pageSetup orientation="portrait" r:id="rId1"/>
  <ignoredErrors>
    <ignoredError sqref="D39:H39" formulaRange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64"/>
  <sheetViews>
    <sheetView showGridLines="0" workbookViewId="0">
      <selection activeCell="G38" sqref="G38"/>
    </sheetView>
  </sheetViews>
  <sheetFormatPr baseColWidth="10" defaultColWidth="8.83203125" defaultRowHeight="15" x14ac:dyDescent="0.2"/>
  <cols>
    <col min="1" max="1" width="4.83203125" style="716" customWidth="1"/>
    <col min="2" max="2" width="24.5" customWidth="1"/>
    <col min="3" max="13" width="11.5" customWidth="1"/>
    <col min="15" max="17" width="13" customWidth="1"/>
  </cols>
  <sheetData>
    <row r="1" spans="1:21" x14ac:dyDescent="0.2">
      <c r="S1" s="716"/>
      <c r="T1" s="716"/>
      <c r="U1" s="716"/>
    </row>
    <row r="2" spans="1:21" x14ac:dyDescent="0.2">
      <c r="B2" s="164" t="s">
        <v>51</v>
      </c>
      <c r="C2" s="165">
        <f>' Segments'!C32</f>
        <v>2014</v>
      </c>
      <c r="D2" s="165">
        <f>' Segments'!D32</f>
        <v>2015</v>
      </c>
      <c r="E2" s="165">
        <f>' Segments'!E32</f>
        <v>2016</v>
      </c>
      <c r="F2" s="165">
        <f>' Segments'!F32</f>
        <v>2017</v>
      </c>
      <c r="G2" s="165">
        <f>' Segments'!G32</f>
        <v>2018</v>
      </c>
      <c r="H2" s="165">
        <f>' Segments'!H32</f>
        <v>2019</v>
      </c>
      <c r="I2" s="762">
        <v>2020</v>
      </c>
      <c r="J2" s="762">
        <v>2021</v>
      </c>
      <c r="K2" s="762">
        <v>2022</v>
      </c>
      <c r="L2" s="762">
        <v>2023</v>
      </c>
      <c r="M2" s="762">
        <v>2024</v>
      </c>
      <c r="O2" s="642" t="s">
        <v>158</v>
      </c>
      <c r="P2" s="643" t="s">
        <v>159</v>
      </c>
      <c r="Q2" s="644" t="s">
        <v>156</v>
      </c>
      <c r="S2" s="716"/>
      <c r="T2" s="716"/>
      <c r="U2" s="716"/>
    </row>
    <row r="3" spans="1:21" x14ac:dyDescent="0.2">
      <c r="B3" s="201" t="str">
        <f>' Segments'!B113</f>
        <v xml:space="preserve">Net Sales </v>
      </c>
      <c r="C3" s="1089">
        <f>' Segments'!C113</f>
        <v>4644</v>
      </c>
      <c r="D3" s="1089">
        <f>' Segments'!D113</f>
        <v>7880</v>
      </c>
      <c r="E3" s="1089">
        <f>' Segments'!E113</f>
        <v>12219</v>
      </c>
      <c r="F3" s="1089">
        <f>' Segments'!F113</f>
        <v>17459</v>
      </c>
      <c r="G3" s="1089">
        <f>' Segments'!G113</f>
        <v>25655</v>
      </c>
      <c r="H3" s="1089">
        <f>' Segments'!H113</f>
        <v>35026</v>
      </c>
      <c r="I3" s="1080">
        <f ca="1">H3*(1+I23)</f>
        <v>43544.122358541463</v>
      </c>
      <c r="J3" s="1079">
        <f ca="1">I3*(1+J23)</f>
        <v>54133.803231189129</v>
      </c>
      <c r="K3" s="1079">
        <f ca="1">J3*(1+K23)</f>
        <v>67298.833770116675</v>
      </c>
      <c r="L3" s="1079">
        <f ca="1">K3*(1+L23)</f>
        <v>83665.524246933783</v>
      </c>
      <c r="M3" s="1081">
        <f ca="1">E34</f>
        <v>104012.5</v>
      </c>
      <c r="O3" s="814">
        <f>' Segments'!I23</f>
        <v>16076</v>
      </c>
      <c r="P3" s="491">
        <f>' Segments'!J23</f>
        <v>21027</v>
      </c>
      <c r="Q3" s="1101">
        <f>' Segments'!K23</f>
        <v>39977</v>
      </c>
      <c r="S3" s="730">
        <v>371000</v>
      </c>
      <c r="T3" s="730">
        <v>832000</v>
      </c>
      <c r="U3" s="716"/>
    </row>
    <row r="4" spans="1:21" x14ac:dyDescent="0.2">
      <c r="B4" s="199" t="str">
        <f>' Segments'!B114</f>
        <v xml:space="preserve">Operating Expenses </v>
      </c>
      <c r="C4" s="1090">
        <f>' Segments'!C114</f>
        <v>4186</v>
      </c>
      <c r="D4" s="1090">
        <f>' Segments'!D114</f>
        <v>6373</v>
      </c>
      <c r="E4" s="1090">
        <f>' Segments'!E114</f>
        <v>9111</v>
      </c>
      <c r="F4" s="1090">
        <f>' Segments'!F114</f>
        <v>13128</v>
      </c>
      <c r="G4" s="1090">
        <f>' Segments'!G114</f>
        <v>18359</v>
      </c>
      <c r="H4" s="1090">
        <f>' Segments'!H114</f>
        <v>25825</v>
      </c>
      <c r="I4" s="817">
        <f ca="1">SUM(I6:I9)</f>
        <v>31751.726211352678</v>
      </c>
      <c r="J4" s="816">
        <f ca="1">SUM(J6:J9)</f>
        <v>37677.127048907634</v>
      </c>
      <c r="K4" s="816">
        <f ca="1">SUM(K6:K9)</f>
        <v>45157.517459748291</v>
      </c>
      <c r="L4" s="816">
        <f ca="1">SUM(L6:L9)</f>
        <v>54047.928663519218</v>
      </c>
      <c r="M4" s="818">
        <f ca="1">SUM(M6:M9)</f>
        <v>64591.762499999997</v>
      </c>
      <c r="O4" s="814">
        <f>' Segments'!I24</f>
        <v>11733</v>
      </c>
      <c r="P4" s="491">
        <f>' Segments'!J24</f>
        <v>14595</v>
      </c>
      <c r="Q4" s="1102">
        <f>' Segments'!K24</f>
        <v>28687</v>
      </c>
      <c r="S4" s="730"/>
      <c r="T4" s="730"/>
      <c r="U4" s="716"/>
    </row>
    <row r="5" spans="1:21" x14ac:dyDescent="0.2">
      <c r="B5" s="176"/>
      <c r="C5" s="678"/>
      <c r="D5" s="678"/>
      <c r="E5" s="678"/>
      <c r="F5" s="678"/>
      <c r="G5" s="678"/>
      <c r="H5" s="678"/>
      <c r="I5" s="176"/>
      <c r="M5" s="177"/>
      <c r="O5" s="1111"/>
      <c r="P5" s="452"/>
      <c r="Q5" s="1112"/>
      <c r="R5" s="121"/>
      <c r="S5" s="717">
        <f>H3/S3</f>
        <v>9.4409703504043124E-2</v>
      </c>
      <c r="T5" s="717">
        <f ca="1">T7/T3</f>
        <v>0.12501502403846154</v>
      </c>
      <c r="U5" s="716"/>
    </row>
    <row r="6" spans="1:21" x14ac:dyDescent="0.2">
      <c r="B6" s="176" t="s">
        <v>412</v>
      </c>
      <c r="C6" s="491">
        <f t="shared" ref="C6:H6" si="0">C4-C7-C8-C9</f>
        <v>3066.065222277161</v>
      </c>
      <c r="D6" s="491">
        <f t="shared" si="0"/>
        <v>4777.7570790422969</v>
      </c>
      <c r="E6" s="491">
        <f t="shared" si="0"/>
        <v>6644.4689933596592</v>
      </c>
      <c r="F6" s="491">
        <f t="shared" si="0"/>
        <v>8977.3610583248064</v>
      </c>
      <c r="G6" s="491">
        <f t="shared" si="0"/>
        <v>12234.735536977159</v>
      </c>
      <c r="H6" s="491">
        <f t="shared" si="0"/>
        <v>17272.256115384891</v>
      </c>
      <c r="I6" s="814">
        <f ca="1">I$3*I16</f>
        <v>21772.061179270731</v>
      </c>
      <c r="J6" s="491">
        <f ca="1">J$3*J16</f>
        <v>25713.556534814834</v>
      </c>
      <c r="K6" s="491">
        <f ca="1">K$3*K16</f>
        <v>30284.475196552503</v>
      </c>
      <c r="L6" s="491">
        <f ca="1">L$3*L16</f>
        <v>35557.847804946854</v>
      </c>
      <c r="M6" s="815">
        <f ca="1">M$3*M16</f>
        <v>41605</v>
      </c>
      <c r="O6" s="814">
        <f>O4-SUM(O7:O9)</f>
        <v>7786.1633545619961</v>
      </c>
      <c r="P6" s="491">
        <f>P4-SUM(P7:P9)</f>
        <v>9429.9882255238372</v>
      </c>
      <c r="Q6" s="1102">
        <f>Q4-SUM(Q7:Q9)</f>
        <v>18913.089261829438</v>
      </c>
      <c r="R6" s="121"/>
      <c r="S6" s="730"/>
      <c r="T6" s="716"/>
      <c r="U6" s="716"/>
    </row>
    <row r="7" spans="1:21" x14ac:dyDescent="0.2">
      <c r="B7" s="176" t="s">
        <v>413</v>
      </c>
      <c r="C7" s="806">
        <v>1032</v>
      </c>
      <c r="D7" s="806">
        <v>1454</v>
      </c>
      <c r="E7" s="806">
        <v>2233</v>
      </c>
      <c r="F7" s="806">
        <v>3769</v>
      </c>
      <c r="G7" s="806">
        <v>5614</v>
      </c>
      <c r="H7" s="806">
        <v>7878</v>
      </c>
      <c r="I7" s="814">
        <f ca="1">I$3*I18</f>
        <v>9065.2384625525792</v>
      </c>
      <c r="J7" s="491">
        <f t="shared" ref="I7:M9" ca="1" si="1">J$3*J18</f>
        <v>10826.760646237826</v>
      </c>
      <c r="K7" s="491">
        <f t="shared" ca="1" si="1"/>
        <v>13459.766754023336</v>
      </c>
      <c r="L7" s="491">
        <f t="shared" ca="1" si="1"/>
        <v>16733.104849386757</v>
      </c>
      <c r="M7" s="815">
        <f t="shared" ca="1" si="1"/>
        <v>20802.5</v>
      </c>
      <c r="O7" s="814">
        <f>O3*O18</f>
        <v>3617.1</v>
      </c>
      <c r="P7" s="491">
        <f>P3*P18</f>
        <v>4731.0749999999998</v>
      </c>
      <c r="Q7" s="1102">
        <f>Q3*Q18</f>
        <v>8994.8250000000007</v>
      </c>
      <c r="R7" s="121"/>
      <c r="S7" s="730">
        <f>S3*S5</f>
        <v>35026</v>
      </c>
      <c r="T7" s="730">
        <f ca="1">M3</f>
        <v>104012.5</v>
      </c>
      <c r="U7" s="716"/>
    </row>
    <row r="8" spans="1:21" x14ac:dyDescent="0.2">
      <c r="B8" s="176" t="s">
        <v>414</v>
      </c>
      <c r="C8" s="803">
        <f>' Segments'!C140*AWS!C14</f>
        <v>80.99393176608082</v>
      </c>
      <c r="D8" s="803">
        <f>' Segments'!D140*AWS!D14</f>
        <v>128.65035605480068</v>
      </c>
      <c r="E8" s="803">
        <f>' Segments'!E140*AWS!E14</f>
        <v>218.52535904167311</v>
      </c>
      <c r="F8" s="803">
        <f>' Segments'!F140*AWS!F14</f>
        <v>360.63309457681623</v>
      </c>
      <c r="G8" s="803">
        <f>' Segments'!G140*AWS!G14</f>
        <v>477.65688939270979</v>
      </c>
      <c r="H8" s="803">
        <f>' Segments'!H140*AWS!H14</f>
        <v>649.64700807779775</v>
      </c>
      <c r="I8" s="814">
        <f t="shared" ca="1" si="1"/>
        <v>870.88244717082932</v>
      </c>
      <c r="J8" s="491">
        <f t="shared" ca="1" si="1"/>
        <v>1082.6760646237826</v>
      </c>
      <c r="K8" s="491">
        <f t="shared" ca="1" si="1"/>
        <v>1345.9766754023335</v>
      </c>
      <c r="L8" s="491">
        <f t="shared" ca="1" si="1"/>
        <v>1673.3104849386757</v>
      </c>
      <c r="M8" s="815">
        <f t="shared" ca="1" si="1"/>
        <v>2080.25</v>
      </c>
      <c r="O8" s="814">
        <f>' Segments'!I140*AWS!O14</f>
        <v>319.15895502989343</v>
      </c>
      <c r="P8" s="491">
        <f>' Segments'!J140*AWS!P14</f>
        <v>387.8821639775133</v>
      </c>
      <c r="Q8" s="1102">
        <f>' Segments'!K140*AWS!Q14</f>
        <v>719.452321758209</v>
      </c>
      <c r="R8" s="121"/>
      <c r="S8" s="730"/>
      <c r="T8" s="716"/>
      <c r="U8" s="716"/>
    </row>
    <row r="9" spans="1:21" x14ac:dyDescent="0.2">
      <c r="B9" s="176" t="s">
        <v>415</v>
      </c>
      <c r="C9" s="803">
        <f>' Segments'!C141*AWS!C14</f>
        <v>6.9408459567582144</v>
      </c>
      <c r="D9" s="803">
        <f>' Segments'!D141*AWS!D14</f>
        <v>12.592564902902641</v>
      </c>
      <c r="E9" s="803">
        <f>' Segments'!E141*AWS!E14</f>
        <v>15.005647598667521</v>
      </c>
      <c r="F9" s="803">
        <f>' Segments'!F141*AWS!F14</f>
        <v>21.00584709837743</v>
      </c>
      <c r="G9" s="803">
        <f>' Segments'!G141*AWS!G14</f>
        <v>32.607573630129636</v>
      </c>
      <c r="H9" s="803">
        <f>' Segments'!H141*AWS!H14</f>
        <v>25.096876537312582</v>
      </c>
      <c r="I9" s="814">
        <f t="shared" ca="1" si="1"/>
        <v>43.544122358541465</v>
      </c>
      <c r="J9" s="491">
        <f t="shared" ca="1" si="1"/>
        <v>54.133803231189134</v>
      </c>
      <c r="K9" s="491">
        <f t="shared" ca="1" si="1"/>
        <v>67.298833770116673</v>
      </c>
      <c r="L9" s="491">
        <f t="shared" ca="1" si="1"/>
        <v>83.665524246933785</v>
      </c>
      <c r="M9" s="815">
        <f t="shared" ca="1" si="1"/>
        <v>104.0125</v>
      </c>
      <c r="O9" s="814">
        <f>' Segments'!I141*AWS!O14</f>
        <v>10.577690408110216</v>
      </c>
      <c r="P9" s="491">
        <f>' Segments'!J141*AWS!P14</f>
        <v>46.054610498649332</v>
      </c>
      <c r="Q9" s="1102">
        <f>' Segments'!K141*AWS!Q14</f>
        <v>59.633416412353704</v>
      </c>
      <c r="R9" s="121"/>
      <c r="S9" s="730"/>
      <c r="T9" s="716"/>
      <c r="U9" s="716"/>
    </row>
    <row r="10" spans="1:21" x14ac:dyDescent="0.2">
      <c r="B10" s="201" t="s">
        <v>416</v>
      </c>
      <c r="C10" s="1079">
        <f t="shared" ref="C10:M10" si="2">C3-C7-C6-C8-C9-C5</f>
        <v>458</v>
      </c>
      <c r="D10" s="1079">
        <f t="shared" si="2"/>
        <v>1506.9999999999995</v>
      </c>
      <c r="E10" s="1079">
        <f t="shared" si="2"/>
        <v>3108</v>
      </c>
      <c r="F10" s="1079">
        <f t="shared" si="2"/>
        <v>4331</v>
      </c>
      <c r="G10" s="1079">
        <f t="shared" si="2"/>
        <v>7296.0000000000009</v>
      </c>
      <c r="H10" s="1079">
        <f t="shared" si="2"/>
        <v>9200.9999999999982</v>
      </c>
      <c r="I10" s="1080">
        <f t="shared" ca="1" si="2"/>
        <v>11792.39614718878</v>
      </c>
      <c r="J10" s="1079">
        <f t="shared" ca="1" si="2"/>
        <v>16456.676182281499</v>
      </c>
      <c r="K10" s="1079">
        <f t="shared" ca="1" si="2"/>
        <v>22141.316310368384</v>
      </c>
      <c r="L10" s="1079">
        <f t="shared" ca="1" si="2"/>
        <v>29617.595583414561</v>
      </c>
      <c r="M10" s="1081">
        <f t="shared" ca="1" si="2"/>
        <v>39420.737500000003</v>
      </c>
      <c r="N10" s="126"/>
      <c r="O10" s="1080">
        <f>' Segments'!I25</f>
        <v>4343</v>
      </c>
      <c r="P10" s="1079">
        <f>' Segments'!J25</f>
        <v>6432</v>
      </c>
      <c r="Q10" s="1103">
        <f>' Segments'!K25</f>
        <v>11290</v>
      </c>
      <c r="S10" s="716"/>
      <c r="T10" s="716"/>
      <c r="U10" s="716"/>
    </row>
    <row r="11" spans="1:21" x14ac:dyDescent="0.2">
      <c r="B11" s="209" t="s">
        <v>258</v>
      </c>
      <c r="C11" s="1082">
        <f>C10/C3</f>
        <v>9.8621877691645127E-2</v>
      </c>
      <c r="D11" s="1082">
        <f>D10/D3</f>
        <v>0.19124365482233496</v>
      </c>
      <c r="E11" s="1082">
        <f>E10/E3</f>
        <v>0.25435796710041736</v>
      </c>
      <c r="F11" s="1082">
        <f>F10/F3</f>
        <v>0.24806689959333295</v>
      </c>
      <c r="G11" s="1082">
        <f>G10/G3</f>
        <v>0.28438900799064515</v>
      </c>
      <c r="H11" s="1082">
        <f t="shared" ref="H11:M11" si="3">H10/H3</f>
        <v>0.26269057271740986</v>
      </c>
      <c r="I11" s="1083">
        <f t="shared" ca="1" si="3"/>
        <v>0.27081487715128155</v>
      </c>
      <c r="J11" s="1082">
        <f t="shared" ca="1" si="3"/>
        <v>0.30400000000000005</v>
      </c>
      <c r="K11" s="1082">
        <f t="shared" ca="1" si="3"/>
        <v>0.32899999999999996</v>
      </c>
      <c r="L11" s="1082">
        <f t="shared" ca="1" si="3"/>
        <v>0.35400000000000004</v>
      </c>
      <c r="M11" s="1084">
        <f t="shared" ca="1" si="3"/>
        <v>0.379</v>
      </c>
      <c r="N11" s="126"/>
      <c r="O11" s="1083">
        <f>O10/O3</f>
        <v>0.27015426723065439</v>
      </c>
      <c r="P11" s="1082">
        <f>P10/P3</f>
        <v>0.30589242402625194</v>
      </c>
      <c r="Q11" s="1104">
        <f>Q10/Q3</f>
        <v>0.28241238712259548</v>
      </c>
    </row>
    <row r="12" spans="1:21" x14ac:dyDescent="0.2">
      <c r="B12" s="126"/>
      <c r="C12" s="129"/>
      <c r="D12" s="129"/>
      <c r="E12" s="129"/>
      <c r="F12" s="129"/>
      <c r="G12" s="129"/>
      <c r="H12" s="129"/>
      <c r="O12" s="452"/>
      <c r="P12" s="452"/>
      <c r="Q12" s="452"/>
    </row>
    <row r="13" spans="1:21" x14ac:dyDescent="0.2">
      <c r="B13" s="201" t="s">
        <v>417</v>
      </c>
      <c r="C13" s="679"/>
      <c r="D13" s="679"/>
      <c r="E13" s="679"/>
      <c r="F13" s="679"/>
      <c r="G13" s="679"/>
      <c r="H13" s="680"/>
      <c r="I13" s="173"/>
      <c r="J13" s="174"/>
      <c r="K13" s="174"/>
      <c r="L13" s="174"/>
      <c r="M13" s="175"/>
      <c r="O13" s="1113"/>
      <c r="P13" s="1114"/>
      <c r="Q13" s="1115"/>
    </row>
    <row r="14" spans="1:21" x14ac:dyDescent="0.2">
      <c r="B14" s="176" t="s">
        <v>418</v>
      </c>
      <c r="C14" s="1091">
        <f>' Segments'!C113/' Segments'!C39</f>
        <v>5.2186811704948981E-2</v>
      </c>
      <c r="D14" s="1091">
        <f>' Segments'!D113/' Segments'!D39</f>
        <v>7.3640730426331236E-2</v>
      </c>
      <c r="E14" s="1091">
        <f>' Segments'!E113/' Segments'!E39</f>
        <v>8.9854177237530058E-2</v>
      </c>
      <c r="F14" s="1091">
        <f>' Segments'!F113/' Segments'!F39</f>
        <v>9.8158164011109481E-2</v>
      </c>
      <c r="G14" s="1091">
        <f>' Segments'!G113/' Segments'!G39</f>
        <v>0.11016072172341093</v>
      </c>
      <c r="H14" s="1092">
        <f>' Segments'!H113/' Segments'!H39</f>
        <v>0.12486008227518697</v>
      </c>
      <c r="I14" s="1093">
        <f ca="1">' Segments'!L113/' Segments'!L39</f>
        <v>0.12137947384738795</v>
      </c>
      <c r="J14" s="1091">
        <f ca="1">' Segments'!M113/' Segments'!M39</f>
        <v>0.12681342102279247</v>
      </c>
      <c r="K14" s="1091">
        <f ca="1">' Segments'!N113/' Segments'!N39</f>
        <v>0.13622023985643175</v>
      </c>
      <c r="L14" s="1091">
        <f ca="1">' Segments'!O113/' Segments'!O39</f>
        <v>0.15370058279449542</v>
      </c>
      <c r="M14" s="1092">
        <f ca="1">' Segments'!P113/' Segments'!P39</f>
        <v>0.17982435645196532</v>
      </c>
      <c r="O14" s="1105">
        <f>' Segments'!I113/' Segments'!I39</f>
        <v>0.1305887704704965</v>
      </c>
      <c r="P14" s="765">
        <f>' Segments'!J113/' Segments'!J39</f>
        <v>0.12792947360735926</v>
      </c>
      <c r="Q14" s="766">
        <f>' Segments'!K113/' Segments'!K39</f>
        <v>0.12423628419240355</v>
      </c>
    </row>
    <row r="15" spans="1:21" x14ac:dyDescent="0.2">
      <c r="B15" s="176"/>
      <c r="H15" s="177"/>
      <c r="I15" s="176"/>
      <c r="M15" s="177"/>
      <c r="O15" s="1116"/>
      <c r="P15" s="1117"/>
      <c r="Q15" s="1118"/>
    </row>
    <row r="16" spans="1:21" s="145" customFormat="1" x14ac:dyDescent="0.2">
      <c r="A16" s="725"/>
      <c r="B16" s="150" t="s">
        <v>412</v>
      </c>
      <c r="C16" s="1086">
        <f t="shared" ref="C16:H16" si="4">C6/C$3</f>
        <v>0.66022076276424657</v>
      </c>
      <c r="D16" s="1086">
        <f t="shared" si="4"/>
        <v>0.6063143501322712</v>
      </c>
      <c r="E16" s="1086">
        <f t="shared" si="4"/>
        <v>0.54378173282262532</v>
      </c>
      <c r="F16" s="1086">
        <f t="shared" si="4"/>
        <v>0.51419675000428466</v>
      </c>
      <c r="G16" s="1086">
        <f t="shared" si="4"/>
        <v>0.4768947782879423</v>
      </c>
      <c r="H16" s="1087">
        <f t="shared" si="4"/>
        <v>0.49312670916989926</v>
      </c>
      <c r="I16" s="1094">
        <f ca="1">'Forecast Triggers'!D53</f>
        <v>0.5</v>
      </c>
      <c r="J16" s="1095">
        <f ca="1">'Forecast Triggers'!E53</f>
        <v>0.47499999999999998</v>
      </c>
      <c r="K16" s="1095">
        <f ca="1">'Forecast Triggers'!F53</f>
        <v>0.45</v>
      </c>
      <c r="L16" s="1095">
        <f ca="1">'Forecast Triggers'!G53</f>
        <v>0.42499999999999999</v>
      </c>
      <c r="M16" s="1096">
        <f ca="1">'Forecast Triggers'!H53</f>
        <v>0.4</v>
      </c>
      <c r="O16" s="1106">
        <f>O6/O$3</f>
        <v>0.48433462021410773</v>
      </c>
      <c r="P16" s="1107">
        <f>P6/P$3</f>
        <v>0.44847045348950576</v>
      </c>
      <c r="Q16" s="1108">
        <f>Q6/Q$3</f>
        <v>0.4730992636223188</v>
      </c>
    </row>
    <row r="17" spans="2:24" ht="7.5" customHeight="1" x14ac:dyDescent="0.2">
      <c r="B17" s="176"/>
      <c r="C17" s="125"/>
      <c r="D17" s="125"/>
      <c r="E17" s="125"/>
      <c r="F17" s="125"/>
      <c r="G17" s="125"/>
      <c r="H17" s="193"/>
      <c r="I17" s="192"/>
      <c r="J17" s="125"/>
      <c r="K17" s="125"/>
      <c r="L17" s="125"/>
      <c r="M17" s="193"/>
      <c r="O17" s="1116"/>
      <c r="P17" s="1117"/>
      <c r="Q17" s="1118"/>
    </row>
    <row r="18" spans="2:24" x14ac:dyDescent="0.2">
      <c r="B18" s="176" t="s">
        <v>413</v>
      </c>
      <c r="C18" s="512">
        <f t="shared" ref="C18:H18" si="5">C7/C$3</f>
        <v>0.22222222222222221</v>
      </c>
      <c r="D18" s="512">
        <f t="shared" si="5"/>
        <v>0.18451776649746193</v>
      </c>
      <c r="E18" s="512">
        <f t="shared" si="5"/>
        <v>0.18274817906538995</v>
      </c>
      <c r="F18" s="512">
        <f t="shared" si="5"/>
        <v>0.2158771980067587</v>
      </c>
      <c r="G18" s="512">
        <f t="shared" si="5"/>
        <v>0.21882673942701228</v>
      </c>
      <c r="H18" s="1085">
        <f t="shared" si="5"/>
        <v>0.22491863187346542</v>
      </c>
      <c r="I18" s="823">
        <f>AVERAGE(C18:H18)</f>
        <v>0.2081851228487184</v>
      </c>
      <c r="J18" s="812">
        <v>0.2</v>
      </c>
      <c r="K18" s="812">
        <v>0.2</v>
      </c>
      <c r="L18" s="812">
        <v>0.2</v>
      </c>
      <c r="M18" s="813">
        <v>0.2</v>
      </c>
      <c r="O18" s="1105">
        <v>0.22500000000000001</v>
      </c>
      <c r="P18" s="765">
        <v>0.22500000000000001</v>
      </c>
      <c r="Q18" s="766">
        <v>0.22500000000000001</v>
      </c>
    </row>
    <row r="19" spans="2:24" x14ac:dyDescent="0.2">
      <c r="B19" s="176" t="s">
        <v>414</v>
      </c>
      <c r="C19" s="512">
        <f t="shared" ref="C19:H20" si="6">C8/C$3</f>
        <v>1.7440553782532477E-2</v>
      </c>
      <c r="D19" s="512">
        <f t="shared" si="6"/>
        <v>1.6326187316599072E-2</v>
      </c>
      <c r="E19" s="512">
        <f t="shared" si="6"/>
        <v>1.7884062447145684E-2</v>
      </c>
      <c r="F19" s="512">
        <f t="shared" si="6"/>
        <v>2.0655999460267842E-2</v>
      </c>
      <c r="G19" s="512">
        <f t="shared" si="6"/>
        <v>1.8618471619283171E-2</v>
      </c>
      <c r="H19" s="1085">
        <f t="shared" si="6"/>
        <v>1.854756489687083E-2</v>
      </c>
      <c r="I19" s="1078">
        <v>0.02</v>
      </c>
      <c r="J19" s="812">
        <v>0.02</v>
      </c>
      <c r="K19" s="812">
        <v>0.02</v>
      </c>
      <c r="L19" s="812">
        <v>0.02</v>
      </c>
      <c r="M19" s="813">
        <v>0.02</v>
      </c>
      <c r="O19" s="1109">
        <f t="shared" ref="O19:Q20" si="7">O8/O$3</f>
        <v>1.9853132310891603E-2</v>
      </c>
      <c r="P19" s="1110">
        <f t="shared" si="7"/>
        <v>1.8446861843226008E-2</v>
      </c>
      <c r="Q19" s="788">
        <f t="shared" si="7"/>
        <v>1.7996656121224929E-2</v>
      </c>
    </row>
    <row r="20" spans="2:24" x14ac:dyDescent="0.2">
      <c r="B20" s="176" t="s">
        <v>419</v>
      </c>
      <c r="C20" s="658">
        <f t="shared" si="6"/>
        <v>1.4945835393536206E-3</v>
      </c>
      <c r="D20" s="658">
        <f t="shared" si="6"/>
        <v>1.5980412313328224E-3</v>
      </c>
      <c r="E20" s="658">
        <f t="shared" si="6"/>
        <v>1.2280585644215993E-3</v>
      </c>
      <c r="F20" s="658">
        <f t="shared" si="6"/>
        <v>1.2031529353558295E-3</v>
      </c>
      <c r="G20" s="658">
        <f t="shared" si="6"/>
        <v>1.271002675117117E-3</v>
      </c>
      <c r="H20" s="1088">
        <f t="shared" si="6"/>
        <v>7.1652134235461039E-4</v>
      </c>
      <c r="I20" s="1078">
        <v>1E-3</v>
      </c>
      <c r="J20" s="812">
        <v>1E-3</v>
      </c>
      <c r="K20" s="812">
        <v>1E-3</v>
      </c>
      <c r="L20" s="812">
        <v>1E-3</v>
      </c>
      <c r="M20" s="813">
        <v>1E-3</v>
      </c>
      <c r="O20" s="1109">
        <f t="shared" si="7"/>
        <v>6.5798024434624383E-4</v>
      </c>
      <c r="P20" s="1110">
        <f t="shared" si="7"/>
        <v>2.1902606410162807E-3</v>
      </c>
      <c r="Q20" s="788">
        <f t="shared" si="7"/>
        <v>1.4916931338608125E-3</v>
      </c>
    </row>
    <row r="21" spans="2:24" x14ac:dyDescent="0.2">
      <c r="B21" s="209"/>
      <c r="C21" s="681"/>
      <c r="D21" s="681"/>
      <c r="E21" s="681"/>
      <c r="F21" s="681"/>
      <c r="G21" s="681"/>
      <c r="H21" s="460"/>
      <c r="I21" s="176"/>
      <c r="M21" s="177"/>
      <c r="O21" s="178"/>
      <c r="P21" s="179"/>
      <c r="Q21" s="180"/>
    </row>
    <row r="22" spans="2:24" x14ac:dyDescent="0.2">
      <c r="B22" s="201" t="s">
        <v>395</v>
      </c>
      <c r="C22" s="174"/>
      <c r="D22" s="174"/>
      <c r="E22" s="174"/>
      <c r="F22" s="174"/>
      <c r="G22" s="174"/>
      <c r="H22" s="174"/>
      <c r="I22" s="173"/>
      <c r="J22" s="174"/>
      <c r="K22" s="174"/>
      <c r="L22" s="174"/>
      <c r="M22" s="175"/>
    </row>
    <row r="23" spans="2:24" x14ac:dyDescent="0.2">
      <c r="B23" s="176" t="s">
        <v>311</v>
      </c>
      <c r="D23" s="512">
        <f>D3/C3-1</f>
        <v>0.69681309216192933</v>
      </c>
      <c r="E23" s="512">
        <f>E3/D3-1</f>
        <v>0.55063451776649752</v>
      </c>
      <c r="F23" s="512">
        <f>F3/E3-1</f>
        <v>0.42884033063262139</v>
      </c>
      <c r="G23" s="512">
        <f>G3/F3-1</f>
        <v>0.46944269431238905</v>
      </c>
      <c r="H23" s="512">
        <f>H3/G3-1</f>
        <v>0.36526992788930035</v>
      </c>
      <c r="I23" s="823">
        <f ca="1">$E$36</f>
        <v>0.24319426593220639</v>
      </c>
      <c r="J23" s="512">
        <f ca="1">$E$36</f>
        <v>0.24319426593220639</v>
      </c>
      <c r="K23" s="512">
        <f ca="1">$E$36</f>
        <v>0.24319426593220639</v>
      </c>
      <c r="L23" s="512">
        <f ca="1">$E$36</f>
        <v>0.24319426593220639</v>
      </c>
      <c r="M23" s="1085">
        <f ca="1">$E$36</f>
        <v>0.24319426593220639</v>
      </c>
    </row>
    <row r="24" spans="2:24" x14ac:dyDescent="0.2">
      <c r="B24" s="176"/>
      <c r="H24" s="177"/>
      <c r="I24" s="176"/>
      <c r="M24" s="177"/>
    </row>
    <row r="25" spans="2:24" x14ac:dyDescent="0.2">
      <c r="B25" s="176" t="s">
        <v>413</v>
      </c>
      <c r="D25" s="512">
        <f t="shared" ref="D25:M25" si="8">D7/C7-1</f>
        <v>0.4089147286821706</v>
      </c>
      <c r="E25" s="512">
        <f t="shared" si="8"/>
        <v>0.53576341127922977</v>
      </c>
      <c r="F25" s="512">
        <f t="shared" si="8"/>
        <v>0.68786386027765345</v>
      </c>
      <c r="G25" s="512">
        <f t="shared" si="8"/>
        <v>0.48951976651631735</v>
      </c>
      <c r="H25" s="512">
        <f t="shared" si="8"/>
        <v>0.40327752048450294</v>
      </c>
      <c r="I25" s="823">
        <f ca="1">I7/H7-1</f>
        <v>0.15070302901149768</v>
      </c>
      <c r="J25" s="512">
        <f t="shared" ca="1" si="8"/>
        <v>0.19431614413254383</v>
      </c>
      <c r="K25" s="512">
        <f t="shared" ca="1" si="8"/>
        <v>0.24319426593220661</v>
      </c>
      <c r="L25" s="512">
        <f t="shared" ca="1" si="8"/>
        <v>0.24319426593220639</v>
      </c>
      <c r="M25" s="1085">
        <f t="shared" ca="1" si="8"/>
        <v>0.24319426593220572</v>
      </c>
    </row>
    <row r="26" spans="2:24" x14ac:dyDescent="0.2">
      <c r="B26" s="176" t="s">
        <v>412</v>
      </c>
      <c r="D26" s="512">
        <f t="shared" ref="D26:M26" si="9">D6/C6-1</f>
        <v>0.55826987773399872</v>
      </c>
      <c r="E26" s="512">
        <f t="shared" si="9"/>
        <v>0.39070883752246877</v>
      </c>
      <c r="F26" s="512">
        <f t="shared" si="9"/>
        <v>0.35110285973139321</v>
      </c>
      <c r="G26" s="512">
        <f t="shared" si="9"/>
        <v>0.36284320720639318</v>
      </c>
      <c r="H26" s="512">
        <f t="shared" si="9"/>
        <v>0.41173922911392613</v>
      </c>
      <c r="I26" s="823">
        <f ca="1">I6/H6-1</f>
        <v>0.26052213641492594</v>
      </c>
      <c r="J26" s="512">
        <f ca="1">J6/I6-1</f>
        <v>0.18103455263559587</v>
      </c>
      <c r="K26" s="512">
        <f t="shared" ca="1" si="9"/>
        <v>0.17776298877787977</v>
      </c>
      <c r="L26" s="512">
        <f t="shared" ca="1" si="9"/>
        <v>0.17412791782486159</v>
      </c>
      <c r="M26" s="1085">
        <f t="shared" ca="1" si="9"/>
        <v>0.1700651914656055</v>
      </c>
    </row>
    <row r="27" spans="2:24" x14ac:dyDescent="0.2">
      <c r="B27" s="176" t="s">
        <v>313</v>
      </c>
      <c r="D27" s="512">
        <f t="shared" ref="D27:M27" si="10">D4/C4-1</f>
        <v>0.52245580506450073</v>
      </c>
      <c r="E27" s="512">
        <f t="shared" si="10"/>
        <v>0.4296249803860035</v>
      </c>
      <c r="F27" s="512">
        <f t="shared" si="10"/>
        <v>0.44089562067830101</v>
      </c>
      <c r="G27" s="512">
        <f t="shared" si="10"/>
        <v>0.39846130408287639</v>
      </c>
      <c r="H27" s="512">
        <f t="shared" si="10"/>
        <v>0.40666702979465108</v>
      </c>
      <c r="I27" s="823">
        <f t="shared" ca="1" si="10"/>
        <v>0.22949569066225273</v>
      </c>
      <c r="J27" s="512">
        <f t="shared" ca="1" si="10"/>
        <v>0.1866166518983261</v>
      </c>
      <c r="K27" s="512">
        <f t="shared" ca="1" si="10"/>
        <v>0.19853929948349225</v>
      </c>
      <c r="L27" s="512">
        <f t="shared" ca="1" si="10"/>
        <v>0.19687555259643097</v>
      </c>
      <c r="M27" s="1085">
        <f t="shared" ca="1" si="10"/>
        <v>0.1950830327304951</v>
      </c>
    </row>
    <row r="28" spans="2:24" x14ac:dyDescent="0.2">
      <c r="B28" s="199" t="s">
        <v>416</v>
      </c>
      <c r="D28" s="512">
        <f t="shared" ref="D28:M28" si="11">D10/C10-1</f>
        <v>2.2903930131004357</v>
      </c>
      <c r="E28" s="512">
        <f t="shared" si="11"/>
        <v>1.0623755806237565</v>
      </c>
      <c r="F28" s="512">
        <f t="shared" si="11"/>
        <v>0.3935006435006434</v>
      </c>
      <c r="G28" s="512">
        <f t="shared" si="11"/>
        <v>0.68459939967674921</v>
      </c>
      <c r="H28" s="512">
        <f t="shared" si="11"/>
        <v>0.26110197368421018</v>
      </c>
      <c r="I28" s="823">
        <f t="shared" ca="1" si="11"/>
        <v>0.28164288090303025</v>
      </c>
      <c r="J28" s="512">
        <f t="shared" ca="1" si="11"/>
        <v>0.39553284819087842</v>
      </c>
      <c r="K28" s="512">
        <f t="shared" ca="1" si="11"/>
        <v>0.34543063648584149</v>
      </c>
      <c r="L28" s="512">
        <f t="shared" ca="1" si="11"/>
        <v>0.33766191531915246</v>
      </c>
      <c r="M28" s="1085">
        <f t="shared" ca="1" si="11"/>
        <v>0.33099047115340663</v>
      </c>
      <c r="N28" s="716"/>
      <c r="O28" s="716"/>
      <c r="P28" s="716"/>
      <c r="Q28" s="716"/>
      <c r="R28" s="716"/>
      <c r="S28" s="716"/>
      <c r="T28" s="716"/>
      <c r="U28" s="716"/>
      <c r="W28" s="125"/>
      <c r="X28" s="125"/>
    </row>
    <row r="29" spans="2:24" x14ac:dyDescent="0.2">
      <c r="B29" s="178"/>
      <c r="C29" s="179"/>
      <c r="D29" s="179"/>
      <c r="E29" s="179"/>
      <c r="F29" s="179"/>
      <c r="G29" s="179"/>
      <c r="H29" s="179"/>
      <c r="I29" s="178"/>
      <c r="J29" s="179"/>
      <c r="K29" s="179"/>
      <c r="L29" s="179"/>
      <c r="M29" s="180"/>
      <c r="N29" s="716"/>
      <c r="O29" s="716"/>
      <c r="P29" s="716"/>
      <c r="Q29" s="716"/>
      <c r="R29" s="716"/>
      <c r="S29" s="716"/>
      <c r="T29" s="716"/>
      <c r="U29" s="716"/>
    </row>
    <row r="30" spans="2:24" x14ac:dyDescent="0.2">
      <c r="N30" s="716"/>
      <c r="O30" s="716"/>
      <c r="P30" s="716"/>
      <c r="Q30" s="716"/>
      <c r="R30" s="716"/>
      <c r="S30" s="716"/>
      <c r="T30" s="716"/>
      <c r="U30" s="716"/>
    </row>
    <row r="31" spans="2:24" x14ac:dyDescent="0.2">
      <c r="M31" s="124"/>
      <c r="N31" s="716"/>
      <c r="O31" s="716"/>
      <c r="P31" s="716"/>
      <c r="Q31" s="716"/>
      <c r="R31" s="716"/>
      <c r="S31" s="716"/>
      <c r="T31" s="716"/>
      <c r="U31" s="716"/>
    </row>
    <row r="32" spans="2:24" x14ac:dyDescent="0.2">
      <c r="B32" s="283" t="s">
        <v>420</v>
      </c>
      <c r="C32" s="185"/>
      <c r="D32" s="643">
        <v>2019</v>
      </c>
      <c r="E32" s="644">
        <v>2024</v>
      </c>
      <c r="I32" s="124"/>
      <c r="N32" s="716"/>
      <c r="O32" s="716" t="s">
        <v>421</v>
      </c>
      <c r="P32" s="716"/>
      <c r="Q32" s="716"/>
      <c r="R32" s="716"/>
      <c r="S32" s="716"/>
      <c r="T32" s="716"/>
      <c r="U32" s="716"/>
    </row>
    <row r="33" spans="1:22" x14ac:dyDescent="0.2">
      <c r="B33" s="653" t="s">
        <v>422</v>
      </c>
      <c r="C33" s="197"/>
      <c r="D33" s="1119">
        <v>371400</v>
      </c>
      <c r="E33" s="1120">
        <v>832100</v>
      </c>
      <c r="F33" s="121"/>
      <c r="G33" s="121"/>
      <c r="H33" s="121"/>
      <c r="I33" s="124"/>
      <c r="N33" s="716"/>
      <c r="O33" s="726" t="s">
        <v>423</v>
      </c>
      <c r="P33" s="716"/>
      <c r="Q33" s="716"/>
      <c r="R33" s="716"/>
      <c r="S33" s="716"/>
      <c r="T33" s="716"/>
      <c r="U33" s="716"/>
    </row>
    <row r="34" spans="1:22" x14ac:dyDescent="0.2">
      <c r="B34" s="478" t="s">
        <v>424</v>
      </c>
      <c r="C34" s="121"/>
      <c r="D34" s="786">
        <f>H3</f>
        <v>35026</v>
      </c>
      <c r="E34" s="1097">
        <f ca="1">E33*E38</f>
        <v>104012.5</v>
      </c>
      <c r="F34" s="121"/>
      <c r="H34" s="121"/>
      <c r="N34" s="716"/>
      <c r="O34" s="716"/>
      <c r="P34" s="716"/>
      <c r="Q34" s="716"/>
      <c r="R34" s="716"/>
      <c r="S34" s="716"/>
      <c r="T34" s="716"/>
      <c r="U34" s="716"/>
    </row>
    <row r="35" spans="1:22" x14ac:dyDescent="0.2">
      <c r="B35" s="176"/>
      <c r="D35" s="1117"/>
      <c r="E35" s="1118"/>
      <c r="F35" s="121"/>
      <c r="G35" s="121"/>
      <c r="H35" s="121"/>
      <c r="N35" s="716"/>
      <c r="O35" s="716" t="s">
        <v>279</v>
      </c>
      <c r="P35" s="716"/>
      <c r="Q35" s="716"/>
      <c r="R35" s="716"/>
      <c r="S35" s="716"/>
      <c r="T35" s="716"/>
      <c r="U35" s="716"/>
    </row>
    <row r="36" spans="1:22" x14ac:dyDescent="0.2">
      <c r="A36" s="725"/>
      <c r="B36" s="478" t="s">
        <v>1</v>
      </c>
      <c r="D36" s="1117"/>
      <c r="E36" s="1098">
        <f ca="1">(E34/D34)^(1/5)-1</f>
        <v>0.24319426593220639</v>
      </c>
      <c r="F36" s="200"/>
      <c r="G36" s="200"/>
      <c r="H36" s="200"/>
      <c r="N36" s="716"/>
      <c r="O36" s="727" t="s">
        <v>425</v>
      </c>
      <c r="P36" s="716"/>
      <c r="Q36" s="716"/>
      <c r="R36" s="716"/>
      <c r="S36" s="716"/>
      <c r="T36" s="716"/>
      <c r="U36" s="716"/>
    </row>
    <row r="37" spans="1:22" x14ac:dyDescent="0.2">
      <c r="A37" s="725"/>
      <c r="B37" s="176"/>
      <c r="D37" s="1117"/>
      <c r="E37" s="1118"/>
      <c r="F37" s="121"/>
      <c r="G37" s="121"/>
      <c r="H37" s="121"/>
      <c r="N37" s="716"/>
      <c r="O37" s="716" t="s">
        <v>426</v>
      </c>
      <c r="P37" s="716"/>
      <c r="Q37" s="716"/>
      <c r="R37" s="716"/>
      <c r="S37" s="716"/>
      <c r="T37" s="716"/>
      <c r="U37" s="716"/>
    </row>
    <row r="38" spans="1:22" x14ac:dyDescent="0.2">
      <c r="A38" s="725"/>
      <c r="B38" s="654" t="s">
        <v>427</v>
      </c>
      <c r="C38" s="122"/>
      <c r="D38" s="1099">
        <f>D34/D33</f>
        <v>9.4308023694130313E-2</v>
      </c>
      <c r="E38" s="1100">
        <f ca="1">'Forecast Triggers'!H47</f>
        <v>0.125</v>
      </c>
      <c r="F38" s="200"/>
      <c r="G38" s="200"/>
      <c r="H38" s="200"/>
      <c r="N38" s="716"/>
      <c r="O38" s="716"/>
      <c r="P38" s="716"/>
      <c r="Q38" s="716"/>
      <c r="R38" s="716"/>
      <c r="S38" s="716"/>
      <c r="T38" s="728"/>
      <c r="U38" s="728"/>
      <c r="V38" s="125"/>
    </row>
    <row r="39" spans="1:22" x14ac:dyDescent="0.2">
      <c r="B39" s="178"/>
      <c r="C39" s="210"/>
      <c r="D39" s="808"/>
      <c r="E39" s="782"/>
      <c r="F39" s="121"/>
      <c r="G39" s="121"/>
      <c r="H39" s="121"/>
      <c r="N39" s="716"/>
      <c r="O39" s="727" t="s">
        <v>428</v>
      </c>
      <c r="P39" s="716"/>
      <c r="Q39" s="716" t="s">
        <v>429</v>
      </c>
      <c r="R39" s="716"/>
      <c r="S39" s="716"/>
      <c r="T39" s="716"/>
      <c r="U39" s="716"/>
    </row>
    <row r="40" spans="1:22" x14ac:dyDescent="0.2">
      <c r="C40" s="121"/>
      <c r="D40" s="121"/>
      <c r="E40" s="121"/>
      <c r="F40" s="121"/>
      <c r="G40" s="121"/>
      <c r="H40" s="121"/>
      <c r="N40" s="716"/>
      <c r="O40" s="727" t="s">
        <v>430</v>
      </c>
      <c r="P40" s="716"/>
      <c r="Q40" s="716" t="s">
        <v>431</v>
      </c>
      <c r="R40" s="716"/>
      <c r="S40" s="716"/>
      <c r="T40" s="716"/>
      <c r="U40" s="716"/>
    </row>
    <row r="41" spans="1:22" x14ac:dyDescent="0.2">
      <c r="B41" s="126"/>
      <c r="C41" s="122"/>
      <c r="D41" s="122"/>
      <c r="E41" s="122"/>
      <c r="F41" s="122"/>
      <c r="G41" s="122"/>
      <c r="H41" s="122"/>
      <c r="N41" s="716"/>
      <c r="O41" s="727" t="s">
        <v>432</v>
      </c>
      <c r="P41" s="716"/>
      <c r="Q41" s="716" t="s">
        <v>433</v>
      </c>
      <c r="R41" s="716"/>
      <c r="S41" s="716"/>
      <c r="T41" s="716"/>
      <c r="U41" s="716"/>
    </row>
    <row r="42" spans="1:22" x14ac:dyDescent="0.2">
      <c r="N42" s="716"/>
      <c r="O42" s="727" t="s">
        <v>434</v>
      </c>
      <c r="P42" s="716"/>
      <c r="Q42" s="716" t="s">
        <v>435</v>
      </c>
      <c r="R42" s="716"/>
      <c r="S42" s="716"/>
      <c r="T42" s="716"/>
      <c r="U42" s="716"/>
    </row>
    <row r="43" spans="1:22" x14ac:dyDescent="0.2">
      <c r="C43" s="121"/>
      <c r="D43" s="121"/>
      <c r="E43" s="121"/>
      <c r="F43" s="121"/>
      <c r="G43" s="121"/>
      <c r="H43" s="121"/>
      <c r="N43" s="716"/>
      <c r="O43" s="727" t="s">
        <v>436</v>
      </c>
      <c r="P43" s="716"/>
      <c r="Q43" s="716" t="s">
        <v>437</v>
      </c>
      <c r="R43" s="716"/>
      <c r="S43" s="716"/>
      <c r="T43" s="716"/>
      <c r="U43" s="716"/>
    </row>
    <row r="44" spans="1:22" x14ac:dyDescent="0.2">
      <c r="N44" s="716"/>
      <c r="O44" s="726" t="s">
        <v>438</v>
      </c>
      <c r="P44" s="716"/>
      <c r="Q44" s="716"/>
      <c r="R44" s="716"/>
      <c r="S44" s="716"/>
      <c r="T44" s="716"/>
      <c r="U44" s="716"/>
    </row>
    <row r="45" spans="1:22" x14ac:dyDescent="0.2">
      <c r="B45" s="716"/>
      <c r="C45" s="716"/>
      <c r="N45" s="716"/>
      <c r="O45" s="716"/>
      <c r="P45" s="716"/>
      <c r="Q45" s="716"/>
      <c r="R45" s="716"/>
      <c r="S45" s="716"/>
      <c r="T45" s="716"/>
      <c r="U45" s="716"/>
    </row>
    <row r="46" spans="1:22" x14ac:dyDescent="0.2">
      <c r="B46" s="716"/>
      <c r="C46" s="716"/>
      <c r="N46" s="716"/>
      <c r="O46" s="727" t="s">
        <v>439</v>
      </c>
      <c r="P46" s="716" t="s">
        <v>440</v>
      </c>
      <c r="Q46" s="716"/>
      <c r="R46" s="716"/>
      <c r="S46" s="716"/>
      <c r="T46" s="716"/>
      <c r="U46" s="716"/>
    </row>
    <row r="47" spans="1:22" x14ac:dyDescent="0.2">
      <c r="B47" s="729" t="s">
        <v>412</v>
      </c>
      <c r="C47" s="716"/>
      <c r="N47" s="716"/>
      <c r="O47" s="727" t="s">
        <v>441</v>
      </c>
      <c r="P47" s="716" t="s">
        <v>442</v>
      </c>
      <c r="Q47" s="716"/>
      <c r="R47" s="716"/>
      <c r="S47" s="716"/>
      <c r="T47" s="716"/>
      <c r="U47" s="716"/>
    </row>
    <row r="48" spans="1:22" x14ac:dyDescent="0.2">
      <c r="B48" s="716" t="s">
        <v>443</v>
      </c>
      <c r="C48" s="716"/>
      <c r="N48" s="716"/>
      <c r="O48" s="727" t="s">
        <v>444</v>
      </c>
      <c r="P48" s="716" t="s">
        <v>445</v>
      </c>
      <c r="Q48" s="716"/>
      <c r="R48" s="716"/>
      <c r="S48" s="716"/>
      <c r="T48" s="716"/>
      <c r="U48" s="716"/>
    </row>
    <row r="49" spans="2:21" x14ac:dyDescent="0.2">
      <c r="B49" s="716" t="s">
        <v>446</v>
      </c>
      <c r="C49" s="716"/>
      <c r="N49" s="716"/>
      <c r="O49" s="727" t="s">
        <v>447</v>
      </c>
      <c r="P49" s="716" t="s">
        <v>448</v>
      </c>
      <c r="Q49" s="716"/>
      <c r="R49" s="716"/>
      <c r="S49" s="716"/>
      <c r="T49" s="716" t="s">
        <v>449</v>
      </c>
      <c r="U49" s="716"/>
    </row>
    <row r="50" spans="2:21" x14ac:dyDescent="0.2">
      <c r="B50" s="716" t="s">
        <v>450</v>
      </c>
      <c r="C50" s="716"/>
      <c r="N50" s="716"/>
      <c r="O50" s="727" t="s">
        <v>451</v>
      </c>
      <c r="P50" s="716" t="s">
        <v>452</v>
      </c>
      <c r="Q50" s="716"/>
      <c r="R50" s="716"/>
      <c r="S50" s="716"/>
      <c r="T50" s="716"/>
      <c r="U50" s="716"/>
    </row>
    <row r="51" spans="2:21" x14ac:dyDescent="0.2">
      <c r="B51" s="716" t="s">
        <v>453</v>
      </c>
      <c r="C51" s="716"/>
      <c r="N51" s="716"/>
      <c r="O51" s="716"/>
      <c r="P51" s="716"/>
      <c r="Q51" s="716"/>
      <c r="R51" s="716"/>
      <c r="S51" s="716"/>
      <c r="T51" s="716"/>
      <c r="U51" s="716"/>
    </row>
    <row r="52" spans="2:21" x14ac:dyDescent="0.2">
      <c r="B52" s="716" t="s">
        <v>454</v>
      </c>
      <c r="C52" s="716"/>
      <c r="N52" s="716"/>
      <c r="O52" s="726" t="s">
        <v>455</v>
      </c>
      <c r="P52" s="716"/>
      <c r="Q52" s="716"/>
      <c r="R52" s="716"/>
      <c r="S52" s="716"/>
      <c r="T52" s="716"/>
      <c r="U52" s="716" t="s">
        <v>456</v>
      </c>
    </row>
    <row r="53" spans="2:21" x14ac:dyDescent="0.2">
      <c r="B53" s="716" t="s">
        <v>457</v>
      </c>
      <c r="C53" s="716"/>
      <c r="N53" s="716"/>
      <c r="O53" s="716"/>
      <c r="P53" s="716"/>
      <c r="Q53" s="716"/>
      <c r="R53" s="716"/>
      <c r="S53" s="716"/>
      <c r="T53" s="716"/>
      <c r="U53" s="716"/>
    </row>
    <row r="54" spans="2:21" x14ac:dyDescent="0.2">
      <c r="B54" s="716" t="s">
        <v>458</v>
      </c>
      <c r="C54" s="716"/>
    </row>
    <row r="55" spans="2:21" x14ac:dyDescent="0.2">
      <c r="B55" s="716" t="s">
        <v>459</v>
      </c>
      <c r="C55" s="716"/>
    </row>
    <row r="56" spans="2:21" x14ac:dyDescent="0.2">
      <c r="B56" s="716" t="s">
        <v>460</v>
      </c>
      <c r="C56" s="716"/>
    </row>
    <row r="57" spans="2:21" x14ac:dyDescent="0.2">
      <c r="B57" s="716" t="s">
        <v>461</v>
      </c>
      <c r="C57" s="716"/>
    </row>
    <row r="58" spans="2:21" x14ac:dyDescent="0.2">
      <c r="B58" s="716" t="s">
        <v>462</v>
      </c>
      <c r="C58" s="716"/>
    </row>
    <row r="59" spans="2:21" x14ac:dyDescent="0.2">
      <c r="B59" s="716"/>
      <c r="C59" s="716"/>
    </row>
    <row r="60" spans="2:21" x14ac:dyDescent="0.2">
      <c r="B60" s="729" t="s">
        <v>463</v>
      </c>
      <c r="C60" s="716"/>
    </row>
    <row r="61" spans="2:21" x14ac:dyDescent="0.2">
      <c r="B61" s="716" t="s">
        <v>464</v>
      </c>
      <c r="C61" s="716"/>
    </row>
    <row r="62" spans="2:21" x14ac:dyDescent="0.2">
      <c r="B62" s="716" t="s">
        <v>454</v>
      </c>
      <c r="C62" s="716"/>
    </row>
    <row r="63" spans="2:21" x14ac:dyDescent="0.2">
      <c r="B63" s="716" t="s">
        <v>465</v>
      </c>
      <c r="C63" s="716"/>
    </row>
    <row r="64" spans="2:21" x14ac:dyDescent="0.2">
      <c r="B64" s="716" t="s">
        <v>466</v>
      </c>
      <c r="C64" s="716"/>
    </row>
  </sheetData>
  <hyperlinks>
    <hyperlink ref="O44" r:id="rId1" xr:uid="{00000000-0004-0000-0700-000000000000}"/>
    <hyperlink ref="O52" r:id="rId2" xr:uid="{00000000-0004-0000-0700-000001000000}"/>
    <hyperlink ref="O33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Z91"/>
  <sheetViews>
    <sheetView showGridLines="0" zoomScaleNormal="100" workbookViewId="0">
      <selection activeCell="P28" sqref="P28"/>
    </sheetView>
  </sheetViews>
  <sheetFormatPr baseColWidth="10" defaultColWidth="8.83203125" defaultRowHeight="15" outlineLevelCol="1" x14ac:dyDescent="0.2"/>
  <cols>
    <col min="1" max="1" width="4.83203125" style="716" customWidth="1"/>
    <col min="2" max="2" width="36" customWidth="1"/>
    <col min="3" max="3" width="10.1640625" customWidth="1" outlineLevel="1"/>
    <col min="4" max="6" width="10.5" customWidth="1" outlineLevel="1"/>
    <col min="7" max="7" width="10.5" customWidth="1"/>
    <col min="8" max="9" width="11.33203125" customWidth="1"/>
    <col min="10" max="10" width="10.1640625" bestFit="1" customWidth="1"/>
    <col min="11" max="13" width="9.1640625" customWidth="1"/>
    <col min="14" max="14" width="9.1640625" style="145" customWidth="1"/>
    <col min="15" max="17" width="11.33203125" customWidth="1" outlineLevel="1"/>
    <col min="18" max="18" width="9.1640625" customWidth="1" outlineLevel="1"/>
    <col min="19" max="19" width="11.1640625" customWidth="1" outlineLevel="1"/>
    <col min="20" max="26" width="9.1640625" style="669"/>
  </cols>
  <sheetData>
    <row r="2" spans="1:20" x14ac:dyDescent="0.2">
      <c r="A2" s="716" t="s">
        <v>609</v>
      </c>
      <c r="B2" s="668" t="s">
        <v>373</v>
      </c>
      <c r="C2" s="165">
        <v>2014</v>
      </c>
      <c r="D2" s="165">
        <v>2015</v>
      </c>
      <c r="E2" s="165">
        <v>2016</v>
      </c>
      <c r="F2" s="165">
        <v>2017</v>
      </c>
      <c r="G2" s="165">
        <v>2018</v>
      </c>
      <c r="H2" s="165">
        <v>2019</v>
      </c>
      <c r="I2" s="762">
        <v>2020</v>
      </c>
      <c r="J2" s="762">
        <v>2021</v>
      </c>
      <c r="K2" s="762">
        <v>2022</v>
      </c>
      <c r="L2" s="762">
        <v>2023</v>
      </c>
      <c r="M2" s="762">
        <v>2024</v>
      </c>
      <c r="N2" s="637"/>
      <c r="O2" s="642" t="s">
        <v>158</v>
      </c>
      <c r="P2" s="643" t="s">
        <v>159</v>
      </c>
      <c r="Q2" s="644" t="s">
        <v>263</v>
      </c>
    </row>
    <row r="3" spans="1:20" x14ac:dyDescent="0.2">
      <c r="B3" s="176" t="s">
        <v>374</v>
      </c>
      <c r="C3" s="162">
        <v>29</v>
      </c>
      <c r="D3" s="162">
        <v>45</v>
      </c>
      <c r="E3" s="162">
        <f>E5/E4</f>
        <v>64.585858585858588</v>
      </c>
      <c r="F3" s="162">
        <f>F5/F4</f>
        <v>98.191919191919197</v>
      </c>
      <c r="G3" s="162">
        <f>G5/G4</f>
        <v>119.05882352941177</v>
      </c>
      <c r="H3" s="162">
        <f>H5/H4</f>
        <v>161.42857142857142</v>
      </c>
      <c r="I3" s="194">
        <f ca="1">(1+I28)*H3</f>
        <v>196.13571428571427</v>
      </c>
      <c r="J3" s="195">
        <f ca="1">I3*(1+J28)*J32</f>
        <v>227.83124571428567</v>
      </c>
      <c r="K3" s="195">
        <f ca="1">J3*(1+K28)*K32</f>
        <v>253.27543923565707</v>
      </c>
      <c r="L3" s="195">
        <f ca="1">K3*(1+L28)*L32</f>
        <v>266.04604277770954</v>
      </c>
      <c r="M3" s="196">
        <f ca="1">L3*(1+M28)*M32</f>
        <v>263.94158292916808</v>
      </c>
      <c r="N3" s="235"/>
      <c r="O3" s="650">
        <f>O5/O4</f>
        <v>75.78151260504201</v>
      </c>
      <c r="P3" s="651">
        <f>P5/P4</f>
        <v>97.260504201680675</v>
      </c>
      <c r="Q3" s="652">
        <f>H3+P3-O3</f>
        <v>182.9075630252101</v>
      </c>
      <c r="S3" s="121">
        <v>200</v>
      </c>
    </row>
    <row r="4" spans="1:20" x14ac:dyDescent="0.2">
      <c r="B4" s="176" t="s">
        <v>375</v>
      </c>
      <c r="C4" s="162">
        <v>99</v>
      </c>
      <c r="D4" s="162">
        <v>99</v>
      </c>
      <c r="E4" s="162">
        <v>99</v>
      </c>
      <c r="F4" s="162">
        <v>99</v>
      </c>
      <c r="G4" s="162">
        <v>119</v>
      </c>
      <c r="H4" s="162">
        <v>119</v>
      </c>
      <c r="I4" s="260">
        <v>119</v>
      </c>
      <c r="J4" s="162">
        <v>119</v>
      </c>
      <c r="K4" s="162">
        <v>119</v>
      </c>
      <c r="L4" s="162">
        <v>119</v>
      </c>
      <c r="M4" s="261">
        <v>119</v>
      </c>
      <c r="N4" s="638"/>
      <c r="O4" s="260">
        <f>H4</f>
        <v>119</v>
      </c>
      <c r="P4" s="162">
        <f>I4</f>
        <v>119</v>
      </c>
      <c r="Q4" s="261">
        <f>J4</f>
        <v>119</v>
      </c>
      <c r="S4">
        <v>119</v>
      </c>
      <c r="T4" s="670"/>
    </row>
    <row r="5" spans="1:20" x14ac:dyDescent="0.2">
      <c r="B5" s="209" t="s">
        <v>376</v>
      </c>
      <c r="C5" s="163">
        <f>' Segments'!C36</f>
        <v>2760</v>
      </c>
      <c r="D5" s="163">
        <f>' Segments'!D36</f>
        <v>4467</v>
      </c>
      <c r="E5" s="163">
        <f>' Segments'!E36</f>
        <v>6394</v>
      </c>
      <c r="F5" s="163">
        <f>' Segments'!F36</f>
        <v>9721</v>
      </c>
      <c r="G5" s="163">
        <f>' Segments'!G36</f>
        <v>14168</v>
      </c>
      <c r="H5" s="163">
        <f>' Segments'!H36</f>
        <v>19210</v>
      </c>
      <c r="I5" s="188">
        <f ca="1">I4*I3</f>
        <v>23340.149999999998</v>
      </c>
      <c r="J5" s="122">
        <f ca="1">J4*J3</f>
        <v>27111.918239999995</v>
      </c>
      <c r="K5" s="122">
        <f ca="1">K4*K3</f>
        <v>30139.777269043192</v>
      </c>
      <c r="L5" s="122">
        <f ca="1">L4*L3</f>
        <v>31659.479090547436</v>
      </c>
      <c r="M5" s="189">
        <f ca="1">M4*M3</f>
        <v>31409.048368571002</v>
      </c>
      <c r="N5" s="580"/>
      <c r="O5" s="635">
        <f>' Segments'!I36</f>
        <v>9018</v>
      </c>
      <c r="P5" s="646">
        <f>' Segments'!J36</f>
        <v>11574</v>
      </c>
      <c r="Q5" s="636">
        <f>H5+P5-O5</f>
        <v>21766</v>
      </c>
      <c r="S5" s="121">
        <f>P5*2</f>
        <v>23148</v>
      </c>
    </row>
    <row r="6" spans="1:20" x14ac:dyDescent="0.2">
      <c r="B6" s="173" t="s">
        <v>377</v>
      </c>
      <c r="C6" s="197">
        <v>500</v>
      </c>
      <c r="D6" s="197">
        <f>1200-700</f>
        <v>500</v>
      </c>
      <c r="E6" s="197">
        <f>1200-600</f>
        <v>600</v>
      </c>
      <c r="F6" s="197">
        <v>600</v>
      </c>
      <c r="G6" s="197">
        <v>800</v>
      </c>
      <c r="H6" s="198">
        <v>800</v>
      </c>
      <c r="I6" s="226">
        <v>900</v>
      </c>
      <c r="J6" s="197">
        <v>900</v>
      </c>
      <c r="K6" s="197">
        <v>900</v>
      </c>
      <c r="L6" s="197">
        <v>900</v>
      </c>
      <c r="M6" s="198">
        <v>900</v>
      </c>
      <c r="N6" s="574"/>
      <c r="O6" s="186">
        <v>800</v>
      </c>
      <c r="P6" s="121">
        <v>900</v>
      </c>
      <c r="Q6" s="187">
        <v>900</v>
      </c>
      <c r="S6">
        <v>900</v>
      </c>
    </row>
    <row r="7" spans="1:20" x14ac:dyDescent="0.2">
      <c r="B7" s="219" t="s">
        <v>378</v>
      </c>
      <c r="C7" s="121"/>
      <c r="D7" s="124">
        <f>D6/C6-1</f>
        <v>0</v>
      </c>
      <c r="E7" s="124">
        <f>E6/D6-1</f>
        <v>0.19999999999999996</v>
      </c>
      <c r="F7" s="124">
        <f>F6/E6-1</f>
        <v>0</v>
      </c>
      <c r="G7" s="124">
        <f>G6/F6-1</f>
        <v>0.33333333333333326</v>
      </c>
      <c r="H7" s="224">
        <f>H6/G6-1</f>
        <v>0</v>
      </c>
      <c r="I7" s="223">
        <v>0</v>
      </c>
      <c r="J7" s="124">
        <v>0</v>
      </c>
      <c r="K7" s="124">
        <v>0</v>
      </c>
      <c r="L7" s="124">
        <v>0</v>
      </c>
      <c r="M7" s="224">
        <v>0</v>
      </c>
      <c r="N7" s="167"/>
      <c r="O7" s="223"/>
      <c r="P7" s="124"/>
      <c r="Q7" s="224"/>
    </row>
    <row r="8" spans="1:20" x14ac:dyDescent="0.2">
      <c r="B8" s="176" t="s">
        <v>379</v>
      </c>
      <c r="C8" s="181">
        <f t="shared" ref="C8:M8" si="0">C6*C3</f>
        <v>14500</v>
      </c>
      <c r="D8" s="181">
        <f t="shared" si="0"/>
        <v>22500</v>
      </c>
      <c r="E8" s="181">
        <f t="shared" si="0"/>
        <v>38751.515151515152</v>
      </c>
      <c r="F8" s="181">
        <f t="shared" si="0"/>
        <v>58915.15151515152</v>
      </c>
      <c r="G8" s="181">
        <f t="shared" si="0"/>
        <v>95247.058823529413</v>
      </c>
      <c r="H8" s="263">
        <f t="shared" si="0"/>
        <v>129142.85714285713</v>
      </c>
      <c r="I8" s="186">
        <f ca="1">I6*I3</f>
        <v>176522.14285714284</v>
      </c>
      <c r="J8" s="121">
        <f t="shared" ca="1" si="0"/>
        <v>205048.1211428571</v>
      </c>
      <c r="K8" s="121">
        <f t="shared" ca="1" si="0"/>
        <v>227947.89531209136</v>
      </c>
      <c r="L8" s="121">
        <f t="shared" ca="1" si="0"/>
        <v>239441.43849993858</v>
      </c>
      <c r="M8" s="187">
        <f t="shared" ca="1" si="0"/>
        <v>237547.42463625126</v>
      </c>
      <c r="N8" s="574"/>
      <c r="O8" s="665">
        <f>O6*O3</f>
        <v>60625.210084033606</v>
      </c>
      <c r="P8" s="664">
        <f>P6*P3</f>
        <v>87534.45378151261</v>
      </c>
      <c r="Q8" s="663">
        <f>H8+P8-O8</f>
        <v>156052.10084033612</v>
      </c>
      <c r="S8" s="664">
        <f>S6*S3</f>
        <v>180000</v>
      </c>
    </row>
    <row r="9" spans="1:20" x14ac:dyDescent="0.2">
      <c r="B9" s="199" t="s">
        <v>380</v>
      </c>
      <c r="C9" s="262">
        <f t="shared" ref="C9:M9" si="1">C8+C5</f>
        <v>17260</v>
      </c>
      <c r="D9" s="262">
        <f t="shared" si="1"/>
        <v>26967</v>
      </c>
      <c r="E9" s="262">
        <f t="shared" si="1"/>
        <v>45145.515151515152</v>
      </c>
      <c r="F9" s="262">
        <f t="shared" si="1"/>
        <v>68636.15151515152</v>
      </c>
      <c r="G9" s="262">
        <f t="shared" si="1"/>
        <v>109415.05882352941</v>
      </c>
      <c r="H9" s="264">
        <f t="shared" si="1"/>
        <v>148352.85714285713</v>
      </c>
      <c r="I9" s="188">
        <f ca="1">I8+I5</f>
        <v>199862.29285714283</v>
      </c>
      <c r="J9" s="122">
        <f t="shared" ca="1" si="1"/>
        <v>232160.0393828571</v>
      </c>
      <c r="K9" s="122">
        <f t="shared" ca="1" si="1"/>
        <v>258087.67258113457</v>
      </c>
      <c r="L9" s="122">
        <f t="shared" ca="1" si="1"/>
        <v>271100.917590486</v>
      </c>
      <c r="M9" s="189">
        <f t="shared" ca="1" si="1"/>
        <v>268956.47300482227</v>
      </c>
      <c r="N9" s="580"/>
      <c r="O9" s="662">
        <f>O8+O5</f>
        <v>69643.210084033606</v>
      </c>
      <c r="P9" s="262">
        <f>P8+P5</f>
        <v>99108.45378151261</v>
      </c>
      <c r="Q9" s="264">
        <f>H9+P9-O9</f>
        <v>177818.10084033612</v>
      </c>
      <c r="S9" s="262">
        <f>S8+S5</f>
        <v>203148</v>
      </c>
    </row>
    <row r="10" spans="1:20" x14ac:dyDescent="0.2">
      <c r="B10" s="265" t="s">
        <v>351</v>
      </c>
      <c r="C10" s="179"/>
      <c r="D10" s="266">
        <f t="shared" ref="D10:M10" si="2">D9/C9-1</f>
        <v>0.56239860950173814</v>
      </c>
      <c r="E10" s="266">
        <f t="shared" si="2"/>
        <v>0.67410224168484256</v>
      </c>
      <c r="F10" s="266">
        <f t="shared" si="2"/>
        <v>0.52033156083828591</v>
      </c>
      <c r="G10" s="266">
        <f t="shared" si="2"/>
        <v>0.59413161152218597</v>
      </c>
      <c r="H10" s="267">
        <f t="shared" si="2"/>
        <v>0.35587238848108393</v>
      </c>
      <c r="I10" s="268">
        <f ca="1">I9/H9-1</f>
        <v>0.3472089227421109</v>
      </c>
      <c r="J10" s="266">
        <f t="shared" ca="1" si="2"/>
        <v>0.16159999999999997</v>
      </c>
      <c r="K10" s="266">
        <f t="shared" ca="1" si="2"/>
        <v>0.11168</v>
      </c>
      <c r="L10" s="266">
        <f t="shared" ca="1" si="2"/>
        <v>5.042179999999985E-2</v>
      </c>
      <c r="M10" s="267">
        <f t="shared" ca="1" si="2"/>
        <v>-7.9101340000000686E-3</v>
      </c>
      <c r="N10" s="639"/>
      <c r="O10" s="268"/>
      <c r="P10" s="266"/>
      <c r="Q10" s="267">
        <f>Q9/H9-1</f>
        <v>0.19861595027526358</v>
      </c>
    </row>
    <row r="11" spans="1:20" x14ac:dyDescent="0.2"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576"/>
      <c r="O11" s="119"/>
      <c r="P11" s="119"/>
      <c r="Q11" s="119"/>
    </row>
    <row r="12" spans="1:20" x14ac:dyDescent="0.2">
      <c r="A12" s="716" t="s">
        <v>609</v>
      </c>
      <c r="B12" s="283" t="s">
        <v>381</v>
      </c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645"/>
      <c r="N12" s="640"/>
      <c r="O12" s="642" t="s">
        <v>158</v>
      </c>
      <c r="P12" s="643" t="s">
        <v>159</v>
      </c>
      <c r="Q12" s="644" t="s">
        <v>263</v>
      </c>
    </row>
    <row r="13" spans="1:20" x14ac:dyDescent="0.2">
      <c r="B13" s="173" t="s">
        <v>382</v>
      </c>
      <c r="C13" s="693">
        <v>8709</v>
      </c>
      <c r="D13" s="693">
        <v>11539</v>
      </c>
      <c r="E13" s="693">
        <v>16167</v>
      </c>
      <c r="F13" s="693">
        <v>21700</v>
      </c>
      <c r="G13" s="693">
        <v>27700</v>
      </c>
      <c r="H13" s="693">
        <v>37900</v>
      </c>
      <c r="I13" s="226">
        <f ca="1">I$9*I34</f>
        <v>48966.261749999991</v>
      </c>
      <c r="J13" s="197">
        <f t="shared" ref="J13:M15" ca="1" si="3">J$9*J34</f>
        <v>55718.409451885702</v>
      </c>
      <c r="K13" s="197">
        <f t="shared" ca="1" si="3"/>
        <v>59360.164693660954</v>
      </c>
      <c r="L13" s="197">
        <f t="shared" ca="1" si="3"/>
        <v>59642.201869906923</v>
      </c>
      <c r="M13" s="198">
        <f t="shared" ca="1" si="3"/>
        <v>56480.859331012674</v>
      </c>
      <c r="N13" s="574"/>
      <c r="O13" s="461">
        <f>' Segments'!I130</f>
        <v>15454</v>
      </c>
      <c r="P13" s="246">
        <f>' Segments'!J130</f>
        <v>24588</v>
      </c>
      <c r="Q13" s="287">
        <f>H13+P13-O13</f>
        <v>47034</v>
      </c>
      <c r="S13" s="121">
        <f>P13*2</f>
        <v>49176</v>
      </c>
    </row>
    <row r="14" spans="1:20" x14ac:dyDescent="0.2">
      <c r="B14" s="176" t="s">
        <v>383</v>
      </c>
      <c r="C14" s="694">
        <f>' Segments'!C182</f>
        <v>0</v>
      </c>
      <c r="D14" s="694">
        <f>' Segments'!D182</f>
        <v>0</v>
      </c>
      <c r="E14" s="694">
        <f>' Segments'!E182</f>
        <v>0</v>
      </c>
      <c r="F14" s="694">
        <f>' Segments'!F182</f>
        <v>0</v>
      </c>
      <c r="G14" s="694">
        <f>' Segments'!G182</f>
        <v>6700</v>
      </c>
      <c r="H14" s="694">
        <f>' Segments'!H182</f>
        <v>7800</v>
      </c>
      <c r="I14" s="186">
        <f ca="1">I$9*I35</f>
        <v>9993.1146428571428</v>
      </c>
      <c r="J14" s="121">
        <f t="shared" ca="1" si="3"/>
        <v>11608.001969142855</v>
      </c>
      <c r="K14" s="121">
        <f t="shared" ca="1" si="3"/>
        <v>12904.383629056729</v>
      </c>
      <c r="L14" s="121">
        <f t="shared" ca="1" si="3"/>
        <v>13555.045879524301</v>
      </c>
      <c r="M14" s="187">
        <f t="shared" ca="1" si="3"/>
        <v>13447.823650241115</v>
      </c>
      <c r="N14" s="574"/>
      <c r="O14" s="461">
        <f>' Segments'!I131</f>
        <v>3500</v>
      </c>
      <c r="P14" s="246">
        <f>' Segments'!J131</f>
        <v>5200</v>
      </c>
      <c r="Q14" s="287">
        <f>H14+P14-O14</f>
        <v>9500</v>
      </c>
      <c r="S14" s="121">
        <f t="shared" ref="S14:S21" si="4">P14*2</f>
        <v>10400</v>
      </c>
    </row>
    <row r="15" spans="1:20" x14ac:dyDescent="0.2">
      <c r="B15" s="176" t="s">
        <v>384</v>
      </c>
      <c r="C15" s="695">
        <f>' Segments'!C204</f>
        <v>11059.259461253912</v>
      </c>
      <c r="D15" s="695">
        <f>' Segments'!D204</f>
        <v>16353.331154288482</v>
      </c>
      <c r="E15" s="695">
        <f>' Segments'!E204</f>
        <v>26298.407919607165</v>
      </c>
      <c r="F15" s="695">
        <f>' Segments'!F204</f>
        <v>38610.001407782591</v>
      </c>
      <c r="G15" s="695">
        <f>' Segments'!G204</f>
        <v>49216.459668822441</v>
      </c>
      <c r="H15" s="695">
        <f>' Segments'!H204</f>
        <v>65404.069404680435</v>
      </c>
      <c r="I15" s="186">
        <f ca="1">I$9*I36</f>
        <v>86940.097392857133</v>
      </c>
      <c r="J15" s="121">
        <f t="shared" ca="1" si="3"/>
        <v>98969.824788911981</v>
      </c>
      <c r="K15" s="121">
        <f t="shared" ca="1" si="3"/>
        <v>107822.3193249109</v>
      </c>
      <c r="L15" s="121">
        <f t="shared" ca="1" si="3"/>
        <v>110993.73645053874</v>
      </c>
      <c r="M15" s="187">
        <f t="shared" ca="1" si="3"/>
        <v>107913.44589961317</v>
      </c>
      <c r="N15" s="574"/>
      <c r="O15" s="666">
        <f>' Segments'!I204</f>
        <v>29577.411718491629</v>
      </c>
      <c r="P15" s="182">
        <f>' Segments'!J204</f>
        <v>42425.183623570119</v>
      </c>
      <c r="Q15" s="667">
        <f>H15+P15-O15</f>
        <v>78251.841309758936</v>
      </c>
      <c r="S15" s="121">
        <f t="shared" si="4"/>
        <v>84850.367247140239</v>
      </c>
    </row>
    <row r="16" spans="1:20" x14ac:dyDescent="0.2">
      <c r="B16" s="199" t="s">
        <v>385</v>
      </c>
      <c r="C16" s="122">
        <f t="shared" ref="C16:M16" si="5">SUM(C13:C15)</f>
        <v>19768.259461253911</v>
      </c>
      <c r="D16" s="122">
        <f t="shared" si="5"/>
        <v>27892.331154288484</v>
      </c>
      <c r="E16" s="122">
        <f t="shared" si="5"/>
        <v>42465.407919607169</v>
      </c>
      <c r="F16" s="122">
        <f t="shared" si="5"/>
        <v>60310.001407782591</v>
      </c>
      <c r="G16" s="122">
        <f t="shared" si="5"/>
        <v>83616.459668822441</v>
      </c>
      <c r="H16" s="122">
        <f t="shared" si="5"/>
        <v>111104.06940468043</v>
      </c>
      <c r="I16" s="188">
        <f t="shared" ca="1" si="5"/>
        <v>145899.47378571428</v>
      </c>
      <c r="J16" s="122">
        <f t="shared" ca="1" si="5"/>
        <v>166296.23620994054</v>
      </c>
      <c r="K16" s="122">
        <f t="shared" ca="1" si="5"/>
        <v>180086.86764762859</v>
      </c>
      <c r="L16" s="122">
        <f t="shared" ca="1" si="5"/>
        <v>184190.98419996997</v>
      </c>
      <c r="M16" s="189">
        <f t="shared" ca="1" si="5"/>
        <v>177842.12888086698</v>
      </c>
      <c r="N16" s="580"/>
      <c r="O16" s="188">
        <f>SUM(O13:O15)</f>
        <v>48531.411718491625</v>
      </c>
      <c r="P16" s="122">
        <f>SUM(P13:P15)</f>
        <v>72213.183623570119</v>
      </c>
      <c r="Q16" s="189">
        <f>SUM(Q13:Q15)</f>
        <v>134785.84130975895</v>
      </c>
      <c r="S16" s="122">
        <f t="shared" si="4"/>
        <v>144426.36724714024</v>
      </c>
    </row>
    <row r="17" spans="1:19" x14ac:dyDescent="0.2">
      <c r="B17" s="130" t="s">
        <v>339</v>
      </c>
      <c r="C17" s="182">
        <f>' Segments'!C205</f>
        <v>2203.13430712321</v>
      </c>
      <c r="D17" s="182">
        <f>' Segments'!D205</f>
        <v>3648.1596150354098</v>
      </c>
      <c r="E17" s="182">
        <f>' Segments'!E205</f>
        <v>6426.6921292623738</v>
      </c>
      <c r="F17" s="182">
        <f>' Segments'!F205</f>
        <v>10803.731692544969</v>
      </c>
      <c r="G17" s="182">
        <f>' Segments'!G205</f>
        <v>17965.69162382371</v>
      </c>
      <c r="H17" s="182">
        <f>' Segments'!H205</f>
        <v>24312.136037130658</v>
      </c>
      <c r="I17" s="186">
        <f t="shared" ref="I17:M21" ca="1" si="6">I$9*I37</f>
        <v>35975.212714285706</v>
      </c>
      <c r="J17" s="121">
        <f t="shared" ca="1" si="6"/>
        <v>41788.807088914276</v>
      </c>
      <c r="K17" s="121">
        <f t="shared" ca="1" si="6"/>
        <v>46455.78106460422</v>
      </c>
      <c r="L17" s="121">
        <f t="shared" ca="1" si="6"/>
        <v>48798.165166287479</v>
      </c>
      <c r="M17" s="187">
        <f t="shared" ca="1" si="6"/>
        <v>48412.165140868005</v>
      </c>
      <c r="N17" s="574"/>
      <c r="O17" s="666">
        <f>' Segments'!I205</f>
        <v>11629.325509416682</v>
      </c>
      <c r="P17" s="182">
        <f>' Segments'!J205</f>
        <v>17518.930167801649</v>
      </c>
      <c r="Q17" s="667">
        <f>H17+P17-O17</f>
        <v>30201.740695515626</v>
      </c>
      <c r="S17" s="121">
        <f t="shared" si="4"/>
        <v>35037.860335603298</v>
      </c>
    </row>
    <row r="18" spans="1:19" x14ac:dyDescent="0.2">
      <c r="B18" s="130" t="s">
        <v>341</v>
      </c>
      <c r="C18" s="182">
        <f>' Segments'!C206</f>
        <v>1270.5849172851206</v>
      </c>
      <c r="D18" s="182">
        <f>' Segments'!D206</f>
        <v>2111.700309197046</v>
      </c>
      <c r="E18" s="182">
        <f>' Segments'!E206</f>
        <v>3443.520422068952</v>
      </c>
      <c r="F18" s="182">
        <f>' Segments'!F206</f>
        <v>5837.514780946748</v>
      </c>
      <c r="G18" s="182">
        <f>' Segments'!G206</f>
        <v>8765.7202691931543</v>
      </c>
      <c r="H18" s="182">
        <f>' Segments'!H206</f>
        <v>11275.450377926583</v>
      </c>
      <c r="I18" s="186">
        <f t="shared" ca="1" si="6"/>
        <v>15988.983428571428</v>
      </c>
      <c r="J18" s="121">
        <f t="shared" ca="1" si="6"/>
        <v>18572.80315062857</v>
      </c>
      <c r="K18" s="121">
        <f t="shared" ca="1" si="6"/>
        <v>20647.013806490766</v>
      </c>
      <c r="L18" s="121">
        <f t="shared" ca="1" si="6"/>
        <v>21688.07340723888</v>
      </c>
      <c r="M18" s="187">
        <f t="shared" ca="1" si="6"/>
        <v>21516.517840385783</v>
      </c>
      <c r="N18" s="574"/>
      <c r="O18" s="666">
        <f>' Segments'!I206</f>
        <v>5989.5949871757866</v>
      </c>
      <c r="P18" s="182">
        <f>' Segments'!J206</f>
        <v>7110.0511185905989</v>
      </c>
      <c r="Q18" s="667">
        <f>H18+P18-O18</f>
        <v>12395.906509341396</v>
      </c>
      <c r="S18" s="121">
        <f t="shared" si="4"/>
        <v>14220.102237181198</v>
      </c>
    </row>
    <row r="19" spans="1:19" x14ac:dyDescent="0.2">
      <c r="B19" s="130" t="s">
        <v>344</v>
      </c>
      <c r="C19" s="182">
        <f>' Segments'!C207</f>
        <v>675.30589016408999</v>
      </c>
      <c r="D19" s="182">
        <f>' Segments'!D207</f>
        <v>1033.7812481084682</v>
      </c>
      <c r="E19" s="182">
        <f>' Segments'!E207</f>
        <v>1823.7959388337515</v>
      </c>
      <c r="F19" s="182">
        <f>' Segments'!F207</f>
        <v>2695.6913011617607</v>
      </c>
      <c r="G19" s="182">
        <f>' Segments'!G207</f>
        <v>4256.7121031864253</v>
      </c>
      <c r="H19" s="182">
        <f>' Segments'!H207</f>
        <v>6553.7812742017331</v>
      </c>
      <c r="I19" s="186">
        <f t="shared" ca="1" si="6"/>
        <v>5995.868785714285</v>
      </c>
      <c r="J19" s="121">
        <f t="shared" ca="1" si="6"/>
        <v>9284.1491278820722</v>
      </c>
      <c r="K19" s="121">
        <f t="shared" ca="1" si="6"/>
        <v>10321.00290248394</v>
      </c>
      <c r="L19" s="121">
        <f t="shared" ca="1" si="6"/>
        <v>10841.406446632405</v>
      </c>
      <c r="M19" s="187">
        <f t="shared" ca="1" si="6"/>
        <v>10755.649468891077</v>
      </c>
      <c r="N19" s="574"/>
      <c r="O19" s="666">
        <f>' Segments'!I207</f>
        <v>2770.6191297306</v>
      </c>
      <c r="P19" s="182">
        <f>' Segments'!J207</f>
        <v>3015.9947693960694</v>
      </c>
      <c r="Q19" s="667">
        <f>H19+P19-O19</f>
        <v>6799.1569138672021</v>
      </c>
      <c r="S19" s="121">
        <f t="shared" si="4"/>
        <v>6031.9895387921388</v>
      </c>
    </row>
    <row r="20" spans="1:19" x14ac:dyDescent="0.2">
      <c r="B20" s="130" t="s">
        <v>346</v>
      </c>
      <c r="C20" s="182">
        <f>' Segments'!C208</f>
        <v>301.02395828651055</v>
      </c>
      <c r="D20" s="182">
        <f>' Segments'!D208</f>
        <v>440.26829336672711</v>
      </c>
      <c r="E20" s="182">
        <f>' Segments'!E208</f>
        <v>807.3852121782586</v>
      </c>
      <c r="F20" s="182">
        <f>' Segments'!F208</f>
        <v>1417.7483086518316</v>
      </c>
      <c r="G20" s="182">
        <f>' Segments'!G208</f>
        <v>2037.1411674280812</v>
      </c>
      <c r="H20" s="182">
        <f>' Segments'!H208</f>
        <v>2751.5842454933504</v>
      </c>
      <c r="I20" s="186">
        <f t="shared" ca="1" si="6"/>
        <v>3997.2458571428569</v>
      </c>
      <c r="J20" s="121">
        <f t="shared" ca="1" si="6"/>
        <v>4322.4550283797053</v>
      </c>
      <c r="K20" s="121">
        <f t="shared" ca="1" si="6"/>
        <v>4911.5659797591734</v>
      </c>
      <c r="L20" s="121">
        <f t="shared" ca="1" si="6"/>
        <v>5212.9248741270285</v>
      </c>
      <c r="M20" s="187">
        <f t="shared" ca="1" si="6"/>
        <v>5110.3407249207103</v>
      </c>
      <c r="N20" s="574"/>
      <c r="O20" s="666">
        <f>' Segments'!I208</f>
        <v>1382.6358643535395</v>
      </c>
      <c r="P20" s="182">
        <f>' Segments'!J208</f>
        <v>1828.2399544033135</v>
      </c>
      <c r="Q20" s="667">
        <f>H20+P20-O20</f>
        <v>3197.1883355431246</v>
      </c>
      <c r="S20" s="121">
        <f t="shared" si="4"/>
        <v>3656.479908806627</v>
      </c>
    </row>
    <row r="21" spans="1:19" x14ac:dyDescent="0.2">
      <c r="B21" s="130" t="s">
        <v>347</v>
      </c>
      <c r="C21" s="182">
        <f>' Segments'!C209</f>
        <v>25.796511889243497</v>
      </c>
      <c r="D21" s="182">
        <f>' Segments'!D209</f>
        <v>43.09437788535223</v>
      </c>
      <c r="E21" s="182">
        <f>' Segments'!E209</f>
        <v>55.441336527043255</v>
      </c>
      <c r="F21" s="182">
        <f>' Segments'!F209</f>
        <v>82.579787166982015</v>
      </c>
      <c r="G21" s="182">
        <f>' Segments'!G209</f>
        <v>139.06683246280258</v>
      </c>
      <c r="H21" s="182">
        <f>' Segments'!H209</f>
        <v>106.29798834214174</v>
      </c>
      <c r="I21" s="186">
        <f t="shared" ca="1" si="6"/>
        <v>399.72458571428569</v>
      </c>
      <c r="J21" s="121">
        <f t="shared" ca="1" si="6"/>
        <v>232.16003938285709</v>
      </c>
      <c r="K21" s="121">
        <f t="shared" ca="1" si="6"/>
        <v>258.0876725811346</v>
      </c>
      <c r="L21" s="121">
        <f t="shared" ca="1" si="6"/>
        <v>271.10091759048601</v>
      </c>
      <c r="M21" s="187">
        <f t="shared" ca="1" si="6"/>
        <v>268.95647300482227</v>
      </c>
      <c r="N21" s="574"/>
      <c r="O21" s="666">
        <f>' Segments'!I209</f>
        <v>45.823856388149224</v>
      </c>
      <c r="P21" s="182">
        <f>' Segments'!J209</f>
        <v>217.07334550962827</v>
      </c>
      <c r="Q21" s="667">
        <f>H21+P21-O21</f>
        <v>277.54747746362079</v>
      </c>
      <c r="S21" s="121">
        <f t="shared" si="4"/>
        <v>434.14669101925654</v>
      </c>
    </row>
    <row r="22" spans="1:19" x14ac:dyDescent="0.2">
      <c r="B22" s="209" t="s">
        <v>386</v>
      </c>
      <c r="C22" s="171">
        <f>C16+SUM(C17:C21)</f>
        <v>24244.105046002085</v>
      </c>
      <c r="D22" s="171">
        <f t="shared" ref="D22:M22" si="7">D16+SUM(D17:D21)</f>
        <v>35169.334997881488</v>
      </c>
      <c r="E22" s="171">
        <f t="shared" si="7"/>
        <v>55022.242958477545</v>
      </c>
      <c r="F22" s="171">
        <f t="shared" si="7"/>
        <v>81147.267278254876</v>
      </c>
      <c r="G22" s="171">
        <f t="shared" si="7"/>
        <v>116780.79166491661</v>
      </c>
      <c r="H22" s="171">
        <f t="shared" si="7"/>
        <v>156103.31932777489</v>
      </c>
      <c r="I22" s="190">
        <f t="shared" ca="1" si="7"/>
        <v>208256.50915714283</v>
      </c>
      <c r="J22" s="171">
        <f t="shared" ca="1" si="7"/>
        <v>240496.61064512801</v>
      </c>
      <c r="K22" s="171">
        <f t="shared" ca="1" si="7"/>
        <v>262680.31907354784</v>
      </c>
      <c r="L22" s="171">
        <f t="shared" ca="1" si="7"/>
        <v>271002.65501184622</v>
      </c>
      <c r="M22" s="191">
        <f t="shared" ca="1" si="7"/>
        <v>263905.75852893735</v>
      </c>
      <c r="N22" s="580"/>
      <c r="O22" s="190">
        <f>O16+SUM(O17:O21)</f>
        <v>70349.411065556385</v>
      </c>
      <c r="P22" s="171">
        <f>P16+SUM(P17:P21)</f>
        <v>101903.47297927138</v>
      </c>
      <c r="Q22" s="191">
        <f>Q16+SUM(Q17:Q21)</f>
        <v>187657.38124148993</v>
      </c>
      <c r="S22" s="171">
        <f>S16+SUM(S17:S21)</f>
        <v>203806.94595854275</v>
      </c>
    </row>
    <row r="23" spans="1:19" x14ac:dyDescent="0.2">
      <c r="B23" s="199" t="s">
        <v>314</v>
      </c>
      <c r="C23" s="122">
        <f t="shared" ref="C23:H23" si="8">C9-C22</f>
        <v>-6984.1050460020851</v>
      </c>
      <c r="D23" s="122">
        <f t="shared" si="8"/>
        <v>-8202.3349978814877</v>
      </c>
      <c r="E23" s="122">
        <f t="shared" si="8"/>
        <v>-9876.7278069623935</v>
      </c>
      <c r="F23" s="122">
        <f t="shared" si="8"/>
        <v>-12511.115763103357</v>
      </c>
      <c r="G23" s="122">
        <f t="shared" si="8"/>
        <v>-7365.7328413872019</v>
      </c>
      <c r="H23" s="122">
        <f t="shared" si="8"/>
        <v>-7750.4621849177638</v>
      </c>
      <c r="I23" s="188">
        <f ca="1">I9-I22</f>
        <v>-8394.2163</v>
      </c>
      <c r="J23" s="122">
        <f ca="1">J9-J22</f>
        <v>-8336.5712622709107</v>
      </c>
      <c r="K23" s="122">
        <f ca="1">K9-K22</f>
        <v>-4592.6464924132742</v>
      </c>
      <c r="L23" s="122">
        <f ca="1">L9-L22</f>
        <v>98.262578639783897</v>
      </c>
      <c r="M23" s="189">
        <f ca="1">M9-M22</f>
        <v>5050.7144758849172</v>
      </c>
      <c r="N23" s="580"/>
      <c r="O23" s="190">
        <f>O9-O22</f>
        <v>-706.20098152277933</v>
      </c>
      <c r="P23" s="171">
        <f>P9-P22</f>
        <v>-2795.0191977587674</v>
      </c>
      <c r="Q23" s="191">
        <f>Q9-Q22</f>
        <v>-9839.2804011538101</v>
      </c>
      <c r="S23" s="122">
        <f>S9-S22</f>
        <v>-658.94595854275394</v>
      </c>
    </row>
    <row r="24" spans="1:19" x14ac:dyDescent="0.2">
      <c r="B24" s="265" t="s">
        <v>387</v>
      </c>
      <c r="C24" s="297">
        <f t="shared" ref="C24:M24" si="9">C23/C9</f>
        <v>-0.40464108030139545</v>
      </c>
      <c r="D24" s="297">
        <f t="shared" si="9"/>
        <v>-0.30416193858721724</v>
      </c>
      <c r="E24" s="297">
        <f t="shared" si="9"/>
        <v>-0.21877539272316657</v>
      </c>
      <c r="F24" s="297">
        <f t="shared" si="9"/>
        <v>-0.18228172015649088</v>
      </c>
      <c r="G24" s="297">
        <f t="shared" si="9"/>
        <v>-6.7319187327468874E-2</v>
      </c>
      <c r="H24" s="297">
        <f t="shared" si="9"/>
        <v>-5.2243430522234006E-2</v>
      </c>
      <c r="I24" s="298">
        <f t="shared" ca="1" si="9"/>
        <v>-4.2000000000000003E-2</v>
      </c>
      <c r="J24" s="297">
        <f t="shared" ca="1" si="9"/>
        <v>-3.5908726085814448E-2</v>
      </c>
      <c r="K24" s="297">
        <f t="shared" ca="1" si="9"/>
        <v>-1.7794908398693441E-2</v>
      </c>
      <c r="L24" s="297">
        <f t="shared" ca="1" si="9"/>
        <v>3.6245756566643329E-4</v>
      </c>
      <c r="M24" s="299">
        <f t="shared" ca="1" si="9"/>
        <v>1.877892887074839E-2</v>
      </c>
      <c r="N24" s="641"/>
      <c r="O24" s="221"/>
      <c r="P24" s="221"/>
      <c r="Q24" s="221"/>
    </row>
    <row r="25" spans="1:19" x14ac:dyDescent="0.2"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577"/>
      <c r="O25" s="125"/>
      <c r="P25" s="125"/>
      <c r="Q25" s="125"/>
    </row>
    <row r="26" spans="1:19" x14ac:dyDescent="0.2">
      <c r="A26" s="716" t="s">
        <v>609</v>
      </c>
      <c r="B26" s="279" t="s">
        <v>138</v>
      </c>
      <c r="C26" s="280"/>
      <c r="D26" s="280"/>
      <c r="E26" s="280"/>
      <c r="F26" s="280"/>
      <c r="G26" s="280"/>
      <c r="H26" s="280"/>
      <c r="I26" s="280"/>
      <c r="J26" s="281"/>
      <c r="K26" s="280"/>
      <c r="L26" s="280"/>
      <c r="M26" s="282"/>
      <c r="N26" s="640"/>
      <c r="O26" s="661"/>
      <c r="P26" s="661"/>
      <c r="Q26" s="661"/>
      <c r="R26" s="452"/>
      <c r="S26" s="452"/>
    </row>
    <row r="27" spans="1:19" x14ac:dyDescent="0.2">
      <c r="B27" s="199" t="s">
        <v>388</v>
      </c>
      <c r="I27" s="223"/>
      <c r="M27" s="177"/>
      <c r="O27" s="452"/>
      <c r="P27" s="452"/>
      <c r="Q27" s="452"/>
      <c r="R27" s="452"/>
      <c r="S27" s="452"/>
    </row>
    <row r="28" spans="1:19" x14ac:dyDescent="0.2">
      <c r="B28" s="176" t="s">
        <v>389</v>
      </c>
      <c r="D28" s="172">
        <f>D3/C3-1</f>
        <v>0.55172413793103448</v>
      </c>
      <c r="E28" s="172">
        <v>0.3</v>
      </c>
      <c r="F28" s="172">
        <f>F3/E3-1</f>
        <v>0.52033156083828591</v>
      </c>
      <c r="G28" s="172">
        <v>0.25</v>
      </c>
      <c r="H28" s="183">
        <v>0.22500000000000001</v>
      </c>
      <c r="I28" s="192">
        <f ca="1">'Forecast Triggers'!D7</f>
        <v>0.215</v>
      </c>
      <c r="J28" s="125">
        <f ca="1">'Forecast Triggers'!E7</f>
        <v>0.21</v>
      </c>
      <c r="K28" s="125">
        <f ca="1">'Forecast Triggers'!F7</f>
        <v>0.2</v>
      </c>
      <c r="L28" s="125">
        <f ca="1">'Forecast Triggers'!G7</f>
        <v>0.17500000000000002</v>
      </c>
      <c r="M28" s="193">
        <f ca="1">'Forecast Triggers'!H7</f>
        <v>0.15</v>
      </c>
      <c r="N28" s="577"/>
      <c r="O28" s="657"/>
      <c r="P28" s="657"/>
      <c r="Q28" s="657"/>
      <c r="R28" s="657"/>
      <c r="S28" s="491"/>
    </row>
    <row r="29" spans="1:19" x14ac:dyDescent="0.2">
      <c r="B29" s="176" t="s">
        <v>390</v>
      </c>
      <c r="D29" s="121">
        <f t="shared" ref="D29:M29" si="10">D3-C3</f>
        <v>16</v>
      </c>
      <c r="E29" s="121">
        <f t="shared" si="10"/>
        <v>19.585858585858588</v>
      </c>
      <c r="F29" s="121">
        <f t="shared" si="10"/>
        <v>33.606060606060609</v>
      </c>
      <c r="G29" s="121">
        <f t="shared" si="10"/>
        <v>20.866904337492571</v>
      </c>
      <c r="H29" s="121">
        <f t="shared" si="10"/>
        <v>42.369747899159648</v>
      </c>
      <c r="I29" s="186">
        <f ca="1">I3-H3</f>
        <v>34.707142857142856</v>
      </c>
      <c r="J29" s="121">
        <f t="shared" ca="1" si="10"/>
        <v>31.6955314285714</v>
      </c>
      <c r="K29" s="121">
        <f t="shared" ca="1" si="10"/>
        <v>25.444193521371403</v>
      </c>
      <c r="L29" s="121">
        <f t="shared" ca="1" si="10"/>
        <v>12.77060354205247</v>
      </c>
      <c r="M29" s="187">
        <f t="shared" ca="1" si="10"/>
        <v>-2.1044598485414667</v>
      </c>
      <c r="N29" s="574"/>
      <c r="O29" s="491"/>
      <c r="P29" s="491"/>
      <c r="Q29" s="491"/>
      <c r="R29" s="452"/>
      <c r="S29" s="491"/>
    </row>
    <row r="30" spans="1:19" x14ac:dyDescent="0.2">
      <c r="B30" s="176" t="s">
        <v>391</v>
      </c>
      <c r="D30" s="121">
        <f t="shared" ref="D30:M30" si="11">(C19)/D29</f>
        <v>42.206618135255624</v>
      </c>
      <c r="E30" s="121">
        <f t="shared" si="11"/>
        <v>52.782023498059999</v>
      </c>
      <c r="F30" s="121">
        <f t="shared" si="11"/>
        <v>54.269852102356893</v>
      </c>
      <c r="G30" s="121">
        <f t="shared" si="11"/>
        <v>129.18501266708174</v>
      </c>
      <c r="H30" s="121">
        <f t="shared" si="11"/>
        <v>100.46583504148846</v>
      </c>
      <c r="I30" s="186">
        <f ca="1">(H19)/I29</f>
        <v>188.83090726244961</v>
      </c>
      <c r="J30" s="121">
        <f t="shared" ca="1" si="11"/>
        <v>189.17079207920807</v>
      </c>
      <c r="K30" s="121">
        <f t="shared" ca="1" si="11"/>
        <v>364.88282169698221</v>
      </c>
      <c r="L30" s="121">
        <f t="shared" ca="1" si="11"/>
        <v>808.18442671857986</v>
      </c>
      <c r="M30" s="187">
        <f t="shared" ca="1" si="11"/>
        <v>-5151.6337810608429</v>
      </c>
      <c r="N30" s="574"/>
      <c r="O30" s="491"/>
      <c r="P30" s="491"/>
      <c r="Q30" s="491"/>
      <c r="R30" s="452"/>
      <c r="S30" s="491"/>
    </row>
    <row r="31" spans="1:19" x14ac:dyDescent="0.2">
      <c r="B31" s="219" t="s">
        <v>392</v>
      </c>
      <c r="E31" s="184">
        <f>E30/D30-1</f>
        <v>0.25056272760149501</v>
      </c>
      <c r="F31" s="184">
        <f>F30/E30-1</f>
        <v>2.818816910934796E-2</v>
      </c>
      <c r="G31" s="184">
        <f>G30/F30-1</f>
        <v>1.3804194716327842</v>
      </c>
      <c r="H31" s="184">
        <f>H30/G30-1</f>
        <v>-0.22231044478514306</v>
      </c>
      <c r="I31" s="176"/>
      <c r="M31" s="177"/>
      <c r="P31" s="660"/>
      <c r="Q31" s="660"/>
      <c r="R31" s="660"/>
      <c r="S31" s="452"/>
    </row>
    <row r="32" spans="1:19" x14ac:dyDescent="0.2">
      <c r="B32" s="176" t="s">
        <v>393</v>
      </c>
      <c r="D32" s="183"/>
      <c r="E32" s="183"/>
      <c r="F32" s="183"/>
      <c r="G32" s="183"/>
      <c r="H32" s="278"/>
      <c r="I32" s="223">
        <v>0.98</v>
      </c>
      <c r="J32" s="124">
        <v>0.96</v>
      </c>
      <c r="K32" s="124">
        <f>J32*(1-0.035)</f>
        <v>0.92639999999999989</v>
      </c>
      <c r="L32" s="124">
        <f>K32*(1-0.035)</f>
        <v>0.89397599999999988</v>
      </c>
      <c r="M32" s="224">
        <f>L32*(1-0.035)</f>
        <v>0.86268683999999984</v>
      </c>
      <c r="N32" s="167"/>
      <c r="O32" s="659"/>
      <c r="P32" s="659"/>
      <c r="Q32" s="659"/>
      <c r="R32" s="452"/>
      <c r="S32" s="452"/>
    </row>
    <row r="33" spans="2:23" x14ac:dyDescent="0.2">
      <c r="B33" s="201" t="s">
        <v>306</v>
      </c>
      <c r="C33" s="174"/>
      <c r="D33" s="174"/>
      <c r="E33" s="174"/>
      <c r="F33" s="174"/>
      <c r="G33" s="174"/>
      <c r="H33" s="174"/>
      <c r="I33" s="173"/>
      <c r="J33" s="174"/>
      <c r="K33" s="174"/>
      <c r="L33" s="174"/>
      <c r="M33" s="175"/>
      <c r="O33" s="452"/>
      <c r="P33" s="452"/>
      <c r="Q33" s="452"/>
      <c r="R33" s="452"/>
      <c r="S33" s="452"/>
    </row>
    <row r="34" spans="2:23" x14ac:dyDescent="0.2">
      <c r="B34" s="176" t="s">
        <v>382</v>
      </c>
      <c r="C34" s="125">
        <f t="shared" ref="C34:H34" si="12">C13/C9</f>
        <v>0.50457705677867903</v>
      </c>
      <c r="D34" s="125">
        <f t="shared" si="12"/>
        <v>0.42789335113286608</v>
      </c>
      <c r="E34" s="125">
        <f t="shared" si="12"/>
        <v>0.35810866141943692</v>
      </c>
      <c r="F34" s="125">
        <f t="shared" si="12"/>
        <v>0.31615991749201872</v>
      </c>
      <c r="G34" s="125">
        <f t="shared" si="12"/>
        <v>0.25316442085614627</v>
      </c>
      <c r="H34" s="125">
        <f t="shared" si="12"/>
        <v>0.2554719924504319</v>
      </c>
      <c r="I34" s="192">
        <f ca="1">'Forecast Triggers'!D13</f>
        <v>0.245</v>
      </c>
      <c r="J34" s="125">
        <f ca="1">'Forecast Triggers'!E13</f>
        <v>0.24</v>
      </c>
      <c r="K34" s="125">
        <f ca="1">'Forecast Triggers'!F13</f>
        <v>0.23</v>
      </c>
      <c r="L34" s="125">
        <f ca="1">'Forecast Triggers'!G13</f>
        <v>0.22</v>
      </c>
      <c r="M34" s="193">
        <f ca="1">'Forecast Triggers'!H13</f>
        <v>0.21</v>
      </c>
      <c r="N34" s="577"/>
      <c r="O34" s="512"/>
      <c r="P34" s="512"/>
      <c r="Q34" s="512"/>
      <c r="R34" s="452"/>
      <c r="S34" s="452"/>
    </row>
    <row r="35" spans="2:23" x14ac:dyDescent="0.2">
      <c r="B35" s="176" t="s">
        <v>394</v>
      </c>
      <c r="C35" s="124"/>
      <c r="D35" s="124"/>
      <c r="E35" s="124"/>
      <c r="F35" s="124"/>
      <c r="G35" s="124">
        <f>G14/G9</f>
        <v>6.1234715513941516E-2</v>
      </c>
      <c r="H35" s="124">
        <f>H14/H9</f>
        <v>5.2577349369745882E-2</v>
      </c>
      <c r="I35" s="192">
        <v>0.05</v>
      </c>
      <c r="J35" s="125">
        <v>0.05</v>
      </c>
      <c r="K35" s="125">
        <v>0.05</v>
      </c>
      <c r="L35" s="125">
        <v>0.05</v>
      </c>
      <c r="M35" s="193">
        <v>0.05</v>
      </c>
      <c r="N35" s="577"/>
      <c r="O35" s="658"/>
      <c r="P35" s="658"/>
      <c r="Q35" s="658"/>
      <c r="R35" s="452"/>
      <c r="S35" s="452"/>
    </row>
    <row r="36" spans="2:23" x14ac:dyDescent="0.2">
      <c r="B36" s="176" t="s">
        <v>384</v>
      </c>
      <c r="C36" s="125">
        <f t="shared" ref="C36:H36" si="13">C15/C9</f>
        <v>0.64074504410509336</v>
      </c>
      <c r="D36" s="125">
        <f t="shared" si="13"/>
        <v>0.60642011177693045</v>
      </c>
      <c r="E36" s="125">
        <f t="shared" si="13"/>
        <v>0.58252537004718508</v>
      </c>
      <c r="F36" s="125">
        <f t="shared" si="13"/>
        <v>0.56253156034337648</v>
      </c>
      <c r="G36" s="125">
        <f t="shared" si="13"/>
        <v>0.44981431439159975</v>
      </c>
      <c r="H36" s="125">
        <f t="shared" si="13"/>
        <v>0.44086828298628084</v>
      </c>
      <c r="I36" s="192">
        <v>0.435</v>
      </c>
      <c r="J36" s="125">
        <f>I36*(1-0.02)</f>
        <v>0.42630000000000001</v>
      </c>
      <c r="K36" s="125">
        <f>J36*(1-0.02)</f>
        <v>0.41777399999999998</v>
      </c>
      <c r="L36" s="125">
        <f>K36*(1-0.02)</f>
        <v>0.40941851999999995</v>
      </c>
      <c r="M36" s="193">
        <f>L36*(1-0.02)</f>
        <v>0.40123014959999992</v>
      </c>
      <c r="N36" s="577"/>
      <c r="O36" s="512"/>
      <c r="P36" s="512"/>
      <c r="Q36" s="512"/>
      <c r="R36" s="452"/>
      <c r="S36" s="452"/>
    </row>
    <row r="37" spans="2:23" x14ac:dyDescent="0.2">
      <c r="B37" s="130" t="s">
        <v>339</v>
      </c>
      <c r="C37" s="125">
        <f>C17/C$9</f>
        <v>0.12764393436403301</v>
      </c>
      <c r="D37" s="125">
        <f t="shared" ref="C37:H41" si="14">D17/D$9</f>
        <v>0.13528236789540585</v>
      </c>
      <c r="E37" s="125">
        <f t="shared" si="14"/>
        <v>0.14235505138646501</v>
      </c>
      <c r="F37" s="125">
        <f t="shared" si="14"/>
        <v>0.15740584887193204</v>
      </c>
      <c r="G37" s="125">
        <f t="shared" si="14"/>
        <v>0.1641976142680667</v>
      </c>
      <c r="H37" s="125">
        <f t="shared" si="14"/>
        <v>0.16388047055756511</v>
      </c>
      <c r="I37" s="192">
        <f ca="1">'Forecast Triggers'!D19</f>
        <v>0.18</v>
      </c>
      <c r="J37" s="125">
        <f ca="1">'Forecast Triggers'!E19</f>
        <v>0.18</v>
      </c>
      <c r="K37" s="125">
        <f ca="1">'Forecast Triggers'!F19</f>
        <v>0.18</v>
      </c>
      <c r="L37" s="125">
        <f ca="1">'Forecast Triggers'!G19</f>
        <v>0.18</v>
      </c>
      <c r="M37" s="193">
        <f ca="1">'Forecast Triggers'!H19</f>
        <v>0.18</v>
      </c>
      <c r="N37" s="577"/>
      <c r="O37" s="125"/>
      <c r="P37" s="125"/>
      <c r="Q37" s="125"/>
      <c r="R37" s="454">
        <f>D36/C36-1</f>
        <v>-5.3570343842617385E-2</v>
      </c>
      <c r="S37" s="454">
        <f>E36/D36-1</f>
        <v>-3.9402950637189571E-2</v>
      </c>
      <c r="T37" s="421"/>
      <c r="U37" s="421"/>
      <c r="V37" s="421"/>
      <c r="W37" s="421"/>
    </row>
    <row r="38" spans="2:23" x14ac:dyDescent="0.2">
      <c r="B38" s="130" t="s">
        <v>341</v>
      </c>
      <c r="C38" s="125">
        <f t="shared" si="14"/>
        <v>7.3614421627179641E-2</v>
      </c>
      <c r="D38" s="125">
        <f t="shared" si="14"/>
        <v>7.8306830911745687E-2</v>
      </c>
      <c r="E38" s="125">
        <f t="shared" si="14"/>
        <v>7.6276024551098345E-2</v>
      </c>
      <c r="F38" s="125">
        <f t="shared" si="14"/>
        <v>8.5050147073850862E-2</v>
      </c>
      <c r="G38" s="125">
        <f t="shared" si="14"/>
        <v>8.0114386113258759E-2</v>
      </c>
      <c r="H38" s="125">
        <f t="shared" si="14"/>
        <v>7.6004268438651185E-2</v>
      </c>
      <c r="I38" s="192">
        <v>0.08</v>
      </c>
      <c r="J38" s="125">
        <v>0.08</v>
      </c>
      <c r="K38" s="125">
        <v>0.08</v>
      </c>
      <c r="L38" s="125">
        <v>0.08</v>
      </c>
      <c r="M38" s="193">
        <v>0.08</v>
      </c>
      <c r="N38" s="577"/>
      <c r="O38" s="125"/>
      <c r="P38" s="125"/>
      <c r="Q38" s="125"/>
    </row>
    <row r="39" spans="2:23" x14ac:dyDescent="0.2">
      <c r="B39" s="130" t="s">
        <v>344</v>
      </c>
      <c r="C39" s="125">
        <f t="shared" si="14"/>
        <v>3.9125486104524335E-2</v>
      </c>
      <c r="D39" s="125">
        <f t="shared" si="14"/>
        <v>3.833504832233723E-2</v>
      </c>
      <c r="E39" s="125">
        <f t="shared" si="14"/>
        <v>4.0398164307413872E-2</v>
      </c>
      <c r="F39" s="125">
        <f t="shared" si="14"/>
        <v>3.9275093979689167E-2</v>
      </c>
      <c r="G39" s="125">
        <f t="shared" si="14"/>
        <v>3.8904261890055587E-2</v>
      </c>
      <c r="H39" s="125">
        <f t="shared" si="14"/>
        <v>4.4176980480333701E-2</v>
      </c>
      <c r="I39" s="192">
        <v>0.03</v>
      </c>
      <c r="J39" s="125">
        <f>GEOMEAN(C39:H39)</f>
        <v>3.9990297867633896E-2</v>
      </c>
      <c r="K39" s="125">
        <f>J39</f>
        <v>3.9990297867633896E-2</v>
      </c>
      <c r="L39" s="125">
        <f>K39</f>
        <v>3.9990297867633896E-2</v>
      </c>
      <c r="M39" s="193">
        <f>L39</f>
        <v>3.9990297867633896E-2</v>
      </c>
      <c r="N39" s="577"/>
      <c r="O39" s="125"/>
      <c r="P39" s="125"/>
      <c r="Q39" s="125"/>
    </row>
    <row r="40" spans="2:23" x14ac:dyDescent="0.2">
      <c r="B40" s="130" t="s">
        <v>346</v>
      </c>
      <c r="C40" s="125">
        <f t="shared" si="14"/>
        <v>1.7440553782532477E-2</v>
      </c>
      <c r="D40" s="125">
        <f t="shared" si="14"/>
        <v>1.6326187316599069E-2</v>
      </c>
      <c r="E40" s="125">
        <f t="shared" si="14"/>
        <v>1.7884062447145684E-2</v>
      </c>
      <c r="F40" s="125">
        <f t="shared" si="14"/>
        <v>2.0655999460267842E-2</v>
      </c>
      <c r="G40" s="125">
        <f t="shared" si="14"/>
        <v>1.8618471619283171E-2</v>
      </c>
      <c r="H40" s="125">
        <f t="shared" si="14"/>
        <v>1.8547564896870834E-2</v>
      </c>
      <c r="I40" s="192">
        <v>0.02</v>
      </c>
      <c r="J40" s="125">
        <f>GEOMEAN(D40:I40)</f>
        <v>1.8618428218180598E-2</v>
      </c>
      <c r="K40" s="125">
        <f>GEOMEAN(E40:J40)</f>
        <v>1.9030610531059491E-2</v>
      </c>
      <c r="L40" s="125">
        <f>GEOMEAN(F40:K40)</f>
        <v>1.9228724566699773E-2</v>
      </c>
      <c r="M40" s="193">
        <f>GEOMEAN(G40:L40)</f>
        <v>1.9000623661617855E-2</v>
      </c>
      <c r="N40" s="577"/>
      <c r="O40" s="125"/>
      <c r="P40" s="125"/>
      <c r="Q40" s="125"/>
    </row>
    <row r="41" spans="2:23" x14ac:dyDescent="0.2">
      <c r="B41" s="130" t="s">
        <v>347</v>
      </c>
      <c r="C41" s="125">
        <f t="shared" si="14"/>
        <v>1.4945835393536209E-3</v>
      </c>
      <c r="D41" s="125">
        <f t="shared" si="14"/>
        <v>1.5980412313328228E-3</v>
      </c>
      <c r="E41" s="125">
        <f t="shared" si="14"/>
        <v>1.2280585644215993E-3</v>
      </c>
      <c r="F41" s="125">
        <f t="shared" si="14"/>
        <v>1.2031529353558295E-3</v>
      </c>
      <c r="G41" s="125">
        <f t="shared" si="14"/>
        <v>1.2710026751171168E-3</v>
      </c>
      <c r="H41" s="125">
        <f t="shared" si="14"/>
        <v>7.1652134235461039E-4</v>
      </c>
      <c r="I41" s="192">
        <v>2E-3</v>
      </c>
      <c r="J41" s="125">
        <v>1E-3</v>
      </c>
      <c r="K41" s="125">
        <v>1E-3</v>
      </c>
      <c r="L41" s="125">
        <v>1E-3</v>
      </c>
      <c r="M41" s="193">
        <v>1E-3</v>
      </c>
      <c r="N41" s="577"/>
      <c r="O41" s="125"/>
      <c r="P41" s="125"/>
      <c r="Q41" s="125"/>
    </row>
    <row r="42" spans="2:23" x14ac:dyDescent="0.2">
      <c r="B42" s="132" t="s">
        <v>386</v>
      </c>
      <c r="C42" s="277">
        <f>C22/C$9</f>
        <v>1.4046410803013953</v>
      </c>
      <c r="D42" s="277">
        <f t="shared" ref="D42:L42" si="15">D22/D$9</f>
        <v>1.3041619385872172</v>
      </c>
      <c r="E42" s="277">
        <f t="shared" si="15"/>
        <v>1.2187753927231666</v>
      </c>
      <c r="F42" s="277">
        <f t="shared" si="15"/>
        <v>1.1822817201564908</v>
      </c>
      <c r="G42" s="277">
        <f t="shared" si="15"/>
        <v>1.0673191873274688</v>
      </c>
      <c r="H42" s="277">
        <f t="shared" si="15"/>
        <v>1.0522434305222339</v>
      </c>
      <c r="I42" s="300">
        <f t="shared" ca="1" si="15"/>
        <v>1.042</v>
      </c>
      <c r="J42" s="277">
        <f t="shared" ca="1" si="15"/>
        <v>1.0359087260858144</v>
      </c>
      <c r="K42" s="277">
        <f t="shared" ca="1" si="15"/>
        <v>1.0177949083986935</v>
      </c>
      <c r="L42" s="277">
        <f t="shared" ca="1" si="15"/>
        <v>0.99963754243433356</v>
      </c>
      <c r="M42" s="301">
        <f ca="1">M22/M$9</f>
        <v>0.98122107112925161</v>
      </c>
      <c r="N42" s="577"/>
      <c r="O42" s="125"/>
      <c r="P42" s="125"/>
      <c r="Q42" s="125"/>
    </row>
    <row r="43" spans="2:23" x14ac:dyDescent="0.2">
      <c r="B43" s="199" t="s">
        <v>395</v>
      </c>
      <c r="I43" s="176"/>
      <c r="M43" s="177"/>
    </row>
    <row r="44" spans="2:23" x14ac:dyDescent="0.2">
      <c r="B44" s="176" t="s">
        <v>382</v>
      </c>
      <c r="D44" s="125">
        <f t="shared" ref="D44:M44" si="16">D13/C13-1</f>
        <v>0.32495119990814092</v>
      </c>
      <c r="E44" s="125">
        <f t="shared" si="16"/>
        <v>0.40107461651789578</v>
      </c>
      <c r="F44" s="125">
        <f t="shared" si="16"/>
        <v>0.3422403661780169</v>
      </c>
      <c r="G44" s="125">
        <f t="shared" si="16"/>
        <v>0.27649769585253448</v>
      </c>
      <c r="H44" s="125">
        <f>H13/G13-1</f>
        <v>0.36823104693140785</v>
      </c>
      <c r="I44" s="192">
        <f ca="1">I13/H13-1</f>
        <v>0.29198579815303405</v>
      </c>
      <c r="J44" s="125">
        <f t="shared" ca="1" si="16"/>
        <v>0.13789387755102034</v>
      </c>
      <c r="K44" s="125">
        <f t="shared" ca="1" si="16"/>
        <v>6.5360000000000085E-2</v>
      </c>
      <c r="L44" s="125">
        <f t="shared" ca="1" si="16"/>
        <v>4.7512869565216054E-3</v>
      </c>
      <c r="M44" s="193">
        <f t="shared" ca="1" si="16"/>
        <v>-5.3005127909091065E-2</v>
      </c>
      <c r="N44" s="167"/>
      <c r="O44" s="125"/>
      <c r="P44" s="125"/>
      <c r="Q44" s="125"/>
    </row>
    <row r="45" spans="2:23" x14ac:dyDescent="0.2">
      <c r="B45" s="176" t="s">
        <v>383</v>
      </c>
      <c r="D45" s="125"/>
      <c r="E45" s="125"/>
      <c r="F45" s="125"/>
      <c r="G45" s="125"/>
      <c r="H45" s="125">
        <f t="shared" ref="H45:M47" si="17">H14/G14-1</f>
        <v>0.16417910447761197</v>
      </c>
      <c r="I45" s="192">
        <f ca="1">I14/H14-1</f>
        <v>0.28116854395604385</v>
      </c>
      <c r="J45" s="125">
        <f t="shared" ca="1" si="17"/>
        <v>0.16159999999999974</v>
      </c>
      <c r="K45" s="125">
        <f t="shared" ca="1" si="17"/>
        <v>0.11168</v>
      </c>
      <c r="L45" s="125">
        <f t="shared" ca="1" si="17"/>
        <v>5.0421800000000072E-2</v>
      </c>
      <c r="M45" s="193">
        <f t="shared" ca="1" si="17"/>
        <v>-7.9101340000000686E-3</v>
      </c>
      <c r="N45" s="167"/>
      <c r="O45" s="125"/>
      <c r="P45" s="125"/>
      <c r="Q45" s="125"/>
    </row>
    <row r="46" spans="2:23" x14ac:dyDescent="0.2">
      <c r="B46" s="176" t="s">
        <v>384</v>
      </c>
      <c r="D46" s="125">
        <f t="shared" ref="D46:G47" si="18">D15/C15-1</f>
        <v>0.47870037877150251</v>
      </c>
      <c r="E46" s="125">
        <f t="shared" si="18"/>
        <v>0.60813767369412663</v>
      </c>
      <c r="F46" s="125">
        <f t="shared" si="18"/>
        <v>0.46814976502803174</v>
      </c>
      <c r="G46" s="125">
        <f t="shared" si="18"/>
        <v>0.27470753365219802</v>
      </c>
      <c r="H46" s="125">
        <f t="shared" si="17"/>
        <v>0.32890642367989131</v>
      </c>
      <c r="I46" s="192">
        <f ca="1">I15/H15-1</f>
        <v>0.32927657535993538</v>
      </c>
      <c r="J46" s="125">
        <f t="shared" ca="1" si="17"/>
        <v>0.13836799999999982</v>
      </c>
      <c r="K46" s="125">
        <f t="shared" ca="1" si="17"/>
        <v>8.9446399999999926E-2</v>
      </c>
      <c r="L46" s="125">
        <f t="shared" ca="1" si="17"/>
        <v>2.9413364000000053E-2</v>
      </c>
      <c r="M46" s="193">
        <f t="shared" ca="1" si="17"/>
        <v>-2.7751931320000311E-2</v>
      </c>
      <c r="N46" s="167"/>
      <c r="O46" s="125"/>
      <c r="P46" s="125"/>
      <c r="Q46" s="125"/>
    </row>
    <row r="47" spans="2:23" x14ac:dyDescent="0.2">
      <c r="B47" s="176" t="s">
        <v>385</v>
      </c>
      <c r="D47" s="125">
        <f t="shared" si="18"/>
        <v>0.41096545241921167</v>
      </c>
      <c r="E47" s="125">
        <f t="shared" si="18"/>
        <v>0.52247611304722574</v>
      </c>
      <c r="F47" s="125">
        <f t="shared" si="18"/>
        <v>0.42021481394827709</v>
      </c>
      <c r="G47" s="125">
        <f t="shared" si="18"/>
        <v>0.3864443328968703</v>
      </c>
      <c r="H47" s="125">
        <f t="shared" si="17"/>
        <v>0.32873443631466159</v>
      </c>
      <c r="I47" s="192">
        <f ca="1">I16/H16-1</f>
        <v>0.31317848722801189</v>
      </c>
      <c r="J47" s="125">
        <f t="shared" ca="1" si="17"/>
        <v>0.13980010958904088</v>
      </c>
      <c r="K47" s="125">
        <f t="shared" ca="1" si="17"/>
        <v>8.2928103196984404E-2</v>
      </c>
      <c r="L47" s="125">
        <f t="shared" ca="1" si="17"/>
        <v>2.2789649272882073E-2</v>
      </c>
      <c r="M47" s="193">
        <f t="shared" ca="1" si="17"/>
        <v>-3.4468871246218336E-2</v>
      </c>
      <c r="N47" s="167"/>
      <c r="O47" s="125"/>
      <c r="P47" s="125"/>
      <c r="Q47" s="125"/>
    </row>
    <row r="48" spans="2:23" x14ac:dyDescent="0.2">
      <c r="B48" s="199"/>
      <c r="D48" s="211"/>
      <c r="E48" s="211"/>
      <c r="F48" s="211"/>
      <c r="G48" s="211"/>
      <c r="H48" s="211"/>
      <c r="I48" s="192"/>
      <c r="J48" s="125"/>
      <c r="K48" s="125"/>
      <c r="L48" s="125"/>
      <c r="M48" s="193"/>
      <c r="N48" s="167"/>
      <c r="O48" s="211"/>
      <c r="P48" s="211"/>
      <c r="Q48" s="211"/>
    </row>
    <row r="49" spans="2:17" x14ac:dyDescent="0.2">
      <c r="B49" s="130" t="s">
        <v>339</v>
      </c>
      <c r="D49" s="125">
        <f t="shared" ref="D49:M49" si="19">D17/C17-1</f>
        <v>0.6558952412661001</v>
      </c>
      <c r="E49" s="125">
        <f t="shared" si="19"/>
        <v>0.76162580792123458</v>
      </c>
      <c r="F49" s="125">
        <f t="shared" si="19"/>
        <v>0.68107192242068249</v>
      </c>
      <c r="G49" s="125">
        <f t="shared" si="19"/>
        <v>0.6629153828598684</v>
      </c>
      <c r="H49" s="125">
        <f t="shared" si="19"/>
        <v>0.353253553839872</v>
      </c>
      <c r="I49" s="192">
        <f ca="1">I17/H17-1</f>
        <v>0.47972241761656154</v>
      </c>
      <c r="J49" s="125">
        <f t="shared" ca="1" si="19"/>
        <v>0.16159999999999997</v>
      </c>
      <c r="K49" s="125">
        <f t="shared" ca="1" si="19"/>
        <v>0.11168</v>
      </c>
      <c r="L49" s="125">
        <f t="shared" ca="1" si="19"/>
        <v>5.0421800000000072E-2</v>
      </c>
      <c r="M49" s="193">
        <f t="shared" ca="1" si="19"/>
        <v>-7.9101340000001796E-3</v>
      </c>
      <c r="N49" s="167"/>
      <c r="O49" s="125"/>
      <c r="P49" s="125"/>
      <c r="Q49" s="125"/>
    </row>
    <row r="50" spans="2:17" x14ac:dyDescent="0.2">
      <c r="B50" s="130" t="s">
        <v>341</v>
      </c>
      <c r="D50" s="125">
        <f t="shared" ref="D50:M50" si="20">D18/C18-1</f>
        <v>0.66199069457643978</v>
      </c>
      <c r="E50" s="125">
        <f t="shared" si="20"/>
        <v>0.63068613811886887</v>
      </c>
      <c r="F50" s="125">
        <f t="shared" si="20"/>
        <v>0.69521712243525058</v>
      </c>
      <c r="G50" s="125">
        <f t="shared" si="20"/>
        <v>0.50161851372160471</v>
      </c>
      <c r="H50" s="125">
        <f t="shared" si="20"/>
        <v>0.28631190953626429</v>
      </c>
      <c r="I50" s="192">
        <f ca="1">I18/H18-1</f>
        <v>0.41803501347248218</v>
      </c>
      <c r="J50" s="125">
        <f t="shared" ca="1" si="20"/>
        <v>0.16159999999999997</v>
      </c>
      <c r="K50" s="125">
        <f t="shared" ca="1" si="20"/>
        <v>0.11167999999999978</v>
      </c>
      <c r="L50" s="125">
        <f t="shared" ca="1" si="20"/>
        <v>5.042179999999985E-2</v>
      </c>
      <c r="M50" s="193">
        <f t="shared" ca="1" si="20"/>
        <v>-7.9101340000000686E-3</v>
      </c>
      <c r="N50" s="167"/>
      <c r="O50" s="125"/>
      <c r="P50" s="125"/>
      <c r="Q50" s="125"/>
    </row>
    <row r="51" spans="2:17" x14ac:dyDescent="0.2">
      <c r="B51" s="130" t="s">
        <v>344</v>
      </c>
      <c r="C51" s="122"/>
      <c r="D51" s="125">
        <f t="shared" ref="D51:M51" si="21">D19/C19-1</f>
        <v>0.53083404597177974</v>
      </c>
      <c r="E51" s="125">
        <f t="shared" si="21"/>
        <v>0.76419909160742683</v>
      </c>
      <c r="F51" s="125">
        <f t="shared" si="21"/>
        <v>0.47806629226598307</v>
      </c>
      <c r="G51" s="125">
        <f t="shared" si="21"/>
        <v>0.57907995672646639</v>
      </c>
      <c r="H51" s="125">
        <f t="shared" si="21"/>
        <v>0.53963460890291426</v>
      </c>
      <c r="I51" s="192">
        <f ca="1">I19/H19-1</f>
        <v>-8.5128335100777885E-2</v>
      </c>
      <c r="J51" s="125">
        <f t="shared" ca="1" si="21"/>
        <v>0.54842433343478447</v>
      </c>
      <c r="K51" s="125">
        <f t="shared" ca="1" si="21"/>
        <v>0.11167999999999978</v>
      </c>
      <c r="L51" s="125">
        <f t="shared" ca="1" si="21"/>
        <v>5.0421800000000072E-2</v>
      </c>
      <c r="M51" s="193">
        <f t="shared" ca="1" si="21"/>
        <v>-7.9101340000001796E-3</v>
      </c>
      <c r="N51" s="167"/>
      <c r="O51" s="125"/>
      <c r="P51" s="125"/>
      <c r="Q51" s="125"/>
    </row>
    <row r="52" spans="2:17" x14ac:dyDescent="0.2">
      <c r="B52" s="130" t="s">
        <v>346</v>
      </c>
      <c r="D52" s="125">
        <f t="shared" ref="D52:M52" si="22">D20/C20-1</f>
        <v>0.46256894591654296</v>
      </c>
      <c r="E52" s="125">
        <f t="shared" si="22"/>
        <v>0.83384818834940888</v>
      </c>
      <c r="F52" s="125">
        <f t="shared" si="22"/>
        <v>0.75597507517739126</v>
      </c>
      <c r="G52" s="125">
        <f t="shared" si="22"/>
        <v>0.43688492167220017</v>
      </c>
      <c r="H52" s="125">
        <f t="shared" si="22"/>
        <v>0.35070867423844931</v>
      </c>
      <c r="I52" s="192">
        <f ca="1">I20/H20-1</f>
        <v>0.45270705910229658</v>
      </c>
      <c r="J52" s="125">
        <f t="shared" ca="1" si="22"/>
        <v>8.1358310911928911E-2</v>
      </c>
      <c r="K52" s="125">
        <f t="shared" ca="1" si="22"/>
        <v>0.13629082257919967</v>
      </c>
      <c r="L52" s="125">
        <f t="shared" ca="1" si="22"/>
        <v>6.1356987895463844E-2</v>
      </c>
      <c r="M52" s="193">
        <f t="shared" ca="1" si="22"/>
        <v>-1.9678808285818139E-2</v>
      </c>
      <c r="N52" s="167"/>
      <c r="O52" s="125"/>
      <c r="P52" s="125"/>
      <c r="Q52" s="125"/>
    </row>
    <row r="53" spans="2:17" x14ac:dyDescent="0.2">
      <c r="B53" s="132" t="s">
        <v>347</v>
      </c>
      <c r="C53" s="179"/>
      <c r="D53" s="277">
        <f t="shared" ref="D53:M53" si="23">D21/C21-1</f>
        <v>0.67055057948828778</v>
      </c>
      <c r="E53" s="277">
        <f t="shared" si="23"/>
        <v>0.28650973160672444</v>
      </c>
      <c r="F53" s="277">
        <f t="shared" si="23"/>
        <v>0.48949849227933262</v>
      </c>
      <c r="G53" s="277">
        <f t="shared" si="23"/>
        <v>0.68402992104593197</v>
      </c>
      <c r="H53" s="277">
        <f t="shared" si="23"/>
        <v>-0.23563378514014699</v>
      </c>
      <c r="I53" s="300">
        <f ca="1">I21/H21-1</f>
        <v>2.7604153375667906</v>
      </c>
      <c r="J53" s="277">
        <f t="shared" ca="1" si="23"/>
        <v>-0.41920000000000013</v>
      </c>
      <c r="K53" s="277">
        <f t="shared" ca="1" si="23"/>
        <v>0.11168</v>
      </c>
      <c r="L53" s="277">
        <f t="shared" ca="1" si="23"/>
        <v>5.042179999999985E-2</v>
      </c>
      <c r="M53" s="301">
        <f t="shared" ca="1" si="23"/>
        <v>-7.9101340000000686E-3</v>
      </c>
      <c r="N53" s="167"/>
      <c r="O53" s="125"/>
      <c r="P53" s="125"/>
      <c r="Q53" s="125"/>
    </row>
    <row r="54" spans="2:17" ht="14.25" customHeight="1" x14ac:dyDescent="0.2"/>
    <row r="58" spans="2:17" x14ac:dyDescent="0.2">
      <c r="B58" s="754"/>
      <c r="C58" s="754"/>
      <c r="D58" s="754"/>
      <c r="E58" s="754"/>
      <c r="F58" s="754"/>
      <c r="G58" s="754"/>
    </row>
    <row r="59" spans="2:17" x14ac:dyDescent="0.2">
      <c r="B59" s="755" t="s">
        <v>396</v>
      </c>
      <c r="C59" s="758"/>
      <c r="D59" s="758"/>
      <c r="E59" s="758"/>
      <c r="F59" s="758"/>
      <c r="G59" s="758"/>
    </row>
    <row r="60" spans="2:17" x14ac:dyDescent="0.2">
      <c r="B60" s="754" t="s">
        <v>397</v>
      </c>
      <c r="C60" s="754"/>
      <c r="D60" s="754"/>
      <c r="E60" s="754"/>
      <c r="F60" s="754"/>
      <c r="G60" s="754"/>
    </row>
    <row r="61" spans="2:17" x14ac:dyDescent="0.2">
      <c r="B61" s="754" t="s">
        <v>398</v>
      </c>
      <c r="C61" s="754"/>
      <c r="D61" s="754"/>
      <c r="E61" s="754"/>
      <c r="F61" s="754"/>
      <c r="G61" s="754"/>
    </row>
    <row r="62" spans="2:17" x14ac:dyDescent="0.2">
      <c r="B62" s="754" t="s">
        <v>399</v>
      </c>
      <c r="C62" s="754"/>
      <c r="D62" s="754"/>
      <c r="E62" s="754"/>
      <c r="F62" s="754"/>
      <c r="G62" s="754"/>
    </row>
    <row r="63" spans="2:17" x14ac:dyDescent="0.2">
      <c r="B63" s="754"/>
      <c r="C63" s="754"/>
      <c r="D63" s="754"/>
      <c r="E63" s="754"/>
      <c r="F63" s="754"/>
      <c r="G63" s="754"/>
    </row>
    <row r="64" spans="2:17" x14ac:dyDescent="0.2">
      <c r="B64" s="754"/>
      <c r="C64" s="754"/>
      <c r="D64" s="754"/>
      <c r="E64" s="754"/>
      <c r="F64" s="754"/>
      <c r="G64" s="754"/>
    </row>
    <row r="65" spans="2:7" x14ac:dyDescent="0.2">
      <c r="B65" s="759" t="s">
        <v>400</v>
      </c>
      <c r="C65" s="754"/>
      <c r="D65" s="754"/>
      <c r="E65" s="754"/>
      <c r="F65" s="754"/>
      <c r="G65" s="754"/>
    </row>
    <row r="66" spans="2:7" x14ac:dyDescent="0.2">
      <c r="B66" s="754" t="s">
        <v>401</v>
      </c>
      <c r="C66" s="754"/>
      <c r="D66" s="754"/>
      <c r="E66" s="754"/>
      <c r="F66" s="754"/>
      <c r="G66" s="754"/>
    </row>
    <row r="67" spans="2:7" x14ac:dyDescent="0.2">
      <c r="B67" s="760"/>
      <c r="C67" s="754"/>
      <c r="D67" s="754"/>
      <c r="E67" s="754"/>
      <c r="F67" s="754"/>
      <c r="G67" s="754"/>
    </row>
    <row r="68" spans="2:7" x14ac:dyDescent="0.2">
      <c r="B68" s="754" t="s">
        <v>402</v>
      </c>
      <c r="C68" s="754"/>
      <c r="D68" s="754"/>
      <c r="E68" s="754"/>
      <c r="F68" s="754"/>
      <c r="G68" s="754"/>
    </row>
    <row r="69" spans="2:7" x14ac:dyDescent="0.2">
      <c r="B69" s="754"/>
      <c r="C69" s="761"/>
      <c r="D69" s="754"/>
      <c r="E69" s="754"/>
      <c r="F69" s="754"/>
      <c r="G69" s="754"/>
    </row>
    <row r="70" spans="2:7" x14ac:dyDescent="0.2">
      <c r="B70" s="754"/>
      <c r="C70" s="754"/>
      <c r="D70" s="754"/>
      <c r="E70" s="754"/>
      <c r="F70" s="754"/>
      <c r="G70" s="754"/>
    </row>
    <row r="71" spans="2:7" x14ac:dyDescent="0.2">
      <c r="B71" s="754"/>
      <c r="C71" s="754"/>
      <c r="D71" s="754"/>
      <c r="E71" s="754"/>
      <c r="F71" s="754"/>
      <c r="G71" s="754"/>
    </row>
    <row r="72" spans="2:7" x14ac:dyDescent="0.2">
      <c r="B72" s="754" t="s">
        <v>403</v>
      </c>
      <c r="C72" s="754"/>
      <c r="D72" s="754"/>
      <c r="E72" s="754"/>
      <c r="F72" s="754"/>
      <c r="G72" s="754"/>
    </row>
    <row r="73" spans="2:7" x14ac:dyDescent="0.2">
      <c r="B73" s="754" t="s">
        <v>404</v>
      </c>
      <c r="C73" s="754"/>
      <c r="D73" s="754"/>
      <c r="E73" s="754"/>
      <c r="F73" s="754"/>
      <c r="G73" s="754"/>
    </row>
    <row r="74" spans="2:7" x14ac:dyDescent="0.2">
      <c r="B74" s="754"/>
      <c r="C74" s="754"/>
      <c r="D74" s="754"/>
      <c r="E74" s="754"/>
      <c r="F74" s="754"/>
      <c r="G74" s="754"/>
    </row>
    <row r="75" spans="2:7" x14ac:dyDescent="0.2">
      <c r="B75" s="754" t="s">
        <v>405</v>
      </c>
      <c r="C75" s="754"/>
      <c r="D75" s="754"/>
      <c r="E75" s="754"/>
      <c r="F75" s="754"/>
      <c r="G75" s="754"/>
    </row>
    <row r="76" spans="2:7" x14ac:dyDescent="0.2">
      <c r="B76" s="754"/>
      <c r="C76" s="754"/>
      <c r="D76" s="754"/>
      <c r="E76" s="754"/>
      <c r="F76" s="754"/>
      <c r="G76" s="754"/>
    </row>
    <row r="77" spans="2:7" x14ac:dyDescent="0.2">
      <c r="B77" s="754" t="s">
        <v>406</v>
      </c>
      <c r="C77" s="754"/>
      <c r="D77" s="754"/>
      <c r="E77" s="754"/>
      <c r="F77" s="754"/>
      <c r="G77" s="754"/>
    </row>
    <row r="78" spans="2:7" x14ac:dyDescent="0.2">
      <c r="B78" s="754"/>
      <c r="C78" s="754"/>
      <c r="D78" s="754"/>
      <c r="E78" s="754"/>
      <c r="F78" s="754"/>
      <c r="G78" s="754"/>
    </row>
    <row r="79" spans="2:7" x14ac:dyDescent="0.2">
      <c r="B79" s="754" t="s">
        <v>407</v>
      </c>
      <c r="C79" s="754"/>
      <c r="D79" s="754"/>
      <c r="E79" s="754"/>
      <c r="F79" s="754"/>
      <c r="G79" s="754"/>
    </row>
    <row r="80" spans="2:7" x14ac:dyDescent="0.2">
      <c r="B80" s="754" t="s">
        <v>408</v>
      </c>
      <c r="C80" s="754"/>
      <c r="D80" s="754"/>
      <c r="E80" s="754"/>
      <c r="F80" s="754"/>
      <c r="G80" s="754"/>
    </row>
    <row r="81" spans="2:18" x14ac:dyDescent="0.2">
      <c r="B81" s="754" t="s">
        <v>409</v>
      </c>
      <c r="C81" s="754"/>
      <c r="D81" s="754"/>
      <c r="E81" s="754"/>
      <c r="F81" s="754"/>
      <c r="G81" s="754"/>
    </row>
    <row r="82" spans="2:18" x14ac:dyDescent="0.2">
      <c r="B82" s="754" t="s">
        <v>410</v>
      </c>
      <c r="C82" s="754"/>
      <c r="D82" s="754"/>
      <c r="E82" s="754"/>
      <c r="F82" s="754"/>
      <c r="G82" s="754"/>
    </row>
    <row r="83" spans="2:18" x14ac:dyDescent="0.2">
      <c r="B83" s="754" t="s">
        <v>411</v>
      </c>
      <c r="C83" s="754"/>
      <c r="D83" s="754"/>
      <c r="E83" s="754"/>
      <c r="F83" s="754"/>
      <c r="G83" s="754"/>
    </row>
    <row r="84" spans="2:18" x14ac:dyDescent="0.2">
      <c r="B84" s="754"/>
      <c r="C84" s="754"/>
      <c r="D84" s="754"/>
      <c r="E84" s="754"/>
      <c r="F84" s="754"/>
      <c r="G84" s="754"/>
    </row>
    <row r="85" spans="2:18" x14ac:dyDescent="0.2">
      <c r="B85" s="754"/>
      <c r="C85" s="754"/>
      <c r="D85" s="754"/>
      <c r="E85" s="754"/>
      <c r="F85" s="754"/>
      <c r="G85" s="754"/>
    </row>
    <row r="86" spans="2:18" x14ac:dyDescent="0.2">
      <c r="B86" s="754"/>
      <c r="C86" s="754"/>
      <c r="D86" s="754"/>
      <c r="E86" s="754"/>
      <c r="F86" s="754"/>
      <c r="G86" s="754"/>
    </row>
    <row r="91" spans="2:18" x14ac:dyDescent="0.2">
      <c r="R91" s="121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86"/>
  <sheetViews>
    <sheetView showGridLines="0" workbookViewId="0">
      <selection activeCell="O21" sqref="O21"/>
    </sheetView>
  </sheetViews>
  <sheetFormatPr baseColWidth="10" defaultColWidth="8.83203125" defaultRowHeight="15" outlineLevelCol="1" x14ac:dyDescent="0.2"/>
  <cols>
    <col min="1" max="1" width="4.83203125" style="716" customWidth="1"/>
    <col min="2" max="2" width="34.5" customWidth="1"/>
    <col min="3" max="6" width="10.1640625" customWidth="1" outlineLevel="1"/>
    <col min="7" max="8" width="11.1640625" bestFit="1" customWidth="1"/>
    <col min="9" max="10" width="10.1640625" bestFit="1" customWidth="1"/>
    <col min="11" max="13" width="11.1640625" bestFit="1" customWidth="1"/>
  </cols>
  <sheetData>
    <row r="1" spans="1:24" x14ac:dyDescent="0.2">
      <c r="B1" s="144" t="s">
        <v>467</v>
      </c>
      <c r="P1" s="720"/>
      <c r="Q1" s="720"/>
      <c r="R1" s="720"/>
      <c r="S1" s="720"/>
      <c r="T1" s="720"/>
      <c r="U1" s="720"/>
      <c r="V1" s="720"/>
      <c r="W1" s="720"/>
      <c r="X1" s="720"/>
    </row>
    <row r="2" spans="1:24" x14ac:dyDescent="0.2">
      <c r="P2" s="720"/>
      <c r="Q2" s="720"/>
      <c r="R2" s="720"/>
      <c r="S2" s="720"/>
      <c r="T2" s="720"/>
      <c r="U2" s="720"/>
      <c r="V2" s="720"/>
      <c r="W2" s="720"/>
      <c r="X2" s="720"/>
    </row>
    <row r="3" spans="1:24" x14ac:dyDescent="0.2">
      <c r="A3" s="716" t="s">
        <v>609</v>
      </c>
      <c r="B3" s="164" t="s">
        <v>48</v>
      </c>
      <c r="C3" s="165">
        <v>2014</v>
      </c>
      <c r="D3" s="165">
        <f>C3+1</f>
        <v>2015</v>
      </c>
      <c r="E3" s="165">
        <f t="shared" ref="E3:M3" si="0">D3+1</f>
        <v>2016</v>
      </c>
      <c r="F3" s="165">
        <f t="shared" si="0"/>
        <v>2017</v>
      </c>
      <c r="G3" s="165">
        <f t="shared" si="0"/>
        <v>2018</v>
      </c>
      <c r="H3" s="165">
        <f t="shared" si="0"/>
        <v>2019</v>
      </c>
      <c r="I3" s="762">
        <f t="shared" si="0"/>
        <v>2020</v>
      </c>
      <c r="J3" s="762">
        <f t="shared" si="0"/>
        <v>2021</v>
      </c>
      <c r="K3" s="762">
        <f t="shared" si="0"/>
        <v>2022</v>
      </c>
      <c r="L3" s="762">
        <f t="shared" si="0"/>
        <v>2023</v>
      </c>
      <c r="M3" s="762">
        <f t="shared" si="0"/>
        <v>2024</v>
      </c>
      <c r="O3" s="122"/>
      <c r="P3" s="714" t="s">
        <v>396</v>
      </c>
      <c r="Q3" s="731"/>
      <c r="R3" s="731"/>
      <c r="S3" s="731"/>
      <c r="T3" s="731"/>
      <c r="U3" s="731"/>
      <c r="V3" s="720"/>
      <c r="W3" s="720"/>
      <c r="X3" s="720"/>
    </row>
    <row r="4" spans="1:24" x14ac:dyDescent="0.2">
      <c r="B4" s="480" t="s">
        <v>468</v>
      </c>
      <c r="C4" s="471"/>
      <c r="D4" s="471"/>
      <c r="E4" s="471"/>
      <c r="F4" s="471"/>
      <c r="G4" s="471"/>
      <c r="H4" s="471"/>
      <c r="I4" s="472"/>
      <c r="J4" s="471"/>
      <c r="K4" s="471"/>
      <c r="L4" s="471"/>
      <c r="M4" s="473"/>
      <c r="P4" s="720" t="s">
        <v>469</v>
      </c>
      <c r="Q4" s="720"/>
      <c r="R4" s="720"/>
      <c r="S4" s="720"/>
      <c r="T4" s="720"/>
      <c r="U4" s="720"/>
      <c r="V4" s="720"/>
      <c r="W4" s="720"/>
      <c r="X4" s="720"/>
    </row>
    <row r="5" spans="1:24" x14ac:dyDescent="0.2">
      <c r="B5" s="176" t="s">
        <v>470</v>
      </c>
      <c r="C5" s="121">
        <f t="shared" ref="C5:H5" si="1">C7-C6</f>
        <v>67084</v>
      </c>
      <c r="D5" s="121">
        <f t="shared" si="1"/>
        <v>72159</v>
      </c>
      <c r="E5" s="121">
        <f t="shared" si="1"/>
        <v>78622.484848484848</v>
      </c>
      <c r="F5" s="121">
        <f t="shared" si="1"/>
        <v>85972.84848484848</v>
      </c>
      <c r="G5" s="121">
        <f t="shared" si="1"/>
        <v>80592.941176470587</v>
      </c>
      <c r="H5" s="121">
        <f t="shared" si="1"/>
        <v>79951.14285714287</v>
      </c>
      <c r="I5" s="186">
        <f ca="1">I42</f>
        <v>97801.451428571439</v>
      </c>
      <c r="J5" s="121">
        <f ca="1">J42</f>
        <v>122740.99616214287</v>
      </c>
      <c r="K5" s="121">
        <f ca="1">K42</f>
        <v>150547.44100870844</v>
      </c>
      <c r="L5" s="121">
        <f ca="1">L42</f>
        <v>171237.7902031902</v>
      </c>
      <c r="M5" s="187">
        <f ca="1">M42</f>
        <v>186922.55703153569</v>
      </c>
      <c r="O5" s="207"/>
      <c r="P5" s="720" t="s">
        <v>471</v>
      </c>
      <c r="Q5" s="720"/>
      <c r="R5" s="720"/>
      <c r="S5" s="720"/>
      <c r="T5" s="720"/>
      <c r="U5" s="720"/>
      <c r="V5" s="720"/>
      <c r="W5" s="720"/>
      <c r="X5" s="720"/>
    </row>
    <row r="6" spans="1:24" x14ac:dyDescent="0.2">
      <c r="B6" s="176" t="s">
        <v>472</v>
      </c>
      <c r="C6" s="121">
        <v>0</v>
      </c>
      <c r="D6" s="121">
        <v>0</v>
      </c>
      <c r="E6" s="121">
        <v>0</v>
      </c>
      <c r="F6" s="121">
        <f>' Segments'!F34</f>
        <v>5798</v>
      </c>
      <c r="G6" s="121">
        <f>'Whole Foods'!H5</f>
        <v>17224</v>
      </c>
      <c r="H6" s="121">
        <f>'Whole Foods'!I5</f>
        <v>17192</v>
      </c>
      <c r="I6" s="186">
        <f>'Whole Foods'!J5</f>
        <v>17535.84</v>
      </c>
      <c r="J6" s="121">
        <f>'Whole Foods'!K5</f>
        <v>17842.717200000003</v>
      </c>
      <c r="K6" s="121">
        <f>'Whole Foods'!L5</f>
        <v>18110.357958000001</v>
      </c>
      <c r="L6" s="121">
        <f>'Whole Foods'!M5</f>
        <v>18336.737432474998</v>
      </c>
      <c r="M6" s="187">
        <f>'Whole Foods'!N5</f>
        <v>18520.104806799747</v>
      </c>
      <c r="O6" s="207"/>
      <c r="P6" s="720" t="s">
        <v>473</v>
      </c>
      <c r="Q6" s="720"/>
      <c r="R6" s="720"/>
      <c r="S6" s="720"/>
      <c r="T6" s="720"/>
      <c r="U6" s="720"/>
      <c r="V6" s="720"/>
      <c r="W6" s="720"/>
      <c r="X6" s="720"/>
    </row>
    <row r="7" spans="1:24" x14ac:dyDescent="0.2">
      <c r="B7" s="199" t="s">
        <v>474</v>
      </c>
      <c r="C7" s="122">
        <f>' Segments'!C179-Prime!C9</f>
        <v>67084</v>
      </c>
      <c r="D7" s="122">
        <f>' Segments'!D179-Prime!D9</f>
        <v>72159</v>
      </c>
      <c r="E7" s="122">
        <f>' Segments'!E179-Prime!E9</f>
        <v>78622.484848484848</v>
      </c>
      <c r="F7" s="122">
        <f>' Segments'!F179-Prime!F9</f>
        <v>91770.84848484848</v>
      </c>
      <c r="G7" s="122">
        <f>' Segments'!G179-Prime!G9</f>
        <v>97816.941176470587</v>
      </c>
      <c r="H7" s="122">
        <f>' Segments'!H179-Prime!H9</f>
        <v>97143.14285714287</v>
      </c>
      <c r="I7" s="188">
        <f ca="1">SUM(I5:I6)</f>
        <v>115337.29142857144</v>
      </c>
      <c r="J7" s="122">
        <f ca="1">SUM(J5:J6)</f>
        <v>140583.71336214288</v>
      </c>
      <c r="K7" s="122">
        <f ca="1">SUM(K5:K6)</f>
        <v>168657.79896670845</v>
      </c>
      <c r="L7" s="122">
        <f ca="1">SUM(L5:L6)</f>
        <v>189574.5276356652</v>
      </c>
      <c r="M7" s="189">
        <f ca="1">SUM(M5:M6)</f>
        <v>205442.66183833545</v>
      </c>
      <c r="N7" s="122"/>
      <c r="P7" s="720"/>
      <c r="Q7" s="720"/>
      <c r="R7" s="720"/>
      <c r="S7" s="720"/>
      <c r="T7" s="720"/>
      <c r="U7" s="720"/>
      <c r="V7" s="720"/>
      <c r="W7" s="720"/>
      <c r="X7" s="720"/>
    </row>
    <row r="8" spans="1:24" x14ac:dyDescent="0.2">
      <c r="B8" s="209"/>
      <c r="C8" s="171"/>
      <c r="D8" s="171"/>
      <c r="E8" s="171"/>
      <c r="F8" s="171"/>
      <c r="G8" s="171"/>
      <c r="H8" s="171"/>
      <c r="I8" s="190"/>
      <c r="J8" s="171"/>
      <c r="K8" s="171"/>
      <c r="L8" s="171"/>
      <c r="M8" s="191"/>
      <c r="P8" s="720"/>
      <c r="Q8" s="720"/>
      <c r="R8" s="720"/>
      <c r="S8" s="720"/>
      <c r="T8" s="720"/>
      <c r="U8" s="720"/>
      <c r="V8" s="720"/>
      <c r="W8" s="720"/>
      <c r="X8" s="720"/>
    </row>
    <row r="9" spans="1:24" x14ac:dyDescent="0.2">
      <c r="A9" s="716" t="s">
        <v>609</v>
      </c>
      <c r="B9" s="480" t="s">
        <v>475</v>
      </c>
      <c r="C9" s="481"/>
      <c r="D9" s="481"/>
      <c r="E9" s="481"/>
      <c r="F9" s="481"/>
      <c r="G9" s="481"/>
      <c r="H9" s="481"/>
      <c r="I9" s="482"/>
      <c r="J9" s="481"/>
      <c r="K9" s="481"/>
      <c r="L9" s="481"/>
      <c r="M9" s="483"/>
      <c r="P9" s="720"/>
      <c r="Q9" s="720"/>
      <c r="R9" s="720"/>
      <c r="S9" s="720"/>
      <c r="T9" s="720"/>
      <c r="U9" s="720"/>
      <c r="V9" s="720"/>
      <c r="W9" s="720"/>
      <c r="X9" s="720"/>
    </row>
    <row r="10" spans="1:24" x14ac:dyDescent="0.2">
      <c r="A10" s="734"/>
      <c r="B10" s="479" t="s">
        <v>384</v>
      </c>
      <c r="C10" s="121">
        <f>' Segments'!C213</f>
        <v>42983.740538746082</v>
      </c>
      <c r="D10" s="121">
        <f>' Segments'!D213</f>
        <v>43758.668845711523</v>
      </c>
      <c r="E10" s="121">
        <f>' Segments'!E213</f>
        <v>45799.592080392838</v>
      </c>
      <c r="F10" s="121">
        <f>' Segments'!F213</f>
        <v>51623.998592217402</v>
      </c>
      <c r="G10" s="121">
        <f>' Segments'!G213</f>
        <v>43999.460331177557</v>
      </c>
      <c r="H10" s="187">
        <f>' Segments'!H213</f>
        <v>42827.330595319567</v>
      </c>
      <c r="I10" s="121">
        <f ca="1">I5*I50</f>
        <v>52812.783771428578</v>
      </c>
      <c r="J10" s="121">
        <f ca="1">J5*J50</f>
        <v>65052.727965935723</v>
      </c>
      <c r="K10" s="121">
        <f ca="1">K5*K50</f>
        <v>78284.669324528397</v>
      </c>
      <c r="L10" s="121">
        <f ca="1">L5*L50</f>
        <v>87331.273003627008</v>
      </c>
      <c r="M10" s="187">
        <f ca="1">M5*M50</f>
        <v>93461.278515767845</v>
      </c>
      <c r="P10" s="720"/>
      <c r="Q10" s="720"/>
      <c r="R10" s="720"/>
      <c r="S10" s="720"/>
      <c r="T10" s="720"/>
      <c r="U10" s="720"/>
      <c r="V10" s="720"/>
      <c r="W10" s="720"/>
      <c r="X10" s="720"/>
    </row>
    <row r="11" spans="1:24" x14ac:dyDescent="0.2">
      <c r="B11" s="204" t="s">
        <v>476</v>
      </c>
      <c r="I11" s="176"/>
      <c r="M11" s="177"/>
      <c r="O11" s="207"/>
      <c r="P11" s="720"/>
      <c r="Q11" s="720"/>
      <c r="R11" s="720"/>
      <c r="S11" s="720"/>
      <c r="T11" s="720"/>
      <c r="U11" s="720"/>
      <c r="V11" s="720"/>
      <c r="W11" s="720"/>
      <c r="X11" s="720"/>
    </row>
    <row r="12" spans="1:24" x14ac:dyDescent="0.2">
      <c r="B12" s="237" t="s">
        <v>339</v>
      </c>
      <c r="C12" s="121">
        <f>' Segments'!C214</f>
        <v>8562.8656928767905</v>
      </c>
      <c r="D12" s="121">
        <f>' Segments'!D214</f>
        <v>9761.8403849645911</v>
      </c>
      <c r="E12" s="121">
        <f>' Segments'!E214</f>
        <v>11192.307870737626</v>
      </c>
      <c r="F12" s="121">
        <f>' Segments'!F214</f>
        <v>14445.26830745503</v>
      </c>
      <c r="G12" s="121">
        <f>' Segments'!G214</f>
        <v>13233.168668023109</v>
      </c>
      <c r="H12" s="121">
        <f>' Segments'!H214</f>
        <v>13102.430913043683</v>
      </c>
      <c r="I12" s="186">
        <f t="shared" ref="I12:M16" ca="1" si="2">I$5*I52</f>
        <v>16137.239485714288</v>
      </c>
      <c r="J12" s="121">
        <f t="shared" ca="1" si="2"/>
        <v>20252.264366753574</v>
      </c>
      <c r="K12" s="121">
        <f t="shared" ca="1" si="2"/>
        <v>24840.327766436894</v>
      </c>
      <c r="L12" s="121">
        <f t="shared" ca="1" si="2"/>
        <v>28254.235383526386</v>
      </c>
      <c r="M12" s="187">
        <f t="shared" ca="1" si="2"/>
        <v>30842.221910203389</v>
      </c>
      <c r="P12" s="720"/>
      <c r="Q12" s="720"/>
      <c r="R12" s="720"/>
      <c r="S12" s="720"/>
      <c r="T12" s="720"/>
      <c r="U12" s="720"/>
      <c r="V12" s="720"/>
      <c r="W12" s="720"/>
      <c r="X12" s="720"/>
    </row>
    <row r="13" spans="1:24" x14ac:dyDescent="0.2">
      <c r="B13" s="237" t="s">
        <v>341</v>
      </c>
      <c r="C13" s="121">
        <f>' Segments'!C215</f>
        <v>4938.3498604377191</v>
      </c>
      <c r="D13" s="121">
        <f>' Segments'!D215</f>
        <v>5650.5426117606576</v>
      </c>
      <c r="E13" s="121">
        <f>' Segments'!E215</f>
        <v>5997.0105845713879</v>
      </c>
      <c r="F13" s="121">
        <f>' Segments'!F215</f>
        <v>7805.1241607284455</v>
      </c>
      <c r="G13" s="121">
        <f>' Segments'!G215</f>
        <v>6456.6540074149152</v>
      </c>
      <c r="H13" s="121">
        <f>' Segments'!H215</f>
        <v>6076.6281236912346</v>
      </c>
      <c r="I13" s="186">
        <f t="shared" ca="1" si="2"/>
        <v>7726.1813745702284</v>
      </c>
      <c r="J13" s="121">
        <f t="shared" ca="1" si="2"/>
        <v>9819.2796929714295</v>
      </c>
      <c r="K13" s="121">
        <f t="shared" ca="1" si="2"/>
        <v>12043.795280696675</v>
      </c>
      <c r="L13" s="121">
        <f t="shared" ca="1" si="2"/>
        <v>13699.023216255217</v>
      </c>
      <c r="M13" s="187">
        <f t="shared" ca="1" si="2"/>
        <v>14953.804562522855</v>
      </c>
      <c r="O13" s="126"/>
      <c r="P13" s="720"/>
      <c r="Q13" s="720"/>
      <c r="R13" s="732"/>
      <c r="S13" s="732"/>
      <c r="T13" s="732"/>
      <c r="U13" s="732"/>
      <c r="V13" s="720"/>
      <c r="W13" s="720"/>
      <c r="X13" s="720"/>
    </row>
    <row r="14" spans="1:24" x14ac:dyDescent="0.2">
      <c r="B14" s="237" t="s">
        <v>344</v>
      </c>
      <c r="C14" s="121">
        <f>' Segments'!C216</f>
        <v>2624.6941098359098</v>
      </c>
      <c r="D14" s="121">
        <f>' Segments'!D216</f>
        <v>2766.2187518915321</v>
      </c>
      <c r="E14" s="121">
        <f>' Segments'!E216</f>
        <v>3176.2040611662483</v>
      </c>
      <c r="F14" s="121">
        <f>' Segments'!F216</f>
        <v>3604.3086988382388</v>
      </c>
      <c r="G14" s="121">
        <f>' Segments'!G216</f>
        <v>3805.4958968135738</v>
      </c>
      <c r="H14" s="121">
        <f>' Segments'!H216</f>
        <v>4291.4907257982686</v>
      </c>
      <c r="I14" s="186">
        <f t="shared" ca="1" si="2"/>
        <v>5379.0798285714291</v>
      </c>
      <c r="J14" s="121">
        <f t="shared" ca="1" si="2"/>
        <v>6750.7547889178577</v>
      </c>
      <c r="K14" s="121">
        <f t="shared" ca="1" si="2"/>
        <v>8280.1092554789648</v>
      </c>
      <c r="L14" s="121">
        <f t="shared" ca="1" si="2"/>
        <v>9418.0784611754607</v>
      </c>
      <c r="M14" s="187">
        <f t="shared" ca="1" si="2"/>
        <v>10280.740636734463</v>
      </c>
      <c r="O14" s="126"/>
      <c r="P14" s="720"/>
      <c r="Q14" s="720"/>
      <c r="R14" s="733"/>
      <c r="S14" s="733"/>
      <c r="T14" s="733"/>
      <c r="U14" s="733"/>
      <c r="V14" s="720"/>
      <c r="W14" s="720"/>
      <c r="X14" s="720"/>
    </row>
    <row r="15" spans="1:24" x14ac:dyDescent="0.2">
      <c r="B15" s="237" t="s">
        <v>346</v>
      </c>
      <c r="C15" s="121">
        <f>' Segments'!C217</f>
        <v>1169.9821099474086</v>
      </c>
      <c r="D15" s="121">
        <f>' Segments'!D217</f>
        <v>1178.0813505784722</v>
      </c>
      <c r="E15" s="121">
        <f>' Segments'!E217</f>
        <v>1406.0894287800681</v>
      </c>
      <c r="F15" s="121">
        <f>' Segments'!F217</f>
        <v>1895.6185967713518</v>
      </c>
      <c r="G15" s="121">
        <f>' Segments'!G217</f>
        <v>1500.5173880086759</v>
      </c>
      <c r="H15" s="121">
        <f>' Segments'!H217</f>
        <v>1482.8990107218483</v>
      </c>
      <c r="I15" s="186">
        <f t="shared" ca="1" si="2"/>
        <v>1799.2876501019753</v>
      </c>
      <c r="J15" s="121">
        <f t="shared" ca="1" si="2"/>
        <v>2278.2993213209807</v>
      </c>
      <c r="K15" s="121">
        <f t="shared" ca="1" si="2"/>
        <v>2854.8540374081322</v>
      </c>
      <c r="L15" s="121">
        <f t="shared" ca="1" si="2"/>
        <v>3279.0713826628767</v>
      </c>
      <c r="M15" s="187">
        <f t="shared" ca="1" si="2"/>
        <v>3496.2829447123049</v>
      </c>
      <c r="P15" s="720"/>
      <c r="Q15" s="720"/>
      <c r="R15" s="720"/>
      <c r="S15" s="720"/>
      <c r="T15" s="720"/>
      <c r="U15" s="720"/>
      <c r="V15" s="720"/>
      <c r="W15" s="720"/>
      <c r="X15" s="720"/>
    </row>
    <row r="16" spans="1:24" x14ac:dyDescent="0.2">
      <c r="B16" s="237" t="s">
        <v>347</v>
      </c>
      <c r="C16" s="121">
        <f>' Segments'!C218</f>
        <v>100.26264215399829</v>
      </c>
      <c r="D16" s="121">
        <f>' Segments'!D218</f>
        <v>115.31305721174515</v>
      </c>
      <c r="E16" s="121">
        <f>' Segments'!E218</f>
        <v>96.553015874289244</v>
      </c>
      <c r="F16" s="121">
        <f>' Segments'!F218</f>
        <v>110.41436573464053</v>
      </c>
      <c r="G16" s="121">
        <f>' Segments'!G218</f>
        <v>102.43384383085056</v>
      </c>
      <c r="H16" s="121">
        <f>' Segments'!H218</f>
        <v>57.286700202785219</v>
      </c>
      <c r="I16" s="186">
        <f t="shared" ca="1" si="2"/>
        <v>97.80145142857144</v>
      </c>
      <c r="J16" s="121">
        <f t="shared" ca="1" si="2"/>
        <v>122.74099616214286</v>
      </c>
      <c r="K16" s="121">
        <f t="shared" ca="1" si="2"/>
        <v>150.54744100870843</v>
      </c>
      <c r="L16" s="121">
        <f t="shared" ca="1" si="2"/>
        <v>171.2377902031902</v>
      </c>
      <c r="M16" s="187">
        <f t="shared" ca="1" si="2"/>
        <v>186.92255703153569</v>
      </c>
      <c r="O16" s="121"/>
      <c r="P16" s="720"/>
      <c r="Q16" s="720"/>
      <c r="R16" s="720"/>
      <c r="S16" s="720"/>
      <c r="T16" s="720"/>
      <c r="U16" s="720"/>
      <c r="V16" s="720"/>
      <c r="W16" s="720"/>
      <c r="X16" s="720"/>
    </row>
    <row r="17" spans="2:18" x14ac:dyDescent="0.2">
      <c r="B17" s="199" t="s">
        <v>367</v>
      </c>
      <c r="C17" s="122">
        <f>SUM(C12:C16)</f>
        <v>17396.154415251825</v>
      </c>
      <c r="D17" s="122">
        <f t="shared" ref="D17:M17" si="3">SUM(D12:D16)</f>
        <v>19471.996156406996</v>
      </c>
      <c r="E17" s="122">
        <f t="shared" si="3"/>
        <v>21868.16496112962</v>
      </c>
      <c r="F17" s="122">
        <f t="shared" si="3"/>
        <v>27860.734129527704</v>
      </c>
      <c r="G17" s="122">
        <f t="shared" si="3"/>
        <v>25098.269804091124</v>
      </c>
      <c r="H17" s="122">
        <f t="shared" si="3"/>
        <v>25010.735473457818</v>
      </c>
      <c r="I17" s="188">
        <f t="shared" ca="1" si="3"/>
        <v>31139.589790386493</v>
      </c>
      <c r="J17" s="122">
        <f t="shared" ca="1" si="3"/>
        <v>39223.339166125988</v>
      </c>
      <c r="K17" s="122">
        <f t="shared" ca="1" si="3"/>
        <v>48169.633781029384</v>
      </c>
      <c r="L17" s="122">
        <f t="shared" ca="1" si="3"/>
        <v>54821.646233823136</v>
      </c>
      <c r="M17" s="189">
        <f t="shared" ca="1" si="3"/>
        <v>59759.972611204546</v>
      </c>
    </row>
    <row r="18" spans="2:18" x14ac:dyDescent="0.2">
      <c r="B18" s="199" t="s">
        <v>477</v>
      </c>
      <c r="C18" s="122">
        <f t="shared" ref="C18:M18" si="4">C5-C10-C17</f>
        <v>6704.1050460020924</v>
      </c>
      <c r="D18" s="122">
        <f t="shared" si="4"/>
        <v>8928.3349978814804</v>
      </c>
      <c r="E18" s="122">
        <f t="shared" si="4"/>
        <v>10954.72780696239</v>
      </c>
      <c r="F18" s="122">
        <f t="shared" si="4"/>
        <v>6488.1157631033748</v>
      </c>
      <c r="G18" s="122">
        <f t="shared" si="4"/>
        <v>11495.211041201906</v>
      </c>
      <c r="H18" s="189">
        <f t="shared" si="4"/>
        <v>12113.076788365484</v>
      </c>
      <c r="I18" s="122">
        <f t="shared" ca="1" si="4"/>
        <v>13849.077866756368</v>
      </c>
      <c r="J18" s="122">
        <f t="shared" ca="1" si="4"/>
        <v>18464.929030081155</v>
      </c>
      <c r="K18" s="122">
        <f t="shared" ca="1" si="4"/>
        <v>24093.137903150659</v>
      </c>
      <c r="L18" s="122">
        <f t="shared" ca="1" si="4"/>
        <v>29084.870965740061</v>
      </c>
      <c r="M18" s="189">
        <f t="shared" ca="1" si="4"/>
        <v>33701.305904563298</v>
      </c>
    </row>
    <row r="19" spans="2:18" x14ac:dyDescent="0.2">
      <c r="B19" s="176"/>
      <c r="I19" s="176"/>
      <c r="M19" s="177"/>
      <c r="O19" s="124"/>
    </row>
    <row r="20" spans="2:18" x14ac:dyDescent="0.2">
      <c r="B20" s="238" t="s">
        <v>478</v>
      </c>
      <c r="C20" s="121">
        <f>' Segments'!C222</f>
        <v>0</v>
      </c>
      <c r="D20" s="121">
        <f>' Segments'!D222</f>
        <v>0</v>
      </c>
      <c r="E20" s="121">
        <f>' Segments'!E222</f>
        <v>0</v>
      </c>
      <c r="F20" s="121">
        <f>' Segments'!F222</f>
        <v>0</v>
      </c>
      <c r="G20" s="121">
        <f>' Segments'!G222</f>
        <v>11540.08</v>
      </c>
      <c r="H20" s="121">
        <f>' Segments'!H222</f>
        <v>11604.6</v>
      </c>
      <c r="I20" s="484">
        <f>-'Whole Foods'!J6</f>
        <v>11517.958874837776</v>
      </c>
      <c r="J20" s="121">
        <f>-'Whole Foods'!K6</f>
        <v>11758.75911779852</v>
      </c>
      <c r="K20" s="121">
        <f>-'Whole Foods'!L6</f>
        <v>11972.827039001968</v>
      </c>
      <c r="L20" s="121">
        <f>-'Whole Foods'!M6</f>
        <v>12157.046075561666</v>
      </c>
      <c r="M20" s="187">
        <f>-'Whole Foods'!N6</f>
        <v>12297.549555168189</v>
      </c>
    </row>
    <row r="21" spans="2:18" x14ac:dyDescent="0.2">
      <c r="B21" s="204" t="s">
        <v>479</v>
      </c>
      <c r="I21" s="176"/>
      <c r="M21" s="177"/>
    </row>
    <row r="22" spans="2:18" x14ac:dyDescent="0.2">
      <c r="B22" s="238" t="s">
        <v>339</v>
      </c>
      <c r="C22" s="121">
        <f>' Segments'!C223</f>
        <v>0</v>
      </c>
      <c r="D22" s="121">
        <f>' Segments'!D223</f>
        <v>0</v>
      </c>
      <c r="E22" s="121">
        <f>' Segments'!E223</f>
        <v>0</v>
      </c>
      <c r="F22" s="121">
        <f>' Segments'!F223</f>
        <v>0</v>
      </c>
      <c r="G22" s="121">
        <f>' Segments'!G223</f>
        <v>2828.1397081531809</v>
      </c>
      <c r="H22" s="121">
        <f>' Segments'!H223</f>
        <v>2817.4330498256591</v>
      </c>
      <c r="I22" s="186">
        <f t="shared" ref="I22:M26" si="5">I$6*I60</f>
        <v>2998.6286400000004</v>
      </c>
      <c r="J22" s="121">
        <f t="shared" si="5"/>
        <v>2944.0483380000005</v>
      </c>
      <c r="K22" s="121">
        <f t="shared" si="5"/>
        <v>2988.2090630700004</v>
      </c>
      <c r="L22" s="121">
        <f t="shared" si="5"/>
        <v>3025.5616763583748</v>
      </c>
      <c r="M22" s="187">
        <f t="shared" si="5"/>
        <v>3055.8172931219583</v>
      </c>
      <c r="R22" s="122"/>
    </row>
    <row r="23" spans="2:18" x14ac:dyDescent="0.2">
      <c r="B23" s="238" t="s">
        <v>341</v>
      </c>
      <c r="C23" s="121">
        <f>' Segments'!C224</f>
        <v>0</v>
      </c>
      <c r="D23" s="121">
        <f>' Segments'!D224</f>
        <v>0</v>
      </c>
      <c r="E23" s="121">
        <f>' Segments'!E224</f>
        <v>0</v>
      </c>
      <c r="F23" s="121">
        <f>' Segments'!F224</f>
        <v>0</v>
      </c>
      <c r="G23" s="121">
        <f>' Segments'!G224</f>
        <v>1379.890186414769</v>
      </c>
      <c r="H23" s="121">
        <f>' Segments'!H224</f>
        <v>1306.6653829972909</v>
      </c>
      <c r="I23" s="186">
        <f t="shared" si="5"/>
        <v>1402.8672000000001</v>
      </c>
      <c r="J23" s="121">
        <f t="shared" si="5"/>
        <v>1356.1226677437387</v>
      </c>
      <c r="K23" s="121">
        <f t="shared" si="5"/>
        <v>1376.4645077598946</v>
      </c>
      <c r="L23" s="121">
        <f t="shared" si="5"/>
        <v>1393.6703141068931</v>
      </c>
      <c r="M23" s="187">
        <f t="shared" si="5"/>
        <v>1407.6070172479619</v>
      </c>
      <c r="R23" s="206"/>
    </row>
    <row r="24" spans="2:18" x14ac:dyDescent="0.2">
      <c r="B24" s="238" t="s">
        <v>344</v>
      </c>
      <c r="C24" s="121">
        <f>' Segments'!C225</f>
        <v>0</v>
      </c>
      <c r="D24" s="121">
        <f>' Segments'!D225</f>
        <v>0</v>
      </c>
      <c r="E24" s="121">
        <f>' Segments'!E225</f>
        <v>0</v>
      </c>
      <c r="F24" s="121">
        <f>' Segments'!F225</f>
        <v>0</v>
      </c>
      <c r="G24" s="121">
        <f>' Segments'!G225</f>
        <v>137.792</v>
      </c>
      <c r="H24" s="121">
        <f>' Segments'!H225</f>
        <v>154.72799999999998</v>
      </c>
      <c r="I24" s="186">
        <f t="shared" si="5"/>
        <v>157.82255999999998</v>
      </c>
      <c r="J24" s="121">
        <f t="shared" si="5"/>
        <v>160.5844548</v>
      </c>
      <c r="K24" s="121">
        <f t="shared" si="5"/>
        <v>162.99322162199999</v>
      </c>
      <c r="L24" s="121">
        <f t="shared" si="5"/>
        <v>165.03063689227497</v>
      </c>
      <c r="M24" s="187">
        <f t="shared" si="5"/>
        <v>166.68094326119771</v>
      </c>
    </row>
    <row r="25" spans="2:18" x14ac:dyDescent="0.2">
      <c r="B25" s="238" t="s">
        <v>346</v>
      </c>
      <c r="C25" s="121">
        <f>' Segments'!C226</f>
        <v>0</v>
      </c>
      <c r="D25" s="121">
        <f>' Segments'!D226</f>
        <v>0</v>
      </c>
      <c r="E25" s="121">
        <f>' Segments'!E226</f>
        <v>0</v>
      </c>
      <c r="F25" s="121">
        <f>' Segments'!F226</f>
        <v>0</v>
      </c>
      <c r="G25" s="121">
        <f>' Segments'!G226</f>
        <v>320.68455517053337</v>
      </c>
      <c r="H25" s="121">
        <f>' Segments'!H226</f>
        <v>318.86973570700331</v>
      </c>
      <c r="I25" s="186">
        <f t="shared" si="5"/>
        <v>333.18095999999997</v>
      </c>
      <c r="J25" s="121">
        <f t="shared" si="5"/>
        <v>330.93895520351344</v>
      </c>
      <c r="K25" s="121">
        <f t="shared" si="5"/>
        <v>335.90303953156609</v>
      </c>
      <c r="L25" s="121">
        <f t="shared" si="5"/>
        <v>340.10182752571063</v>
      </c>
      <c r="M25" s="187">
        <f t="shared" si="5"/>
        <v>343.50284580096769</v>
      </c>
    </row>
    <row r="26" spans="2:18" x14ac:dyDescent="0.2">
      <c r="B26" s="238" t="s">
        <v>347</v>
      </c>
      <c r="C26" s="121">
        <f>' Segments'!C227</f>
        <v>0</v>
      </c>
      <c r="D26" s="121">
        <f>' Segments'!D227</f>
        <v>0</v>
      </c>
      <c r="E26" s="121">
        <f>' Segments'!E227</f>
        <v>0</v>
      </c>
      <c r="F26" s="121">
        <f>' Segments'!F227</f>
        <v>0</v>
      </c>
      <c r="G26" s="121">
        <f>' Segments'!G227</f>
        <v>21.891750076217221</v>
      </c>
      <c r="H26" s="121">
        <f>' Segments'!H227</f>
        <v>12.31843491776046</v>
      </c>
      <c r="I26" s="186">
        <f t="shared" si="5"/>
        <v>17.53584</v>
      </c>
      <c r="J26" s="121">
        <f t="shared" si="5"/>
        <v>17.842717200000003</v>
      </c>
      <c r="K26" s="121">
        <f t="shared" si="5"/>
        <v>18.110357958000002</v>
      </c>
      <c r="L26" s="121">
        <f t="shared" si="5"/>
        <v>18.336737432474997</v>
      </c>
      <c r="M26" s="187">
        <f t="shared" si="5"/>
        <v>18.520104806799747</v>
      </c>
      <c r="P26" s="122"/>
    </row>
    <row r="27" spans="2:18" x14ac:dyDescent="0.2">
      <c r="B27" s="199" t="s">
        <v>369</v>
      </c>
      <c r="C27" s="122">
        <f>SUM(C20:C26)</f>
        <v>0</v>
      </c>
      <c r="D27" s="122">
        <f>SUM(D20:D26)</f>
        <v>0</v>
      </c>
      <c r="E27" s="122">
        <f>SUM(E20:E26)</f>
        <v>0</v>
      </c>
      <c r="F27" s="122">
        <f>SUM(F20:F26)</f>
        <v>0</v>
      </c>
      <c r="G27" s="122">
        <f t="shared" ref="G27:M27" si="6">SUM(G22:G26)</f>
        <v>4688.398199814701</v>
      </c>
      <c r="H27" s="122">
        <f t="shared" si="6"/>
        <v>4610.0146034477139</v>
      </c>
      <c r="I27" s="188">
        <f t="shared" si="6"/>
        <v>4910.0351999999993</v>
      </c>
      <c r="J27" s="122">
        <f t="shared" si="6"/>
        <v>4809.5371329472537</v>
      </c>
      <c r="K27" s="122">
        <f t="shared" si="6"/>
        <v>4881.6801899414613</v>
      </c>
      <c r="L27" s="122">
        <f t="shared" si="6"/>
        <v>4942.7011923157279</v>
      </c>
      <c r="M27" s="189">
        <f t="shared" si="6"/>
        <v>4992.1282042388857</v>
      </c>
      <c r="P27" s="206"/>
    </row>
    <row r="28" spans="2:18" x14ac:dyDescent="0.2">
      <c r="B28" s="199" t="s">
        <v>480</v>
      </c>
      <c r="C28" s="122">
        <f>C6-C20-C27</f>
        <v>0</v>
      </c>
      <c r="D28" s="122">
        <f>D6-D20-D27</f>
        <v>0</v>
      </c>
      <c r="E28" s="122">
        <f>E6-E20-E27</f>
        <v>0</v>
      </c>
      <c r="F28" s="122">
        <v>0</v>
      </c>
      <c r="G28" s="122">
        <f t="shared" ref="G28:M28" si="7">G6-G20-G27</f>
        <v>995.52180018529907</v>
      </c>
      <c r="H28" s="189">
        <f t="shared" si="7"/>
        <v>977.38539655228578</v>
      </c>
      <c r="I28" s="122">
        <f t="shared" si="7"/>
        <v>1107.8459251622253</v>
      </c>
      <c r="J28" s="122">
        <f t="shared" si="7"/>
        <v>1274.4209492542295</v>
      </c>
      <c r="K28" s="122">
        <f t="shared" si="7"/>
        <v>1255.8507290565713</v>
      </c>
      <c r="L28" s="122">
        <f t="shared" si="7"/>
        <v>1236.9901645976042</v>
      </c>
      <c r="M28" s="189">
        <f t="shared" si="7"/>
        <v>1230.4270473926726</v>
      </c>
      <c r="P28" s="206"/>
    </row>
    <row r="29" spans="2:18" x14ac:dyDescent="0.2">
      <c r="B29" s="176"/>
      <c r="G29" s="121"/>
      <c r="H29" s="187"/>
      <c r="I29" s="121"/>
      <c r="J29" s="121"/>
      <c r="K29" s="121"/>
      <c r="L29" s="121"/>
      <c r="M29" s="187"/>
    </row>
    <row r="30" spans="2:18" x14ac:dyDescent="0.2">
      <c r="B30" s="201" t="s">
        <v>481</v>
      </c>
      <c r="C30" s="202">
        <f t="shared" ref="C30:M30" si="8">C10+C20</f>
        <v>42983.740538746082</v>
      </c>
      <c r="D30" s="202">
        <f t="shared" si="8"/>
        <v>43758.668845711523</v>
      </c>
      <c r="E30" s="202">
        <f t="shared" si="8"/>
        <v>45799.592080392838</v>
      </c>
      <c r="F30" s="202">
        <f t="shared" si="8"/>
        <v>51623.998592217402</v>
      </c>
      <c r="G30" s="202">
        <f t="shared" si="8"/>
        <v>55539.540331177559</v>
      </c>
      <c r="H30" s="202">
        <f t="shared" si="8"/>
        <v>54431.930595319565</v>
      </c>
      <c r="I30" s="205">
        <f t="shared" ca="1" si="8"/>
        <v>64330.742646266357</v>
      </c>
      <c r="J30" s="202">
        <f t="shared" ca="1" si="8"/>
        <v>76811.487083734246</v>
      </c>
      <c r="K30" s="202">
        <f t="shared" ca="1" si="8"/>
        <v>90257.496363530372</v>
      </c>
      <c r="L30" s="202">
        <f t="shared" ca="1" si="8"/>
        <v>99488.319079188674</v>
      </c>
      <c r="M30" s="203">
        <f t="shared" ca="1" si="8"/>
        <v>105758.82807093603</v>
      </c>
    </row>
    <row r="31" spans="2:18" x14ac:dyDescent="0.2">
      <c r="B31" s="199" t="s">
        <v>348</v>
      </c>
      <c r="C31" s="122">
        <f t="shared" ref="C31:H31" si="9">C17+C27</f>
        <v>17396.154415251825</v>
      </c>
      <c r="D31" s="122">
        <f t="shared" si="9"/>
        <v>19471.996156406996</v>
      </c>
      <c r="E31" s="122">
        <f t="shared" si="9"/>
        <v>21868.16496112962</v>
      </c>
      <c r="F31" s="122">
        <f t="shared" si="9"/>
        <v>27860.734129527704</v>
      </c>
      <c r="G31" s="122">
        <f t="shared" si="9"/>
        <v>29786.668003905826</v>
      </c>
      <c r="H31" s="122">
        <f t="shared" si="9"/>
        <v>29620.750076905533</v>
      </c>
      <c r="I31" s="188">
        <f ca="1">I17+I27</f>
        <v>36049.624990386495</v>
      </c>
      <c r="J31" s="122">
        <f ca="1">J17+J27</f>
        <v>44032.876299073243</v>
      </c>
      <c r="K31" s="122">
        <f ca="1">K17+K27</f>
        <v>53051.313970970848</v>
      </c>
      <c r="L31" s="122">
        <f ca="1">L17+L27</f>
        <v>59764.347426138862</v>
      </c>
      <c r="M31" s="189">
        <f ca="1">M17+M27</f>
        <v>64752.100815443431</v>
      </c>
    </row>
    <row r="32" spans="2:18" x14ac:dyDescent="0.2">
      <c r="B32" s="199" t="s">
        <v>482</v>
      </c>
      <c r="C32" s="122">
        <f t="shared" ref="C32:M32" si="10">C30+C31</f>
        <v>60379.894953997908</v>
      </c>
      <c r="D32" s="122">
        <f t="shared" si="10"/>
        <v>63230.66500211852</v>
      </c>
      <c r="E32" s="122">
        <f t="shared" si="10"/>
        <v>67667.757041522462</v>
      </c>
      <c r="F32" s="122">
        <f t="shared" si="10"/>
        <v>79484.732721745109</v>
      </c>
      <c r="G32" s="122">
        <f t="shared" si="10"/>
        <v>85326.208335083385</v>
      </c>
      <c r="H32" s="122">
        <f t="shared" si="10"/>
        <v>84052.680672225106</v>
      </c>
      <c r="I32" s="188">
        <f t="shared" ca="1" si="10"/>
        <v>100380.36763665285</v>
      </c>
      <c r="J32" s="122">
        <f t="shared" ca="1" si="10"/>
        <v>120844.3633828075</v>
      </c>
      <c r="K32" s="122">
        <f t="shared" ca="1" si="10"/>
        <v>143308.81033450121</v>
      </c>
      <c r="L32" s="122">
        <f t="shared" ca="1" si="10"/>
        <v>159252.66650532754</v>
      </c>
      <c r="M32" s="189">
        <f t="shared" ca="1" si="10"/>
        <v>170510.92888637946</v>
      </c>
    </row>
    <row r="33" spans="2:21" x14ac:dyDescent="0.2">
      <c r="B33" s="176"/>
      <c r="I33" s="176"/>
      <c r="M33" s="177"/>
    </row>
    <row r="34" spans="2:21" x14ac:dyDescent="0.2">
      <c r="B34" s="199" t="s">
        <v>314</v>
      </c>
      <c r="C34" s="122">
        <f t="shared" ref="C34:H34" si="11">C7-C32</f>
        <v>6704.1050460020924</v>
      </c>
      <c r="D34" s="122">
        <f t="shared" si="11"/>
        <v>8928.3349978814804</v>
      </c>
      <c r="E34" s="122">
        <f t="shared" si="11"/>
        <v>10954.727806962386</v>
      </c>
      <c r="F34" s="122">
        <f t="shared" si="11"/>
        <v>12286.115763103371</v>
      </c>
      <c r="G34" s="122">
        <f t="shared" si="11"/>
        <v>12490.732841387202</v>
      </c>
      <c r="H34" s="122">
        <f t="shared" si="11"/>
        <v>13090.462184917764</v>
      </c>
      <c r="I34" s="188">
        <f ca="1">I7-I32</f>
        <v>14956.923791918583</v>
      </c>
      <c r="J34" s="122">
        <f ca="1">J7-J32</f>
        <v>19739.349979335384</v>
      </c>
      <c r="K34" s="122">
        <f ca="1">K7-K32</f>
        <v>25348.988632207242</v>
      </c>
      <c r="L34" s="122">
        <f ca="1">L7-L32</f>
        <v>30321.861130337667</v>
      </c>
      <c r="M34" s="189">
        <f ca="1">M7-M32</f>
        <v>34931.732951955986</v>
      </c>
    </row>
    <row r="35" spans="2:21" x14ac:dyDescent="0.2">
      <c r="B35" s="204" t="s">
        <v>387</v>
      </c>
      <c r="C35" s="221">
        <f t="shared" ref="C35:H35" si="12">C34/C7</f>
        <v>9.9935976477283597E-2</v>
      </c>
      <c r="D35" s="221">
        <f t="shared" si="12"/>
        <v>0.12373141254564891</v>
      </c>
      <c r="E35" s="221">
        <f t="shared" si="12"/>
        <v>0.13933326869627038</v>
      </c>
      <c r="F35" s="221">
        <f t="shared" si="12"/>
        <v>0.13387819733552783</v>
      </c>
      <c r="G35" s="221">
        <f t="shared" si="12"/>
        <v>0.12769498505225996</v>
      </c>
      <c r="H35" s="221">
        <f t="shared" si="12"/>
        <v>0.13475436144956093</v>
      </c>
      <c r="I35" s="485">
        <f ca="1">I34/I7</f>
        <v>0.12967985988453204</v>
      </c>
      <c r="J35" s="221">
        <f ca="1">J34/J7</f>
        <v>0.14040993446009586</v>
      </c>
      <c r="K35" s="221">
        <f ca="1">K34/K7</f>
        <v>0.15029834841619691</v>
      </c>
      <c r="L35" s="221">
        <f ca="1">L34/L7</f>
        <v>0.15994691643706424</v>
      </c>
      <c r="M35" s="222">
        <f ca="1">M34/M7</f>
        <v>0.17003154378638288</v>
      </c>
    </row>
    <row r="36" spans="2:21" x14ac:dyDescent="0.2">
      <c r="B36" s="178"/>
      <c r="C36" s="277"/>
      <c r="D36" s="277"/>
      <c r="E36" s="277"/>
      <c r="F36" s="277"/>
      <c r="G36" s="277"/>
      <c r="H36" s="296"/>
      <c r="I36" s="178"/>
      <c r="J36" s="210"/>
      <c r="K36" s="179"/>
      <c r="L36" s="179"/>
      <c r="M36" s="180"/>
    </row>
    <row r="38" spans="2:21" x14ac:dyDescent="0.2">
      <c r="B38" s="470" t="s">
        <v>483</v>
      </c>
      <c r="C38" s="477"/>
      <c r="D38" s="477"/>
      <c r="E38" s="477"/>
      <c r="F38" s="477"/>
      <c r="G38" s="477"/>
      <c r="H38" s="477"/>
      <c r="I38" s="472"/>
      <c r="J38" s="471"/>
      <c r="K38" s="471"/>
      <c r="L38" s="471"/>
      <c r="M38" s="473"/>
      <c r="N38" s="124"/>
    </row>
    <row r="39" spans="2:21" x14ac:dyDescent="0.2">
      <c r="B39" s="176" t="s">
        <v>285</v>
      </c>
      <c r="C39" s="121">
        <f>' Segments'!C33-Prime!C8</f>
        <v>54010</v>
      </c>
      <c r="D39" s="121">
        <f>' Segments'!D33-Prime!D8</f>
        <v>54363</v>
      </c>
      <c r="E39" s="121">
        <f>' Segments'!E33-Prime!E8</f>
        <v>52679.484848484848</v>
      </c>
      <c r="F39" s="121">
        <f>' Segments'!F33-Prime!F8</f>
        <v>49438.84848484848</v>
      </c>
      <c r="G39" s="121">
        <f>' Segments'!G33-Prime!G8</f>
        <v>27739.941176470587</v>
      </c>
      <c r="H39" s="121">
        <f>' Segments'!H33-Prime!H8</f>
        <v>12104.14285714287</v>
      </c>
      <c r="I39" s="186">
        <f>H39*(1+I68)</f>
        <v>6899.3614285714366</v>
      </c>
      <c r="J39" s="121">
        <f t="shared" ref="I39:M41" ca="1" si="13">I39*(1+J68)</f>
        <v>5033.0841621428654</v>
      </c>
      <c r="K39" s="121">
        <f t="shared" ca="1" si="13"/>
        <v>4005.1773837084288</v>
      </c>
      <c r="L39" s="121">
        <f t="shared" ca="1" si="13"/>
        <v>3440.1543438152066</v>
      </c>
      <c r="M39" s="187">
        <f t="shared" ca="1" si="13"/>
        <v>3161.8708092700326</v>
      </c>
    </row>
    <row r="40" spans="2:21" x14ac:dyDescent="0.2">
      <c r="B40" s="176" t="s">
        <v>484</v>
      </c>
      <c r="C40" s="121">
        <f>' Segments'!C35</f>
        <v>11705</v>
      </c>
      <c r="D40" s="121">
        <f>' Segments'!D35</f>
        <v>16086</v>
      </c>
      <c r="E40" s="121">
        <f>' Segments'!E35</f>
        <v>22993</v>
      </c>
      <c r="F40" s="121">
        <f>' Segments'!F35</f>
        <v>31881</v>
      </c>
      <c r="G40" s="121">
        <f>' Segments'!G35</f>
        <v>42745</v>
      </c>
      <c r="H40" s="121">
        <f>' Segments'!H35</f>
        <v>53762</v>
      </c>
      <c r="I40" s="186">
        <f>H40*(1+I69)</f>
        <v>72309.89</v>
      </c>
      <c r="J40" s="121">
        <f t="shared" si="13"/>
        <v>94002.857000000004</v>
      </c>
      <c r="K40" s="121">
        <f t="shared" si="13"/>
        <v>117503.57125000001</v>
      </c>
      <c r="L40" s="121">
        <f t="shared" si="13"/>
        <v>135129.10693750001</v>
      </c>
      <c r="M40" s="187">
        <f t="shared" si="13"/>
        <v>148642.01763125003</v>
      </c>
    </row>
    <row r="41" spans="2:21" x14ac:dyDescent="0.2">
      <c r="B41" s="176" t="s">
        <v>344</v>
      </c>
      <c r="C41" s="121">
        <f>' Segments'!C38</f>
        <v>1320</v>
      </c>
      <c r="D41" s="121">
        <f>' Segments'!D38</f>
        <v>1710</v>
      </c>
      <c r="E41" s="121">
        <f>' Segments'!E38</f>
        <v>2950</v>
      </c>
      <c r="F41" s="121">
        <f>' Segments'!F38</f>
        <v>4653</v>
      </c>
      <c r="G41" s="121">
        <f>' Segments'!G38</f>
        <v>10108</v>
      </c>
      <c r="H41" s="121">
        <f>' Segments'!H38</f>
        <v>14085</v>
      </c>
      <c r="I41" s="186">
        <f t="shared" ca="1" si="13"/>
        <v>18592.199999999997</v>
      </c>
      <c r="J41" s="121">
        <f t="shared" ca="1" si="13"/>
        <v>23705.054999999993</v>
      </c>
      <c r="K41" s="121">
        <f t="shared" ca="1" si="13"/>
        <v>29038.692374999995</v>
      </c>
      <c r="L41" s="121">
        <f t="shared" ca="1" si="13"/>
        <v>32668.528921874993</v>
      </c>
      <c r="M41" s="187">
        <f t="shared" ca="1" si="13"/>
        <v>35118.668591015616</v>
      </c>
    </row>
    <row r="42" spans="2:21" x14ac:dyDescent="0.2">
      <c r="B42" s="199" t="s">
        <v>137</v>
      </c>
      <c r="C42" s="122">
        <f t="shared" ref="C42:M42" si="14">SUM(C39:C41)</f>
        <v>67035</v>
      </c>
      <c r="D42" s="122">
        <f t="shared" si="14"/>
        <v>72159</v>
      </c>
      <c r="E42" s="122">
        <f t="shared" si="14"/>
        <v>78622.484848484848</v>
      </c>
      <c r="F42" s="122">
        <f t="shared" si="14"/>
        <v>85972.84848484848</v>
      </c>
      <c r="G42" s="303">
        <f t="shared" si="14"/>
        <v>80592.941176470587</v>
      </c>
      <c r="H42" s="122">
        <f t="shared" si="14"/>
        <v>79951.14285714287</v>
      </c>
      <c r="I42" s="188">
        <f ca="1">SUM(I39:I41)</f>
        <v>97801.451428571439</v>
      </c>
      <c r="J42" s="122">
        <f t="shared" ca="1" si="14"/>
        <v>122740.99616214287</v>
      </c>
      <c r="K42" s="122">
        <f t="shared" ca="1" si="14"/>
        <v>150547.44100870844</v>
      </c>
      <c r="L42" s="122">
        <f t="shared" ca="1" si="14"/>
        <v>171237.7902031902</v>
      </c>
      <c r="M42" s="189">
        <f t="shared" ca="1" si="14"/>
        <v>186922.55703153569</v>
      </c>
    </row>
    <row r="43" spans="2:21" x14ac:dyDescent="0.2">
      <c r="B43" s="178"/>
      <c r="C43" s="179"/>
      <c r="D43" s="179"/>
      <c r="E43" s="179"/>
      <c r="F43" s="179"/>
      <c r="G43" s="179"/>
      <c r="H43" s="179"/>
      <c r="I43" s="178"/>
      <c r="J43" s="179"/>
      <c r="K43" s="304"/>
      <c r="L43" s="179"/>
      <c r="M43" s="180"/>
      <c r="S43" s="716"/>
      <c r="T43" s="716"/>
      <c r="U43" s="716"/>
    </row>
    <row r="44" spans="2:21" x14ac:dyDescent="0.2">
      <c r="B44" s="474" t="s">
        <v>306</v>
      </c>
      <c r="C44" s="229"/>
      <c r="D44" s="229"/>
      <c r="E44" s="229"/>
      <c r="F44" s="229"/>
      <c r="G44" s="229"/>
      <c r="H44" s="229"/>
      <c r="I44" s="475"/>
      <c r="J44" s="229"/>
      <c r="K44" s="229"/>
      <c r="L44" s="229"/>
      <c r="M44" s="476"/>
      <c r="S44" s="716"/>
      <c r="T44" s="716"/>
      <c r="U44" s="716"/>
    </row>
    <row r="45" spans="2:21" x14ac:dyDescent="0.2">
      <c r="B45" s="238" t="s">
        <v>285</v>
      </c>
      <c r="C45" s="125">
        <f t="shared" ref="C45:H45" si="15">C39/C$7</f>
        <v>0.80511001132908</v>
      </c>
      <c r="D45" s="125">
        <f t="shared" si="15"/>
        <v>0.75337795701159938</v>
      </c>
      <c r="E45" s="125">
        <f t="shared" si="15"/>
        <v>0.67003077999893623</v>
      </c>
      <c r="F45" s="125">
        <f t="shared" si="15"/>
        <v>0.53872062099339657</v>
      </c>
      <c r="G45" s="125">
        <f t="shared" si="15"/>
        <v>0.28359035605524846</v>
      </c>
      <c r="H45" s="125">
        <f t="shared" si="15"/>
        <v>0.12460110411439977</v>
      </c>
      <c r="I45" s="192">
        <f ca="1">I39/I$7</f>
        <v>5.981899993588996E-2</v>
      </c>
      <c r="J45" s="125">
        <f ca="1">J39/J$7</f>
        <v>3.5801331760085667E-2</v>
      </c>
      <c r="K45" s="125">
        <f ca="1">K39/K$7</f>
        <v>2.3747359495062636E-2</v>
      </c>
      <c r="L45" s="125">
        <f ca="1">L39/L$7</f>
        <v>1.8146711938149651E-2</v>
      </c>
      <c r="M45" s="193">
        <f ca="1">M39/M$7</f>
        <v>1.5390526879748741E-2</v>
      </c>
      <c r="S45" s="716"/>
      <c r="T45" s="716"/>
      <c r="U45" s="716"/>
    </row>
    <row r="46" spans="2:21" x14ac:dyDescent="0.2">
      <c r="B46" s="238" t="s">
        <v>484</v>
      </c>
      <c r="C46" s="125">
        <f t="shared" ref="C46:M46" si="16">C40/C$7</f>
        <v>0.17448273805974598</v>
      </c>
      <c r="D46" s="125">
        <f t="shared" si="16"/>
        <v>0.22292437533779569</v>
      </c>
      <c r="E46" s="125">
        <f t="shared" si="16"/>
        <v>0.29244814691764481</v>
      </c>
      <c r="F46" s="125">
        <f t="shared" si="16"/>
        <v>0.34739789951123318</v>
      </c>
      <c r="G46" s="125">
        <f t="shared" si="16"/>
        <v>0.43698974314565986</v>
      </c>
      <c r="H46" s="125">
        <f>H40/H$7</f>
        <v>0.55343072520374936</v>
      </c>
      <c r="I46" s="192">
        <f ca="1">I40/I$5</f>
        <v>0.73935395583378416</v>
      </c>
      <c r="J46" s="125">
        <f t="shared" ca="1" si="16"/>
        <v>0.66866107568128574</v>
      </c>
      <c r="K46" s="125">
        <f t="shared" ca="1" si="16"/>
        <v>0.69669811873445697</v>
      </c>
      <c r="L46" s="125">
        <f t="shared" ca="1" si="16"/>
        <v>0.71280202368325873</v>
      </c>
      <c r="M46" s="193">
        <f t="shared" ca="1" si="16"/>
        <v>0.72352069575606293</v>
      </c>
      <c r="S46" s="716"/>
      <c r="T46" s="716"/>
      <c r="U46" s="716"/>
    </row>
    <row r="47" spans="2:21" x14ac:dyDescent="0.2">
      <c r="B47" s="238" t="s">
        <v>344</v>
      </c>
      <c r="C47" s="125">
        <f t="shared" ref="C47:M47" si="17">C41/C$7</f>
        <v>1.9676823087472421E-2</v>
      </c>
      <c r="D47" s="125">
        <f t="shared" si="17"/>
        <v>2.3697667650604916E-2</v>
      </c>
      <c r="E47" s="125">
        <f t="shared" si="17"/>
        <v>3.7521073083418961E-2</v>
      </c>
      <c r="F47" s="125">
        <f t="shared" si="17"/>
        <v>5.070237528389223E-2</v>
      </c>
      <c r="G47" s="125">
        <f t="shared" si="17"/>
        <v>0.1033358831141965</v>
      </c>
      <c r="H47" s="125">
        <f t="shared" si="17"/>
        <v>0.14499222061111583</v>
      </c>
      <c r="I47" s="192">
        <f t="shared" ca="1" si="17"/>
        <v>0.16119851411210029</v>
      </c>
      <c r="J47" s="125">
        <f t="shared" ca="1" si="17"/>
        <v>0.16861878544163861</v>
      </c>
      <c r="K47" s="125">
        <f t="shared" ca="1" si="17"/>
        <v>0.17217521248888096</v>
      </c>
      <c r="L47" s="125">
        <f t="shared" ca="1" si="17"/>
        <v>0.17232551930531076</v>
      </c>
      <c r="M47" s="193">
        <f t="shared" ca="1" si="17"/>
        <v>0.17094146014643632</v>
      </c>
      <c r="S47" s="716"/>
      <c r="T47" s="716"/>
      <c r="U47" s="716"/>
    </row>
    <row r="48" spans="2:21" x14ac:dyDescent="0.2">
      <c r="B48" s="705" t="s">
        <v>363</v>
      </c>
      <c r="C48" s="706">
        <f t="shared" ref="C48:M48" si="18">C6/C$7</f>
        <v>0</v>
      </c>
      <c r="D48" s="706">
        <f t="shared" si="18"/>
        <v>0</v>
      </c>
      <c r="E48" s="706">
        <f t="shared" si="18"/>
        <v>0</v>
      </c>
      <c r="F48" s="706">
        <f t="shared" si="18"/>
        <v>6.3179104211478002E-2</v>
      </c>
      <c r="G48" s="706">
        <f t="shared" si="18"/>
        <v>0.17608401768489521</v>
      </c>
      <c r="H48" s="706">
        <f t="shared" si="18"/>
        <v>0.17697595007073505</v>
      </c>
      <c r="I48" s="707">
        <f t="shared" ca="1" si="18"/>
        <v>0.15203963768179846</v>
      </c>
      <c r="J48" s="706">
        <f t="shared" ca="1" si="18"/>
        <v>0.12691880711698986</v>
      </c>
      <c r="K48" s="706">
        <f t="shared" ca="1" si="18"/>
        <v>0.10737930928159939</v>
      </c>
      <c r="L48" s="706">
        <f t="shared" ca="1" si="18"/>
        <v>9.6725745073280897E-2</v>
      </c>
      <c r="M48" s="708">
        <f t="shared" ca="1" si="18"/>
        <v>9.0147317217751849E-2</v>
      </c>
      <c r="S48" s="716"/>
      <c r="T48" s="726" t="s">
        <v>485</v>
      </c>
      <c r="U48" s="716"/>
    </row>
    <row r="49" spans="2:21" x14ac:dyDescent="0.2">
      <c r="B49" s="238"/>
      <c r="C49" s="125"/>
      <c r="D49" s="125"/>
      <c r="E49" s="125"/>
      <c r="F49" s="125"/>
      <c r="G49" s="125"/>
      <c r="H49" s="125"/>
      <c r="I49" s="192"/>
      <c r="J49" s="125"/>
      <c r="K49" s="125"/>
      <c r="L49" s="125"/>
      <c r="M49" s="193"/>
      <c r="S49" s="716"/>
      <c r="T49" s="726"/>
      <c r="U49" s="716"/>
    </row>
    <row r="50" spans="2:21" x14ac:dyDescent="0.2">
      <c r="B50" s="302" t="s">
        <v>353</v>
      </c>
      <c r="C50" s="125">
        <f t="shared" ref="C50:H50" si="19">C10/C5</f>
        <v>0.64074504410509336</v>
      </c>
      <c r="D50" s="125">
        <f t="shared" si="19"/>
        <v>0.60642011177693045</v>
      </c>
      <c r="E50" s="125">
        <f t="shared" si="19"/>
        <v>0.58252537004718508</v>
      </c>
      <c r="F50" s="125">
        <f t="shared" si="19"/>
        <v>0.60046863052717647</v>
      </c>
      <c r="G50" s="125">
        <f t="shared" si="19"/>
        <v>0.54594682473287581</v>
      </c>
      <c r="H50" s="125">
        <f t="shared" si="19"/>
        <v>0.53566877301358495</v>
      </c>
      <c r="I50" s="192">
        <v>0.54</v>
      </c>
      <c r="J50" s="125">
        <v>0.53</v>
      </c>
      <c r="K50" s="125">
        <v>0.52</v>
      </c>
      <c r="L50" s="125">
        <v>0.51</v>
      </c>
      <c r="M50" s="193">
        <v>0.5</v>
      </c>
      <c r="S50" s="716"/>
      <c r="T50" s="726"/>
      <c r="U50" s="716"/>
    </row>
    <row r="51" spans="2:21" x14ac:dyDescent="0.2">
      <c r="B51" s="204" t="s">
        <v>476</v>
      </c>
      <c r="C51" s="125"/>
      <c r="D51" s="125"/>
      <c r="E51" s="125"/>
      <c r="F51" s="125"/>
      <c r="G51" s="125"/>
      <c r="H51" s="125"/>
      <c r="I51" s="192"/>
      <c r="J51" s="125"/>
      <c r="K51" s="125"/>
      <c r="L51" s="125"/>
      <c r="M51" s="193"/>
      <c r="S51" s="716"/>
      <c r="T51" s="726" t="s">
        <v>486</v>
      </c>
      <c r="U51" s="716"/>
    </row>
    <row r="52" spans="2:21" x14ac:dyDescent="0.2">
      <c r="B52" s="237" t="s">
        <v>339</v>
      </c>
      <c r="C52" s="125">
        <f t="shared" ref="C52:H52" si="20">C12/C$5</f>
        <v>0.12764393436403301</v>
      </c>
      <c r="D52" s="125">
        <f t="shared" si="20"/>
        <v>0.13528236789540585</v>
      </c>
      <c r="E52" s="125">
        <f t="shared" si="20"/>
        <v>0.14235505138646501</v>
      </c>
      <c r="F52" s="125">
        <f t="shared" si="20"/>
        <v>0.16802128302170663</v>
      </c>
      <c r="G52" s="125">
        <f t="shared" si="20"/>
        <v>0.16419761426806673</v>
      </c>
      <c r="H52" s="125">
        <f t="shared" si="20"/>
        <v>0.16388047055756511</v>
      </c>
      <c r="I52" s="192">
        <v>0.16500000000000001</v>
      </c>
      <c r="J52" s="125">
        <v>0.16500000000000001</v>
      </c>
      <c r="K52" s="125">
        <v>0.16500000000000001</v>
      </c>
      <c r="L52" s="125">
        <v>0.16500000000000001</v>
      </c>
      <c r="M52" s="193">
        <v>0.16500000000000001</v>
      </c>
      <c r="S52" s="716"/>
      <c r="T52" s="726"/>
      <c r="U52" s="716"/>
    </row>
    <row r="53" spans="2:21" x14ac:dyDescent="0.2">
      <c r="B53" s="237" t="s">
        <v>341</v>
      </c>
      <c r="C53" s="125">
        <f>C13/C$5</f>
        <v>7.3614421627179641E-2</v>
      </c>
      <c r="D53" s="125">
        <f t="shared" ref="D53:G56" si="21">D13/D$5</f>
        <v>7.8306830911745701E-2</v>
      </c>
      <c r="E53" s="125">
        <f t="shared" si="21"/>
        <v>7.6276024551098345E-2</v>
      </c>
      <c r="F53" s="125">
        <f t="shared" si="21"/>
        <v>9.0785920186231703E-2</v>
      </c>
      <c r="G53" s="125">
        <f t="shared" si="21"/>
        <v>8.0114386113258759E-2</v>
      </c>
      <c r="H53" s="125">
        <f>H13/H$5</f>
        <v>7.6004268438651171E-2</v>
      </c>
      <c r="I53" s="192">
        <f>GEOMEAN(C53:H53)</f>
        <v>7.8998637154306314E-2</v>
      </c>
      <c r="J53" s="125">
        <v>0.08</v>
      </c>
      <c r="K53" s="125">
        <v>0.08</v>
      </c>
      <c r="L53" s="125">
        <v>0.08</v>
      </c>
      <c r="M53" s="193">
        <v>0.08</v>
      </c>
      <c r="S53" s="716"/>
      <c r="T53" s="726"/>
      <c r="U53" s="716"/>
    </row>
    <row r="54" spans="2:21" x14ac:dyDescent="0.2">
      <c r="B54" s="237" t="s">
        <v>344</v>
      </c>
      <c r="C54" s="125">
        <f>C14/C$5</f>
        <v>3.9125486104524328E-2</v>
      </c>
      <c r="D54" s="125">
        <f t="shared" si="21"/>
        <v>3.833504832233723E-2</v>
      </c>
      <c r="E54" s="125">
        <f t="shared" si="21"/>
        <v>4.0398164307413865E-2</v>
      </c>
      <c r="F54" s="125">
        <f t="shared" si="21"/>
        <v>4.1923802251049622E-2</v>
      </c>
      <c r="G54" s="125">
        <f t="shared" si="21"/>
        <v>4.7218724633474513E-2</v>
      </c>
      <c r="H54" s="125">
        <f>H14/H$5</f>
        <v>5.3676415025940623E-2</v>
      </c>
      <c r="I54" s="192">
        <v>5.5E-2</v>
      </c>
      <c r="J54" s="125">
        <f>I54</f>
        <v>5.5E-2</v>
      </c>
      <c r="K54" s="125">
        <f>J54</f>
        <v>5.5E-2</v>
      </c>
      <c r="L54" s="125">
        <f>K54</f>
        <v>5.5E-2</v>
      </c>
      <c r="M54" s="125">
        <f>L54</f>
        <v>5.5E-2</v>
      </c>
      <c r="N54" s="176"/>
      <c r="S54" s="716"/>
      <c r="T54" s="726"/>
      <c r="U54" s="716"/>
    </row>
    <row r="55" spans="2:21" x14ac:dyDescent="0.2">
      <c r="B55" s="237" t="s">
        <v>346</v>
      </c>
      <c r="C55" s="125">
        <f>C15/C$5</f>
        <v>1.7440553782532477E-2</v>
      </c>
      <c r="D55" s="125">
        <f t="shared" si="21"/>
        <v>1.6326187316599069E-2</v>
      </c>
      <c r="E55" s="125">
        <f t="shared" si="21"/>
        <v>1.7884062447145681E-2</v>
      </c>
      <c r="F55" s="125">
        <f t="shared" si="21"/>
        <v>2.2049037925100601E-2</v>
      </c>
      <c r="G55" s="125">
        <f t="shared" si="21"/>
        <v>1.8618471619283174E-2</v>
      </c>
      <c r="H55" s="125">
        <f>H15/H$5</f>
        <v>1.8547564896870834E-2</v>
      </c>
      <c r="I55" s="192">
        <f>GEOMEAN(C55:H55)</f>
        <v>1.8397351203075667E-2</v>
      </c>
      <c r="J55" s="125">
        <f>GEOMEAN(D55:I55)</f>
        <v>1.8561844799689503E-2</v>
      </c>
      <c r="K55" s="125">
        <f>GEOMEAN(E55:J55)</f>
        <v>1.8963152201590679E-2</v>
      </c>
      <c r="L55" s="125">
        <f>GEOMEAN(F55:K55)</f>
        <v>1.9149227391757048E-2</v>
      </c>
      <c r="M55" s="193">
        <f>GEOMEAN(G55:L55)</f>
        <v>1.8704446377343573E-2</v>
      </c>
      <c r="S55" s="716"/>
      <c r="T55" s="726"/>
      <c r="U55" s="716"/>
    </row>
    <row r="56" spans="2:21" x14ac:dyDescent="0.2">
      <c r="B56" s="237" t="s">
        <v>347</v>
      </c>
      <c r="C56" s="125">
        <f>C16/C$5</f>
        <v>1.4945835393536206E-3</v>
      </c>
      <c r="D56" s="125">
        <f t="shared" si="21"/>
        <v>1.5980412313328226E-3</v>
      </c>
      <c r="E56" s="125">
        <f t="shared" si="21"/>
        <v>1.2280585644215993E-3</v>
      </c>
      <c r="F56" s="125">
        <f t="shared" si="21"/>
        <v>1.2842934447391205E-3</v>
      </c>
      <c r="G56" s="125">
        <f t="shared" si="21"/>
        <v>1.271002675117117E-3</v>
      </c>
      <c r="H56" s="125">
        <f>H16/H$5</f>
        <v>7.1652134235461028E-4</v>
      </c>
      <c r="I56" s="192">
        <v>1E-3</v>
      </c>
      <c r="J56" s="125">
        <v>1E-3</v>
      </c>
      <c r="K56" s="125">
        <v>1E-3</v>
      </c>
      <c r="L56" s="125">
        <v>1E-3</v>
      </c>
      <c r="M56" s="193">
        <v>1E-3</v>
      </c>
      <c r="S56" s="716"/>
      <c r="T56" s="716"/>
      <c r="U56" s="716"/>
    </row>
    <row r="57" spans="2:21" x14ac:dyDescent="0.2">
      <c r="B57" s="176"/>
      <c r="C57" s="125"/>
      <c r="D57" s="125"/>
      <c r="E57" s="125"/>
      <c r="F57" s="125"/>
      <c r="G57" s="125"/>
      <c r="H57" s="125"/>
      <c r="I57" s="192"/>
      <c r="J57" s="125"/>
      <c r="K57" s="125"/>
      <c r="L57" s="125"/>
      <c r="M57" s="193"/>
      <c r="S57" s="716"/>
      <c r="T57" s="716"/>
      <c r="U57" s="716"/>
    </row>
    <row r="58" spans="2:21" x14ac:dyDescent="0.2">
      <c r="B58" s="176" t="s">
        <v>353</v>
      </c>
      <c r="C58" s="125"/>
      <c r="D58" s="125"/>
      <c r="E58" s="125"/>
      <c r="F58" s="125"/>
      <c r="G58" s="125">
        <f>G20/G$6</f>
        <v>0.67</v>
      </c>
      <c r="H58" s="125">
        <f>H20/H$6</f>
        <v>0.67500000000000004</v>
      </c>
      <c r="I58" s="192">
        <f>'Whole Foods'!J61</f>
        <v>0.65682390320838779</v>
      </c>
      <c r="J58" s="125">
        <f>'Whole Foods'!K61</f>
        <v>0.65902289354216281</v>
      </c>
      <c r="K58" s="125">
        <f>'Whole Foods'!L61</f>
        <v>0.66110383167292042</v>
      </c>
      <c r="L58" s="125">
        <f>'Whole Foods'!M61</f>
        <v>0.66298850165303214</v>
      </c>
      <c r="M58" s="193">
        <f>'Whole Foods'!N61</f>
        <v>0.66401079710159538</v>
      </c>
      <c r="S58" s="716"/>
      <c r="T58" s="716"/>
      <c r="U58" s="716"/>
    </row>
    <row r="59" spans="2:21" x14ac:dyDescent="0.2">
      <c r="B59" s="204" t="s">
        <v>479</v>
      </c>
      <c r="C59" s="125"/>
      <c r="D59" s="125"/>
      <c r="E59" s="125"/>
      <c r="F59" s="125"/>
      <c r="I59" s="176"/>
      <c r="M59" s="177"/>
    </row>
    <row r="60" spans="2:21" x14ac:dyDescent="0.2">
      <c r="B60" s="238" t="s">
        <v>339</v>
      </c>
      <c r="C60" s="125"/>
      <c r="D60" s="125"/>
      <c r="E60" s="125"/>
      <c r="F60" s="125"/>
      <c r="G60" s="125">
        <f t="shared" ref="G60:H64" si="22">G22/G$6</f>
        <v>0.1641976142680667</v>
      </c>
      <c r="H60" s="125">
        <f t="shared" si="22"/>
        <v>0.16388047055756508</v>
      </c>
      <c r="I60" s="192">
        <v>0.17100000000000001</v>
      </c>
      <c r="J60" s="125">
        <v>0.16500000000000001</v>
      </c>
      <c r="K60" s="125">
        <v>0.16500000000000001</v>
      </c>
      <c r="L60" s="125">
        <v>0.16500000000000001</v>
      </c>
      <c r="M60" s="193">
        <v>0.16500000000000001</v>
      </c>
    </row>
    <row r="61" spans="2:21" x14ac:dyDescent="0.2">
      <c r="B61" s="238" t="s">
        <v>341</v>
      </c>
      <c r="C61" s="125"/>
      <c r="D61" s="125"/>
      <c r="E61" s="125"/>
      <c r="F61" s="125"/>
      <c r="G61" s="125">
        <f t="shared" si="22"/>
        <v>8.0114386113258773E-2</v>
      </c>
      <c r="H61" s="125">
        <f t="shared" si="22"/>
        <v>7.6004268438651171E-2</v>
      </c>
      <c r="I61" s="192">
        <v>0.08</v>
      </c>
      <c r="J61" s="125">
        <v>7.6004268438651171E-2</v>
      </c>
      <c r="K61" s="125">
        <v>7.6004268438651171E-2</v>
      </c>
      <c r="L61" s="125">
        <v>7.6004268438651171E-2</v>
      </c>
      <c r="M61" s="193">
        <v>7.6004268438651171E-2</v>
      </c>
    </row>
    <row r="62" spans="2:21" x14ac:dyDescent="0.2">
      <c r="B62" s="238" t="s">
        <v>344</v>
      </c>
      <c r="C62" s="125"/>
      <c r="D62" s="125"/>
      <c r="E62" s="125"/>
      <c r="F62" s="125"/>
      <c r="G62" s="125">
        <f t="shared" si="22"/>
        <v>8.0000000000000002E-3</v>
      </c>
      <c r="H62" s="125">
        <f t="shared" si="22"/>
        <v>8.9999999999999993E-3</v>
      </c>
      <c r="I62" s="192">
        <v>8.9999999999999993E-3</v>
      </c>
      <c r="J62" s="125">
        <v>8.9999999999999993E-3</v>
      </c>
      <c r="K62" s="125">
        <v>8.9999999999999993E-3</v>
      </c>
      <c r="L62" s="125">
        <v>8.9999999999999993E-3</v>
      </c>
      <c r="M62" s="193">
        <v>8.9999999999999993E-3</v>
      </c>
    </row>
    <row r="63" spans="2:21" x14ac:dyDescent="0.2">
      <c r="B63" s="238" t="s">
        <v>346</v>
      </c>
      <c r="C63" s="125"/>
      <c r="D63" s="125"/>
      <c r="E63" s="125"/>
      <c r="F63" s="125"/>
      <c r="G63" s="125">
        <f t="shared" si="22"/>
        <v>1.8618471619283174E-2</v>
      </c>
      <c r="H63" s="125">
        <f t="shared" si="22"/>
        <v>1.854756489687083E-2</v>
      </c>
      <c r="I63" s="192">
        <v>1.9E-2</v>
      </c>
      <c r="J63" s="125">
        <v>1.854756489687083E-2</v>
      </c>
      <c r="K63" s="125">
        <v>1.854756489687083E-2</v>
      </c>
      <c r="L63" s="125">
        <v>1.854756489687083E-2</v>
      </c>
      <c r="M63" s="193">
        <v>1.854756489687083E-2</v>
      </c>
    </row>
    <row r="64" spans="2:21" x14ac:dyDescent="0.2">
      <c r="B64" s="238" t="s">
        <v>347</v>
      </c>
      <c r="C64" s="125"/>
      <c r="D64" s="125"/>
      <c r="E64" s="125"/>
      <c r="F64" s="125"/>
      <c r="G64" s="125">
        <f t="shared" si="22"/>
        <v>1.271002675117117E-3</v>
      </c>
      <c r="H64" s="125">
        <f t="shared" si="22"/>
        <v>7.1652134235461028E-4</v>
      </c>
      <c r="I64" s="192">
        <v>1E-3</v>
      </c>
      <c r="J64" s="125">
        <v>1E-3</v>
      </c>
      <c r="K64" s="125">
        <v>1E-3</v>
      </c>
      <c r="L64" s="125">
        <v>1E-3</v>
      </c>
      <c r="M64" s="193">
        <v>1E-3</v>
      </c>
    </row>
    <row r="65" spans="1:13" x14ac:dyDescent="0.2">
      <c r="B65" s="478" t="s">
        <v>137</v>
      </c>
      <c r="C65" s="125"/>
      <c r="D65" s="125"/>
      <c r="E65" s="125"/>
      <c r="F65" s="125"/>
      <c r="G65" s="125">
        <f t="shared" ref="G65:M65" si="23">SUM(G60:G64)</f>
        <v>0.2722014746757257</v>
      </c>
      <c r="H65" s="193">
        <f t="shared" si="23"/>
        <v>0.2681488252354417</v>
      </c>
      <c r="I65" s="125">
        <f t="shared" si="23"/>
        <v>0.28000000000000003</v>
      </c>
      <c r="J65" s="125">
        <f t="shared" si="23"/>
        <v>0.26955183333552202</v>
      </c>
      <c r="K65" s="125">
        <f t="shared" si="23"/>
        <v>0.26955183333552202</v>
      </c>
      <c r="L65" s="125">
        <f t="shared" si="23"/>
        <v>0.26955183333552202</v>
      </c>
      <c r="M65" s="193">
        <f t="shared" si="23"/>
        <v>0.26955183333552202</v>
      </c>
    </row>
    <row r="66" spans="1:13" x14ac:dyDescent="0.2">
      <c r="B66" s="176"/>
      <c r="I66" s="176"/>
      <c r="M66" s="177"/>
    </row>
    <row r="67" spans="1:13" x14ac:dyDescent="0.2">
      <c r="A67" s="716" t="s">
        <v>609</v>
      </c>
      <c r="B67" s="470" t="s">
        <v>395</v>
      </c>
      <c r="C67" s="471"/>
      <c r="D67" s="471"/>
      <c r="E67" s="471"/>
      <c r="F67" s="471"/>
      <c r="G67" s="471"/>
      <c r="H67" s="471"/>
      <c r="I67" s="472"/>
      <c r="J67" s="471"/>
      <c r="K67" s="471"/>
      <c r="L67" s="471"/>
      <c r="M67" s="473"/>
    </row>
    <row r="68" spans="1:13" x14ac:dyDescent="0.2">
      <c r="B68" s="176" t="s">
        <v>285</v>
      </c>
      <c r="D68" s="125">
        <f t="shared" ref="D68:H70" si="24">D39/C39-1</f>
        <v>6.535826698759406E-3</v>
      </c>
      <c r="E68" s="125">
        <f t="shared" si="24"/>
        <v>-3.0968032513201127E-2</v>
      </c>
      <c r="F68" s="125">
        <f t="shared" si="24"/>
        <v>-6.1516098210849801E-2</v>
      </c>
      <c r="G68" s="125">
        <f t="shared" si="24"/>
        <v>-0.43890397882199772</v>
      </c>
      <c r="H68" s="125">
        <f t="shared" si="24"/>
        <v>-0.56365650596945838</v>
      </c>
      <c r="I68" s="192">
        <v>-0.43</v>
      </c>
      <c r="J68" s="125">
        <f ca="1">'Forecast Triggers'!E27</f>
        <v>-0.27049999999999963</v>
      </c>
      <c r="K68" s="125">
        <f ca="1">'Forecast Triggers'!F27</f>
        <v>-0.20422999999999977</v>
      </c>
      <c r="L68" s="125">
        <f ca="1">'Forecast Triggers'!G27</f>
        <v>-0.14107316249999954</v>
      </c>
      <c r="M68" s="193">
        <f ca="1">'Forecast Triggers'!H27</f>
        <v>-8.0892746874999671E-2</v>
      </c>
    </row>
    <row r="69" spans="1:13" x14ac:dyDescent="0.2">
      <c r="B69" s="176" t="s">
        <v>484</v>
      </c>
      <c r="D69" s="125">
        <f t="shared" si="24"/>
        <v>0.37428449380606588</v>
      </c>
      <c r="E69" s="125">
        <f t="shared" si="24"/>
        <v>0.42937958473206517</v>
      </c>
      <c r="F69" s="125">
        <f t="shared" si="24"/>
        <v>0.38655242900013054</v>
      </c>
      <c r="G69" s="125">
        <f t="shared" si="24"/>
        <v>0.34076722812960702</v>
      </c>
      <c r="H69" s="125">
        <f t="shared" si="24"/>
        <v>0.25773774710492448</v>
      </c>
      <c r="I69" s="192">
        <v>0.34499999999999997</v>
      </c>
      <c r="J69" s="125">
        <v>0.3</v>
      </c>
      <c r="K69" s="125">
        <v>0.25</v>
      </c>
      <c r="L69" s="125">
        <v>0.15</v>
      </c>
      <c r="M69" s="193">
        <v>0.1</v>
      </c>
    </row>
    <row r="70" spans="1:13" x14ac:dyDescent="0.2">
      <c r="B70" s="176" t="s">
        <v>344</v>
      </c>
      <c r="D70" s="125">
        <f t="shared" si="24"/>
        <v>0.29545454545454541</v>
      </c>
      <c r="E70" s="125">
        <f t="shared" si="24"/>
        <v>0.72514619883040932</v>
      </c>
      <c r="F70" s="125">
        <f t="shared" si="24"/>
        <v>0.57728813559322023</v>
      </c>
      <c r="G70" s="125">
        <f t="shared" si="24"/>
        <v>1.1723619170427679</v>
      </c>
      <c r="H70" s="125">
        <f t="shared" si="24"/>
        <v>0.39345073209339132</v>
      </c>
      <c r="I70" s="192">
        <f ca="1">'Forecast Triggers'!D39</f>
        <v>0.31999999999999995</v>
      </c>
      <c r="J70" s="125">
        <f ca="1">'Forecast Triggers'!E39</f>
        <v>0.27499999999999997</v>
      </c>
      <c r="K70" s="125">
        <f ca="1">'Forecast Triggers'!F39</f>
        <v>0.22500000000000001</v>
      </c>
      <c r="L70" s="125">
        <f ca="1">'Forecast Triggers'!G39</f>
        <v>0.125</v>
      </c>
      <c r="M70" s="193">
        <f ca="1">'Forecast Triggers'!H39</f>
        <v>7.5000000000000011E-2</v>
      </c>
    </row>
    <row r="71" spans="1:13" x14ac:dyDescent="0.2">
      <c r="B71" s="176"/>
      <c r="D71" s="124"/>
      <c r="E71" s="124"/>
      <c r="F71" s="124"/>
      <c r="G71" s="124"/>
      <c r="H71" s="124"/>
      <c r="I71" s="223"/>
      <c r="J71" s="124"/>
      <c r="K71" s="124"/>
      <c r="L71" s="124"/>
      <c r="M71" s="224"/>
    </row>
    <row r="72" spans="1:13" x14ac:dyDescent="0.2">
      <c r="B72" s="176" t="s">
        <v>353</v>
      </c>
      <c r="D72" s="124">
        <f t="shared" ref="D72:M72" si="25">D10/C10-1</f>
        <v>1.8028405561096195E-2</v>
      </c>
      <c r="E72" s="124">
        <f t="shared" si="25"/>
        <v>4.664043236501092E-2</v>
      </c>
      <c r="F72" s="124">
        <f t="shared" si="25"/>
        <v>0.127171580515409</v>
      </c>
      <c r="G72" s="124">
        <f t="shared" si="25"/>
        <v>-0.14769367869518901</v>
      </c>
      <c r="H72" s="124">
        <f t="shared" si="25"/>
        <v>-2.6639638919103592E-2</v>
      </c>
      <c r="I72" s="192">
        <f t="shared" ca="1" si="25"/>
        <v>0.23315609535562043</v>
      </c>
      <c r="J72" s="125">
        <f t="shared" ca="1" si="25"/>
        <v>0.23176101164220175</v>
      </c>
      <c r="K72" s="125">
        <f t="shared" ca="1" si="25"/>
        <v>0.2034033279207208</v>
      </c>
      <c r="L72" s="125">
        <f t="shared" ca="1" si="25"/>
        <v>0.11556034862453068</v>
      </c>
      <c r="M72" s="193">
        <f t="shared" ca="1" si="25"/>
        <v>7.0192558762841362E-2</v>
      </c>
    </row>
    <row r="73" spans="1:13" x14ac:dyDescent="0.2">
      <c r="B73" s="204" t="s">
        <v>476</v>
      </c>
      <c r="I73" s="192"/>
      <c r="J73" s="125"/>
      <c r="K73" s="125"/>
      <c r="L73" s="125"/>
      <c r="M73" s="193"/>
    </row>
    <row r="74" spans="1:13" x14ac:dyDescent="0.2">
      <c r="B74" s="237" t="s">
        <v>339</v>
      </c>
      <c r="D74" s="124">
        <f t="shared" ref="D74:M74" si="26">D12/C12-1</f>
        <v>0.1400202613343795</v>
      </c>
      <c r="E74" s="124">
        <f t="shared" si="26"/>
        <v>0.14653666003147037</v>
      </c>
      <c r="F74" s="124">
        <f t="shared" si="26"/>
        <v>0.29064250861274932</v>
      </c>
      <c r="G74" s="124">
        <f t="shared" si="26"/>
        <v>-8.3909804486384743E-2</v>
      </c>
      <c r="H74" s="124">
        <f t="shared" si="26"/>
        <v>-9.8795502618614917E-3</v>
      </c>
      <c r="I74" s="192">
        <f t="shared" ca="1" si="26"/>
        <v>0.23162179543716599</v>
      </c>
      <c r="J74" s="125">
        <f t="shared" ca="1" si="26"/>
        <v>0.25500178544677166</v>
      </c>
      <c r="K74" s="125">
        <f t="shared" ca="1" si="26"/>
        <v>0.22654569961150384</v>
      </c>
      <c r="L74" s="125">
        <f t="shared" ca="1" si="26"/>
        <v>0.13743408095050214</v>
      </c>
      <c r="M74" s="193">
        <f t="shared" ca="1" si="26"/>
        <v>9.1596409938098144E-2</v>
      </c>
    </row>
    <row r="75" spans="1:13" x14ac:dyDescent="0.2">
      <c r="B75" s="237" t="s">
        <v>341</v>
      </c>
      <c r="D75" s="124">
        <f t="shared" ref="D75:M75" si="27">D13/C13-1</f>
        <v>0.1442167467778015</v>
      </c>
      <c r="E75" s="124">
        <f t="shared" si="27"/>
        <v>6.1315876476998099E-2</v>
      </c>
      <c r="F75" s="124">
        <f t="shared" si="27"/>
        <v>0.30150248205477959</v>
      </c>
      <c r="G75" s="124">
        <f t="shared" si="27"/>
        <v>-0.17276729050619977</v>
      </c>
      <c r="H75" s="124">
        <f t="shared" si="27"/>
        <v>-5.8858022016860967E-2</v>
      </c>
      <c r="I75" s="192">
        <f t="shared" ca="1" si="27"/>
        <v>0.27145864734552427</v>
      </c>
      <c r="J75" s="125">
        <f t="shared" ca="1" si="27"/>
        <v>0.27090980873040027</v>
      </c>
      <c r="K75" s="125">
        <f t="shared" ca="1" si="27"/>
        <v>0.22654569961150384</v>
      </c>
      <c r="L75" s="125">
        <f t="shared" ca="1" si="27"/>
        <v>0.13743408095050214</v>
      </c>
      <c r="M75" s="193">
        <f t="shared" ca="1" si="27"/>
        <v>9.1596409938098367E-2</v>
      </c>
    </row>
    <row r="76" spans="1:13" x14ac:dyDescent="0.2">
      <c r="B76" s="237" t="s">
        <v>344</v>
      </c>
      <c r="D76" s="124">
        <f t="shared" ref="D76:M76" si="28">D14/C14-1</f>
        <v>5.3920432680237163E-2</v>
      </c>
      <c r="E76" s="124">
        <f t="shared" si="28"/>
        <v>0.14821145615991838</v>
      </c>
      <c r="F76" s="124">
        <f t="shared" si="28"/>
        <v>0.13478499158986579</v>
      </c>
      <c r="G76" s="124">
        <f t="shared" si="28"/>
        <v>5.5818525766170524E-2</v>
      </c>
      <c r="H76" s="124">
        <f t="shared" si="28"/>
        <v>0.12770867244703354</v>
      </c>
      <c r="I76" s="192">
        <f t="shared" ca="1" si="28"/>
        <v>0.25342920962991378</v>
      </c>
      <c r="J76" s="125">
        <f t="shared" ca="1" si="28"/>
        <v>0.25500178544677166</v>
      </c>
      <c r="K76" s="125">
        <f t="shared" ca="1" si="28"/>
        <v>0.22654569961150406</v>
      </c>
      <c r="L76" s="125">
        <f t="shared" ca="1" si="28"/>
        <v>0.13743408095050191</v>
      </c>
      <c r="M76" s="193">
        <f t="shared" ca="1" si="28"/>
        <v>9.1596409938098367E-2</v>
      </c>
    </row>
    <row r="77" spans="1:13" x14ac:dyDescent="0.2">
      <c r="B77" s="237" t="s">
        <v>346</v>
      </c>
      <c r="D77" s="124">
        <f t="shared" ref="D77:M77" si="29">D15/C15-1</f>
        <v>6.9225337397915698E-3</v>
      </c>
      <c r="E77" s="124">
        <f t="shared" si="29"/>
        <v>0.1935418789964185</v>
      </c>
      <c r="F77" s="124">
        <f t="shared" si="29"/>
        <v>0.34814938365335846</v>
      </c>
      <c r="G77" s="124">
        <f t="shared" si="29"/>
        <v>-0.20842864141321393</v>
      </c>
      <c r="H77" s="124">
        <f t="shared" si="29"/>
        <v>-1.1741534904976203E-2</v>
      </c>
      <c r="I77" s="192">
        <f t="shared" ca="1" si="29"/>
        <v>0.21335818359344283</v>
      </c>
      <c r="J77" s="125">
        <f t="shared" ca="1" si="29"/>
        <v>0.26622295284017383</v>
      </c>
      <c r="K77" s="125">
        <f t="shared" ca="1" si="29"/>
        <v>0.25306363860603676</v>
      </c>
      <c r="L77" s="125">
        <f t="shared" ca="1" si="29"/>
        <v>0.14859510843499502</v>
      </c>
      <c r="M77" s="193">
        <f t="shared" ca="1" si="29"/>
        <v>6.6241791257692695E-2</v>
      </c>
    </row>
    <row r="78" spans="1:13" x14ac:dyDescent="0.2">
      <c r="B78" s="237" t="s">
        <v>347</v>
      </c>
      <c r="D78" s="124">
        <f t="shared" ref="D78:M78" si="30">D16/C16-1</f>
        <v>0.15010989870614222</v>
      </c>
      <c r="E78" s="124">
        <f t="shared" si="30"/>
        <v>-0.16268791922676651</v>
      </c>
      <c r="F78" s="124">
        <f t="shared" si="30"/>
        <v>0.14356206002305072</v>
      </c>
      <c r="G78" s="124">
        <f t="shared" si="30"/>
        <v>-7.2277930962077908E-2</v>
      </c>
      <c r="H78" s="124">
        <f t="shared" si="30"/>
        <v>-0.44074440575145268</v>
      </c>
      <c r="I78" s="192">
        <f t="shared" ca="1" si="30"/>
        <v>0.70722787457421821</v>
      </c>
      <c r="J78" s="125">
        <f t="shared" ca="1" si="30"/>
        <v>0.25500178544677166</v>
      </c>
      <c r="K78" s="125">
        <f t="shared" ca="1" si="30"/>
        <v>0.22654569961150384</v>
      </c>
      <c r="L78" s="125">
        <f t="shared" ca="1" si="30"/>
        <v>0.13743408095050214</v>
      </c>
      <c r="M78" s="193">
        <f t="shared" ca="1" si="30"/>
        <v>9.1596409938098367E-2</v>
      </c>
    </row>
    <row r="79" spans="1:13" x14ac:dyDescent="0.2">
      <c r="B79" s="176"/>
      <c r="D79" s="124"/>
      <c r="E79" s="124"/>
      <c r="F79" s="124"/>
      <c r="G79" s="124"/>
      <c r="H79" s="124"/>
      <c r="I79" s="192"/>
      <c r="J79" s="125"/>
      <c r="K79" s="125"/>
      <c r="L79" s="125"/>
      <c r="M79" s="193"/>
    </row>
    <row r="80" spans="1:13" x14ac:dyDescent="0.2">
      <c r="B80" s="204" t="s">
        <v>479</v>
      </c>
      <c r="D80" s="124"/>
      <c r="E80" s="124"/>
      <c r="F80" s="124"/>
      <c r="G80" s="124"/>
      <c r="H80" s="124"/>
      <c r="I80" s="192"/>
      <c r="J80" s="125"/>
      <c r="K80" s="125"/>
      <c r="L80" s="125"/>
      <c r="M80" s="193"/>
    </row>
    <row r="81" spans="2:13" x14ac:dyDescent="0.2">
      <c r="B81" s="238" t="s">
        <v>339</v>
      </c>
      <c r="D81" s="124"/>
      <c r="E81" s="124"/>
      <c r="F81" s="124"/>
      <c r="G81" s="124"/>
      <c r="H81" s="124">
        <f t="shared" ref="H81:M81" si="31">H22/G22-1</f>
        <v>-3.7857600516183476E-3</v>
      </c>
      <c r="I81" s="192">
        <f t="shared" si="31"/>
        <v>6.4312296679260417E-2</v>
      </c>
      <c r="J81" s="125">
        <f t="shared" si="31"/>
        <v>-1.820175438596483E-2</v>
      </c>
      <c r="K81" s="125">
        <f t="shared" si="31"/>
        <v>1.4999999999999902E-2</v>
      </c>
      <c r="L81" s="125">
        <f t="shared" si="31"/>
        <v>1.2499999999999734E-2</v>
      </c>
      <c r="M81" s="193">
        <f t="shared" si="31"/>
        <v>1.0000000000000009E-2</v>
      </c>
    </row>
    <row r="82" spans="2:13" x14ac:dyDescent="0.2">
      <c r="B82" s="238" t="s">
        <v>341</v>
      </c>
      <c r="D82" s="124"/>
      <c r="E82" s="124"/>
      <c r="F82" s="124"/>
      <c r="G82" s="124"/>
      <c r="H82" s="124">
        <f t="shared" ref="H82:M85" si="32">H23/G23-1</f>
        <v>-5.3065674456117984E-2</v>
      </c>
      <c r="I82" s="192">
        <f t="shared" si="32"/>
        <v>7.3623911871023129E-2</v>
      </c>
      <c r="J82" s="125">
        <f t="shared" si="32"/>
        <v>-3.3320710795905262E-2</v>
      </c>
      <c r="K82" s="125">
        <f t="shared" si="32"/>
        <v>1.4999999999999902E-2</v>
      </c>
      <c r="L82" s="125">
        <f t="shared" si="32"/>
        <v>1.2499999999999956E-2</v>
      </c>
      <c r="M82" s="193">
        <f t="shared" si="32"/>
        <v>1.0000000000000009E-2</v>
      </c>
    </row>
    <row r="83" spans="2:13" x14ac:dyDescent="0.2">
      <c r="B83" s="238" t="s">
        <v>344</v>
      </c>
      <c r="D83" s="124"/>
      <c r="E83" s="124"/>
      <c r="F83" s="124"/>
      <c r="G83" s="124"/>
      <c r="H83" s="124">
        <f t="shared" si="32"/>
        <v>0.1229098931723176</v>
      </c>
      <c r="I83" s="192">
        <f t="shared" si="32"/>
        <v>2.0000000000000018E-2</v>
      </c>
      <c r="J83" s="125">
        <f t="shared" si="32"/>
        <v>1.7500000000000071E-2</v>
      </c>
      <c r="K83" s="125">
        <f t="shared" si="32"/>
        <v>1.4999999999999902E-2</v>
      </c>
      <c r="L83" s="125">
        <f t="shared" si="32"/>
        <v>1.2499999999999956E-2</v>
      </c>
      <c r="M83" s="193">
        <f t="shared" si="32"/>
        <v>1.0000000000000009E-2</v>
      </c>
    </row>
    <row r="84" spans="2:13" x14ac:dyDescent="0.2">
      <c r="B84" s="238" t="s">
        <v>346</v>
      </c>
      <c r="D84" s="124"/>
      <c r="E84" s="124"/>
      <c r="F84" s="124"/>
      <c r="G84" s="124"/>
      <c r="H84" s="124">
        <f t="shared" si="32"/>
        <v>-5.6592044558084753E-3</v>
      </c>
      <c r="I84" s="192">
        <f t="shared" si="32"/>
        <v>4.4881099365750687E-2</v>
      </c>
      <c r="J84" s="125">
        <f t="shared" si="32"/>
        <v>-6.7290903912592404E-3</v>
      </c>
      <c r="K84" s="125">
        <f t="shared" si="32"/>
        <v>1.4999999999999902E-2</v>
      </c>
      <c r="L84" s="125">
        <f t="shared" si="32"/>
        <v>1.2499999999999956E-2</v>
      </c>
      <c r="M84" s="193">
        <f t="shared" si="32"/>
        <v>9.9999999999997868E-3</v>
      </c>
    </row>
    <row r="85" spans="2:13" x14ac:dyDescent="0.2">
      <c r="B85" s="238" t="s">
        <v>347</v>
      </c>
      <c r="D85" s="124"/>
      <c r="E85" s="124"/>
      <c r="F85" s="124"/>
      <c r="G85" s="124"/>
      <c r="H85" s="124">
        <f t="shared" si="32"/>
        <v>-0.43730241415724125</v>
      </c>
      <c r="I85" s="192">
        <f t="shared" si="32"/>
        <v>0.42354447761194058</v>
      </c>
      <c r="J85" s="125">
        <f t="shared" si="32"/>
        <v>1.7500000000000071E-2</v>
      </c>
      <c r="K85" s="125">
        <f t="shared" si="32"/>
        <v>1.4999999999999902E-2</v>
      </c>
      <c r="L85" s="125">
        <f t="shared" si="32"/>
        <v>1.2499999999999734E-2</v>
      </c>
      <c r="M85" s="193">
        <f t="shared" si="32"/>
        <v>1.0000000000000009E-2</v>
      </c>
    </row>
    <row r="86" spans="2:13" x14ac:dyDescent="0.2">
      <c r="B86" s="178"/>
      <c r="C86" s="179"/>
      <c r="D86" s="179"/>
      <c r="E86" s="179"/>
      <c r="F86" s="179"/>
      <c r="G86" s="179"/>
      <c r="H86" s="179"/>
      <c r="I86" s="178"/>
      <c r="J86" s="179"/>
      <c r="K86" s="179"/>
      <c r="L86" s="179"/>
      <c r="M86" s="180"/>
    </row>
  </sheetData>
  <hyperlinks>
    <hyperlink ref="T48" r:id="rId1" xr:uid="{00000000-0004-0000-0900-000000000000}"/>
    <hyperlink ref="T51" r:id="rId2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9"/>
  <sheetViews>
    <sheetView showGridLines="0" workbookViewId="0">
      <pane ySplit="2" topLeftCell="A3" activePane="bottomLeft" state="frozen"/>
      <selection activeCell="C28" sqref="C28"/>
      <selection pane="bottomLeft" activeCell="F17" sqref="F17"/>
    </sheetView>
  </sheetViews>
  <sheetFormatPr baseColWidth="10" defaultColWidth="8.83203125" defaultRowHeight="15" x14ac:dyDescent="0.2"/>
  <cols>
    <col min="1" max="1" width="4.83203125" style="716" customWidth="1"/>
    <col min="2" max="2" width="25.1640625" customWidth="1"/>
    <col min="3" max="7" width="11" customWidth="1"/>
    <col min="8" max="9" width="11.1640625" bestFit="1" customWidth="1"/>
    <col min="10" max="13" width="10.5" bestFit="1" customWidth="1"/>
    <col min="14" max="14" width="11.33203125" customWidth="1"/>
  </cols>
  <sheetData>
    <row r="1" spans="1:14" x14ac:dyDescent="0.2">
      <c r="J1" s="229"/>
      <c r="K1" s="229"/>
      <c r="L1" s="230" t="s">
        <v>152</v>
      </c>
      <c r="M1" s="229"/>
      <c r="N1" s="229"/>
    </row>
    <row r="2" spans="1:14" x14ac:dyDescent="0.2">
      <c r="C2" s="208">
        <v>41544</v>
      </c>
      <c r="D2" s="127">
        <v>41910</v>
      </c>
      <c r="E2" s="127">
        <v>42273</v>
      </c>
      <c r="F2" s="127">
        <v>42638</v>
      </c>
      <c r="G2" s="127">
        <v>43002</v>
      </c>
      <c r="H2" s="127">
        <v>43465</v>
      </c>
      <c r="I2" s="127">
        <v>43830</v>
      </c>
      <c r="J2" s="127">
        <v>44196</v>
      </c>
      <c r="K2" s="127">
        <v>44561</v>
      </c>
      <c r="L2" s="127">
        <v>44926</v>
      </c>
      <c r="M2" s="127">
        <v>45291</v>
      </c>
      <c r="N2" s="127">
        <v>45657</v>
      </c>
    </row>
    <row r="3" spans="1:14" x14ac:dyDescent="0.2">
      <c r="C3" s="208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</row>
    <row r="4" spans="1:14" x14ac:dyDescent="0.2">
      <c r="A4" s="716" t="s">
        <v>609</v>
      </c>
      <c r="B4" s="212" t="s">
        <v>501</v>
      </c>
      <c r="C4" s="213"/>
      <c r="D4" s="216"/>
      <c r="E4" s="216"/>
      <c r="F4" s="216"/>
      <c r="G4" s="216"/>
      <c r="H4" s="215"/>
      <c r="I4" s="215"/>
      <c r="J4" s="217"/>
      <c r="K4" s="217"/>
      <c r="L4" s="217"/>
      <c r="M4" s="217"/>
      <c r="N4" s="218"/>
    </row>
    <row r="5" spans="1:14" x14ac:dyDescent="0.2">
      <c r="B5" s="176" t="s">
        <v>2</v>
      </c>
      <c r="C5" s="121">
        <v>12917</v>
      </c>
      <c r="D5" s="121">
        <v>14194</v>
      </c>
      <c r="E5" s="121">
        <v>15389</v>
      </c>
      <c r="F5" s="121">
        <v>15724</v>
      </c>
      <c r="G5" s="121">
        <v>16030</v>
      </c>
      <c r="H5" s="121">
        <f>' Segments'!G34</f>
        <v>17224</v>
      </c>
      <c r="I5" s="121">
        <f>' Segments'!H34</f>
        <v>17192</v>
      </c>
      <c r="J5" s="226">
        <f>I5*(1+J58)</f>
        <v>17535.84</v>
      </c>
      <c r="K5" s="197">
        <f>J5*(1+K58)</f>
        <v>17842.717200000003</v>
      </c>
      <c r="L5" s="197">
        <f>K5*(1+L58)</f>
        <v>18110.357958000001</v>
      </c>
      <c r="M5" s="197">
        <f>L5*(1+M58)</f>
        <v>18336.737432474998</v>
      </c>
      <c r="N5" s="198">
        <f>M5*(1+N58)</f>
        <v>18520.104806799747</v>
      </c>
    </row>
    <row r="6" spans="1:14" x14ac:dyDescent="0.2">
      <c r="B6" s="176" t="s">
        <v>502</v>
      </c>
      <c r="C6" s="121">
        <v>-8288</v>
      </c>
      <c r="D6" s="121">
        <v>-9150</v>
      </c>
      <c r="E6" s="121">
        <v>-9973</v>
      </c>
      <c r="F6" s="121">
        <v>-10313</v>
      </c>
      <c r="G6" s="121">
        <v>-10633</v>
      </c>
      <c r="H6" s="121">
        <f t="shared" ref="H6:N6" si="0">H$5*-H61</f>
        <v>-11540.08</v>
      </c>
      <c r="I6" s="121">
        <f t="shared" si="0"/>
        <v>-11604.6</v>
      </c>
      <c r="J6" s="186">
        <f t="shared" si="0"/>
        <v>-11517.958874837776</v>
      </c>
      <c r="K6" s="121">
        <f t="shared" si="0"/>
        <v>-11758.75911779852</v>
      </c>
      <c r="L6" s="121">
        <f t="shared" si="0"/>
        <v>-11972.827039001968</v>
      </c>
      <c r="M6" s="121">
        <f t="shared" si="0"/>
        <v>-12157.046075561666</v>
      </c>
      <c r="N6" s="187">
        <f t="shared" si="0"/>
        <v>-12297.549555168189</v>
      </c>
    </row>
    <row r="7" spans="1:14" x14ac:dyDescent="0.2">
      <c r="B7" s="199" t="s">
        <v>4</v>
      </c>
      <c r="C7" s="122">
        <f>C5+C6</f>
        <v>4629</v>
      </c>
      <c r="D7" s="122">
        <f>D5+D6</f>
        <v>5044</v>
      </c>
      <c r="E7" s="122">
        <f>E5+E6</f>
        <v>5416</v>
      </c>
      <c r="F7" s="122">
        <f>F5+F6</f>
        <v>5411</v>
      </c>
      <c r="G7" s="122">
        <f>G5+G6</f>
        <v>5397</v>
      </c>
      <c r="H7" s="122">
        <f t="shared" ref="H7:N7" si="1">H5+H6</f>
        <v>5683.92</v>
      </c>
      <c r="I7" s="122">
        <f t="shared" si="1"/>
        <v>5587.4</v>
      </c>
      <c r="J7" s="188">
        <f t="shared" si="1"/>
        <v>6017.8811251622246</v>
      </c>
      <c r="K7" s="122">
        <f t="shared" si="1"/>
        <v>6083.9580822014832</v>
      </c>
      <c r="L7" s="122">
        <f t="shared" si="1"/>
        <v>6137.5309189980326</v>
      </c>
      <c r="M7" s="122">
        <f t="shared" si="1"/>
        <v>6179.6913569133321</v>
      </c>
      <c r="N7" s="189">
        <f t="shared" si="1"/>
        <v>6222.5552516315583</v>
      </c>
    </row>
    <row r="8" spans="1:14" x14ac:dyDescent="0.2">
      <c r="B8" s="176" t="s">
        <v>475</v>
      </c>
      <c r="C8" s="121">
        <f>3682+52+12</f>
        <v>3746</v>
      </c>
      <c r="D8" s="121">
        <f>4032+67+11</f>
        <v>4110</v>
      </c>
      <c r="E8" s="121">
        <f>4472+67+16-E9</f>
        <v>4466</v>
      </c>
      <c r="F8" s="121">
        <f>4477+64+13-F9</f>
        <v>4458</v>
      </c>
      <c r="G8" s="121">
        <f>4627+156+60+95-G9</f>
        <v>4825</v>
      </c>
      <c r="H8" s="121">
        <f t="shared" ref="H8:N8" si="2">H$5*H63-H9</f>
        <v>4550.5463519999994</v>
      </c>
      <c r="I8" s="121">
        <f t="shared" si="2"/>
        <v>4455.3068000000003</v>
      </c>
      <c r="J8" s="186">
        <f t="shared" si="2"/>
        <v>4734.6768000000002</v>
      </c>
      <c r="K8" s="121">
        <f t="shared" si="2"/>
        <v>4631.1099609472531</v>
      </c>
      <c r="L8" s="121">
        <f t="shared" si="2"/>
        <v>4700.5766103614615</v>
      </c>
      <c r="M8" s="121">
        <f t="shared" si="2"/>
        <v>4667.6501308286042</v>
      </c>
      <c r="N8" s="187">
        <f t="shared" si="2"/>
        <v>4714.3266321368892</v>
      </c>
    </row>
    <row r="9" spans="1:14" x14ac:dyDescent="0.2">
      <c r="B9" s="176" t="s">
        <v>503</v>
      </c>
      <c r="E9" s="121">
        <v>89</v>
      </c>
      <c r="F9" s="121">
        <v>96</v>
      </c>
      <c r="G9" s="121">
        <v>113</v>
      </c>
      <c r="H9" s="232">
        <f t="shared" ref="H9:N9" si="3">H5*H64</f>
        <v>137.792</v>
      </c>
      <c r="I9" s="233">
        <f t="shared" si="3"/>
        <v>154.72799999999998</v>
      </c>
      <c r="J9" s="232">
        <f t="shared" si="3"/>
        <v>175.35840000000002</v>
      </c>
      <c r="K9" s="232">
        <f t="shared" si="3"/>
        <v>178.42717200000004</v>
      </c>
      <c r="L9" s="232">
        <f t="shared" si="3"/>
        <v>181.10357958</v>
      </c>
      <c r="M9" s="232">
        <f t="shared" si="3"/>
        <v>275.05106148712497</v>
      </c>
      <c r="N9" s="233">
        <f t="shared" si="3"/>
        <v>277.80157210199621</v>
      </c>
    </row>
    <row r="10" spans="1:14" x14ac:dyDescent="0.2">
      <c r="B10" s="199" t="s">
        <v>57</v>
      </c>
      <c r="C10" s="122">
        <f>C7-C8</f>
        <v>883</v>
      </c>
      <c r="D10" s="122">
        <f>D7-D8</f>
        <v>934</v>
      </c>
      <c r="E10" s="122">
        <f t="shared" ref="E10:N10" si="4">E7-E8-E9</f>
        <v>861</v>
      </c>
      <c r="F10" s="122">
        <f t="shared" si="4"/>
        <v>857</v>
      </c>
      <c r="G10" s="122">
        <f t="shared" si="4"/>
        <v>459</v>
      </c>
      <c r="H10" s="122">
        <f t="shared" si="4"/>
        <v>995.58164800000065</v>
      </c>
      <c r="I10" s="122">
        <f t="shared" si="4"/>
        <v>977.36519999999939</v>
      </c>
      <c r="J10" s="188">
        <f t="shared" si="4"/>
        <v>1107.8459251622244</v>
      </c>
      <c r="K10" s="122">
        <f t="shared" si="4"/>
        <v>1274.42094925423</v>
      </c>
      <c r="L10" s="122">
        <f t="shared" si="4"/>
        <v>1255.850729056571</v>
      </c>
      <c r="M10" s="122">
        <f t="shared" si="4"/>
        <v>1236.9901645976029</v>
      </c>
      <c r="N10" s="189">
        <f t="shared" si="4"/>
        <v>1230.4270473926729</v>
      </c>
    </row>
    <row r="11" spans="1:14" x14ac:dyDescent="0.2">
      <c r="B11" s="176" t="s">
        <v>504</v>
      </c>
      <c r="C11" s="121">
        <v>-11</v>
      </c>
      <c r="D11" s="121">
        <v>-12</v>
      </c>
      <c r="E11" s="121">
        <f>-17</f>
        <v>-17</v>
      </c>
      <c r="F11" s="121">
        <f>41-11</f>
        <v>30</v>
      </c>
      <c r="G11" s="121">
        <f>49-7</f>
        <v>42</v>
      </c>
      <c r="H11" s="121">
        <f t="shared" ref="H11:N11" si="5">H66*-H5</f>
        <v>86.12</v>
      </c>
      <c r="I11" s="121">
        <f t="shared" si="5"/>
        <v>67.907834101382491</v>
      </c>
      <c r="J11" s="186">
        <f t="shared" si="5"/>
        <v>69.265990783410146</v>
      </c>
      <c r="K11" s="121">
        <f t="shared" si="5"/>
        <v>70.478145622119825</v>
      </c>
      <c r="L11" s="121">
        <f t="shared" si="5"/>
        <v>71.535317806451616</v>
      </c>
      <c r="M11" s="121">
        <f t="shared" si="5"/>
        <v>72.42950927903226</v>
      </c>
      <c r="N11" s="187">
        <f t="shared" si="5"/>
        <v>73.153804371822574</v>
      </c>
    </row>
    <row r="12" spans="1:14" x14ac:dyDescent="0.2">
      <c r="B12" s="176" t="s">
        <v>505</v>
      </c>
      <c r="C12" s="121">
        <v>343</v>
      </c>
      <c r="D12" s="121">
        <v>367</v>
      </c>
      <c r="E12" s="121">
        <v>342</v>
      </c>
      <c r="F12" s="121">
        <v>320</v>
      </c>
      <c r="G12" s="121">
        <v>172</v>
      </c>
      <c r="H12" s="121">
        <f t="shared" ref="H12:N12" si="6">H5*H67</f>
        <v>396.15199999999999</v>
      </c>
      <c r="I12" s="121">
        <f t="shared" si="6"/>
        <v>343.84000000000003</v>
      </c>
      <c r="J12" s="186">
        <f t="shared" si="6"/>
        <v>429.17840467283895</v>
      </c>
      <c r="K12" s="121">
        <f t="shared" si="6"/>
        <v>445.29211177328148</v>
      </c>
      <c r="L12" s="121">
        <f t="shared" si="6"/>
        <v>451.97149344988065</v>
      </c>
      <c r="M12" s="121">
        <f t="shared" si="6"/>
        <v>457.62113711800407</v>
      </c>
      <c r="N12" s="187">
        <f t="shared" si="6"/>
        <v>462.19734848918409</v>
      </c>
    </row>
    <row r="13" spans="1:14" x14ac:dyDescent="0.2">
      <c r="B13" s="209" t="s">
        <v>141</v>
      </c>
      <c r="C13" s="171">
        <f>C10-C11-C12</f>
        <v>551</v>
      </c>
      <c r="D13" s="171">
        <f>D10-D11-D12</f>
        <v>579</v>
      </c>
      <c r="E13" s="171">
        <f>E10-E11-E12</f>
        <v>536</v>
      </c>
      <c r="F13" s="171">
        <f>F10-F11-F12</f>
        <v>507</v>
      </c>
      <c r="G13" s="171">
        <f>G10-G11-G12</f>
        <v>245</v>
      </c>
      <c r="H13" s="171">
        <f t="shared" ref="H13:N13" si="7">H10-SUM(H11:H12)</f>
        <v>513.30964800000061</v>
      </c>
      <c r="I13" s="171">
        <f t="shared" si="7"/>
        <v>565.61736589861687</v>
      </c>
      <c r="J13" s="190">
        <f>J10-SUM(J11:J12)</f>
        <v>609.40152970597524</v>
      </c>
      <c r="K13" s="171">
        <f t="shared" si="7"/>
        <v>758.65069185882862</v>
      </c>
      <c r="L13" s="171">
        <f t="shared" si="7"/>
        <v>732.34391780023873</v>
      </c>
      <c r="M13" s="171">
        <f t="shared" si="7"/>
        <v>706.93951820056657</v>
      </c>
      <c r="N13" s="191">
        <f t="shared" si="7"/>
        <v>695.07589453166622</v>
      </c>
    </row>
    <row r="15" spans="1:14" x14ac:dyDescent="0.2">
      <c r="A15" s="716" t="s">
        <v>609</v>
      </c>
      <c r="B15" s="212" t="s">
        <v>487</v>
      </c>
      <c r="C15" s="213"/>
      <c r="D15" s="216"/>
      <c r="E15" s="216"/>
      <c r="F15" s="216"/>
      <c r="G15" s="216"/>
      <c r="H15" s="215"/>
      <c r="I15" s="215"/>
      <c r="J15" s="217"/>
      <c r="K15" s="217"/>
      <c r="L15" s="217"/>
      <c r="M15" s="217"/>
      <c r="N15" s="218"/>
    </row>
    <row r="16" spans="1:14" x14ac:dyDescent="0.2">
      <c r="B16" s="176" t="s">
        <v>488</v>
      </c>
      <c r="D16" s="121">
        <v>190</v>
      </c>
      <c r="E16" s="121">
        <v>237</v>
      </c>
      <c r="F16" s="121">
        <v>351</v>
      </c>
      <c r="G16" s="121">
        <v>322</v>
      </c>
      <c r="J16" s="173"/>
      <c r="K16" s="174"/>
      <c r="L16" s="174"/>
      <c r="M16" s="174"/>
      <c r="N16" s="175"/>
    </row>
    <row r="17" spans="2:14" x14ac:dyDescent="0.2">
      <c r="B17" s="176" t="s">
        <v>489</v>
      </c>
      <c r="D17" s="121">
        <f>553+109</f>
        <v>662</v>
      </c>
      <c r="E17" s="121">
        <f>155+127</f>
        <v>282</v>
      </c>
      <c r="F17" s="121">
        <f>379+122</f>
        <v>501</v>
      </c>
      <c r="G17" s="121">
        <f>504+124</f>
        <v>628</v>
      </c>
      <c r="J17" s="176"/>
      <c r="N17" s="177"/>
    </row>
    <row r="18" spans="2:14" x14ac:dyDescent="0.2">
      <c r="B18" s="176" t="s">
        <v>490</v>
      </c>
      <c r="D18" s="121">
        <v>198</v>
      </c>
      <c r="E18" s="121">
        <v>218</v>
      </c>
      <c r="F18" s="121">
        <v>242</v>
      </c>
      <c r="G18" s="121">
        <v>242</v>
      </c>
      <c r="J18" s="176"/>
      <c r="N18" s="177"/>
    </row>
    <row r="19" spans="2:14" x14ac:dyDescent="0.2">
      <c r="B19" s="176" t="s">
        <v>491</v>
      </c>
      <c r="D19" s="121">
        <v>441</v>
      </c>
      <c r="E19" s="121">
        <v>500</v>
      </c>
      <c r="F19" s="121">
        <v>517</v>
      </c>
      <c r="G19" s="121">
        <v>471</v>
      </c>
      <c r="J19" s="176"/>
      <c r="N19" s="177"/>
    </row>
    <row r="20" spans="2:14" x14ac:dyDescent="0.2">
      <c r="B20" s="176" t="s">
        <v>492</v>
      </c>
      <c r="D20" s="121">
        <f>97+168</f>
        <v>265</v>
      </c>
      <c r="E20" s="121">
        <f>108+199</f>
        <v>307</v>
      </c>
      <c r="F20" s="121">
        <f>167+197</f>
        <v>364</v>
      </c>
      <c r="G20" s="121">
        <f>143+124+215</f>
        <v>482</v>
      </c>
      <c r="J20" s="176"/>
      <c r="N20" s="177"/>
    </row>
    <row r="21" spans="2:14" x14ac:dyDescent="0.2">
      <c r="B21" s="199" t="s">
        <v>493</v>
      </c>
      <c r="C21" s="126"/>
      <c r="D21" s="122">
        <f>SUM(D16:D20)</f>
        <v>1756</v>
      </c>
      <c r="E21" s="122">
        <f>SUM(E16:E20)</f>
        <v>1544</v>
      </c>
      <c r="F21" s="122">
        <f>SUM(F16:F20)</f>
        <v>1975</v>
      </c>
      <c r="G21" s="122">
        <f>SUM(G16:G20)</f>
        <v>2145</v>
      </c>
      <c r="J21" s="176"/>
      <c r="N21" s="177"/>
    </row>
    <row r="22" spans="2:14" x14ac:dyDescent="0.2">
      <c r="B22" s="176" t="s">
        <v>494</v>
      </c>
      <c r="D22" s="121">
        <v>2923</v>
      </c>
      <c r="E22" s="121">
        <v>3163</v>
      </c>
      <c r="F22" s="121">
        <v>3442</v>
      </c>
      <c r="G22" s="121">
        <v>3514</v>
      </c>
      <c r="J22" s="176"/>
      <c r="N22" s="177"/>
    </row>
    <row r="23" spans="2:14" x14ac:dyDescent="0.2">
      <c r="B23" s="176" t="s">
        <v>489</v>
      </c>
      <c r="D23" s="121">
        <v>120</v>
      </c>
      <c r="E23" s="121">
        <v>63</v>
      </c>
      <c r="F23" s="121"/>
      <c r="G23" s="121">
        <v>121</v>
      </c>
      <c r="J23" s="176"/>
      <c r="N23" s="177"/>
    </row>
    <row r="24" spans="2:14" x14ac:dyDescent="0.2">
      <c r="B24" s="176" t="s">
        <v>495</v>
      </c>
      <c r="D24" s="121">
        <v>708</v>
      </c>
      <c r="E24" s="121">
        <v>710</v>
      </c>
      <c r="F24" s="121">
        <v>710</v>
      </c>
      <c r="G24" s="121">
        <v>710</v>
      </c>
      <c r="J24" s="176"/>
      <c r="N24" s="177"/>
    </row>
    <row r="25" spans="2:14" x14ac:dyDescent="0.2">
      <c r="B25" s="176" t="s">
        <v>496</v>
      </c>
      <c r="D25" s="121">
        <v>81</v>
      </c>
      <c r="E25" s="121">
        <v>79</v>
      </c>
      <c r="F25" s="121">
        <v>74</v>
      </c>
      <c r="G25" s="121">
        <v>68</v>
      </c>
      <c r="J25" s="176"/>
      <c r="N25" s="177"/>
    </row>
    <row r="26" spans="2:14" x14ac:dyDescent="0.2">
      <c r="B26" s="176" t="s">
        <v>492</v>
      </c>
      <c r="D26" s="121">
        <f>132+24</f>
        <v>156</v>
      </c>
      <c r="E26" s="121">
        <f>144+38</f>
        <v>182</v>
      </c>
      <c r="F26" s="121">
        <f>100+40</f>
        <v>140</v>
      </c>
      <c r="G26" s="121">
        <f>74+44</f>
        <v>118</v>
      </c>
      <c r="J26" s="176"/>
      <c r="N26" s="177"/>
    </row>
    <row r="27" spans="2:14" x14ac:dyDescent="0.2">
      <c r="B27" s="199" t="s">
        <v>497</v>
      </c>
      <c r="C27" s="126"/>
      <c r="D27" s="122">
        <f>SUM(D22:D26)</f>
        <v>3988</v>
      </c>
      <c r="E27" s="122">
        <f>SUM(E22:E26)</f>
        <v>4197</v>
      </c>
      <c r="F27" s="122">
        <f>SUM(F22:F26)</f>
        <v>4366</v>
      </c>
      <c r="G27" s="122">
        <f>SUM(G22:G26)</f>
        <v>4531</v>
      </c>
      <c r="J27" s="176"/>
      <c r="N27" s="177"/>
    </row>
    <row r="28" spans="2:14" x14ac:dyDescent="0.2">
      <c r="B28" s="188" t="s">
        <v>206</v>
      </c>
      <c r="C28" s="122"/>
      <c r="D28" s="122">
        <f>D27+D21</f>
        <v>5744</v>
      </c>
      <c r="E28" s="122">
        <f>E27+E21</f>
        <v>5741</v>
      </c>
      <c r="F28" s="122">
        <f>F27+F21</f>
        <v>6341</v>
      </c>
      <c r="G28" s="122">
        <f>G27+G21</f>
        <v>6676</v>
      </c>
      <c r="J28" s="176"/>
      <c r="N28" s="177"/>
    </row>
    <row r="29" spans="2:14" x14ac:dyDescent="0.2">
      <c r="B29" s="176"/>
      <c r="J29" s="176"/>
      <c r="N29" s="177"/>
    </row>
    <row r="30" spans="2:14" x14ac:dyDescent="0.2">
      <c r="B30" s="176" t="s">
        <v>498</v>
      </c>
      <c r="D30" s="121">
        <v>1257</v>
      </c>
      <c r="E30" s="121">
        <v>1252</v>
      </c>
      <c r="F30" s="121">
        <v>1341</v>
      </c>
      <c r="G30" s="121">
        <v>1355</v>
      </c>
      <c r="J30" s="176"/>
      <c r="N30" s="177"/>
    </row>
    <row r="31" spans="2:14" x14ac:dyDescent="0.2">
      <c r="B31" s="176" t="s">
        <v>115</v>
      </c>
      <c r="D31" s="121">
        <v>60</v>
      </c>
      <c r="E31" s="121">
        <v>62</v>
      </c>
      <c r="F31" s="121">
        <v>1048</v>
      </c>
      <c r="G31" s="121">
        <v>1081</v>
      </c>
      <c r="J31" s="176"/>
      <c r="N31" s="177"/>
    </row>
    <row r="32" spans="2:14" x14ac:dyDescent="0.2">
      <c r="B32" s="176" t="s">
        <v>499</v>
      </c>
      <c r="D32" s="121">
        <f>548+66</f>
        <v>614</v>
      </c>
      <c r="E32" s="121">
        <f>587+71</f>
        <v>658</v>
      </c>
      <c r="F32" s="121">
        <f>640+88</f>
        <v>728</v>
      </c>
      <c r="G32" s="121">
        <f>690+120</f>
        <v>810</v>
      </c>
      <c r="J32" s="176"/>
      <c r="N32" s="177"/>
    </row>
    <row r="33" spans="1:22" x14ac:dyDescent="0.2">
      <c r="B33" s="188" t="s">
        <v>500</v>
      </c>
      <c r="C33" s="122"/>
      <c r="D33" s="122">
        <f>SUM(D30:D32)</f>
        <v>1931</v>
      </c>
      <c r="E33" s="122">
        <f>SUM(E30:E32)</f>
        <v>1972</v>
      </c>
      <c r="F33" s="122">
        <f>SUM(F30:F32)</f>
        <v>3117</v>
      </c>
      <c r="G33" s="122">
        <f>SUM(G30:G32)</f>
        <v>3246</v>
      </c>
      <c r="J33" s="176"/>
      <c r="N33" s="177"/>
    </row>
    <row r="34" spans="1:22" x14ac:dyDescent="0.2">
      <c r="B34" s="190" t="s">
        <v>220</v>
      </c>
      <c r="C34" s="171"/>
      <c r="D34" s="171">
        <v>3813</v>
      </c>
      <c r="E34" s="171">
        <v>3769</v>
      </c>
      <c r="F34" s="171">
        <v>3224</v>
      </c>
      <c r="G34" s="171">
        <v>3430</v>
      </c>
      <c r="H34" s="179"/>
      <c r="I34" s="179"/>
      <c r="J34" s="178"/>
      <c r="K34" s="179"/>
      <c r="L34" s="179"/>
      <c r="M34" s="179"/>
      <c r="N34" s="180"/>
    </row>
    <row r="35" spans="1:22" x14ac:dyDescent="0.2">
      <c r="D35" s="121"/>
      <c r="E35" s="121"/>
      <c r="F35" s="121"/>
      <c r="G35" s="121"/>
    </row>
    <row r="36" spans="1:22" x14ac:dyDescent="0.2">
      <c r="A36" s="716" t="s">
        <v>609</v>
      </c>
      <c r="B36" s="212" t="s">
        <v>506</v>
      </c>
      <c r="C36" s="213"/>
      <c r="D36" s="216"/>
      <c r="E36" s="216"/>
      <c r="F36" s="216"/>
      <c r="G36" s="216"/>
      <c r="H36" s="215"/>
      <c r="I36" s="215"/>
      <c r="J36" s="217"/>
      <c r="K36" s="217"/>
      <c r="L36" s="217"/>
      <c r="M36" s="217"/>
      <c r="N36" s="218"/>
      <c r="P36" s="716"/>
      <c r="Q36" s="716"/>
      <c r="R36" s="716"/>
      <c r="S36" s="716"/>
      <c r="T36" s="716"/>
      <c r="U36" s="716"/>
      <c r="V36" s="716"/>
    </row>
    <row r="37" spans="1:22" x14ac:dyDescent="0.2">
      <c r="B37" s="176" t="s">
        <v>507</v>
      </c>
      <c r="C37">
        <v>1009</v>
      </c>
      <c r="D37" s="121">
        <v>1088</v>
      </c>
      <c r="E37" s="121">
        <v>1129</v>
      </c>
      <c r="F37" s="121">
        <v>1116</v>
      </c>
      <c r="G37" s="121">
        <v>1138</v>
      </c>
      <c r="J37" s="173"/>
      <c r="K37" s="174"/>
      <c r="L37" s="174"/>
      <c r="M37" s="174"/>
      <c r="N37" s="175"/>
      <c r="P37" s="716"/>
      <c r="Q37" s="716"/>
      <c r="R37" s="716"/>
      <c r="S37" s="716"/>
      <c r="T37" s="716"/>
      <c r="U37" s="716"/>
      <c r="V37" s="716"/>
    </row>
    <row r="38" spans="1:22" x14ac:dyDescent="0.2">
      <c r="B38" s="176" t="s">
        <v>508</v>
      </c>
      <c r="C38">
        <v>-289</v>
      </c>
      <c r="D38" s="121">
        <v>-484</v>
      </c>
      <c r="E38" s="121">
        <v>-436</v>
      </c>
      <c r="F38" s="121">
        <v>-899</v>
      </c>
      <c r="G38" s="121">
        <v>-906</v>
      </c>
      <c r="J38" s="176"/>
      <c r="N38" s="177"/>
      <c r="P38" s="716"/>
      <c r="Q38" s="716"/>
      <c r="R38" s="716"/>
      <c r="S38" s="716"/>
      <c r="T38" s="716"/>
      <c r="U38" s="716"/>
      <c r="V38" s="716"/>
    </row>
    <row r="39" spans="1:22" x14ac:dyDescent="0.2">
      <c r="B39" s="176" t="s">
        <v>509</v>
      </c>
      <c r="C39">
        <v>-517</v>
      </c>
      <c r="D39" s="121">
        <v>-698</v>
      </c>
      <c r="E39" s="121">
        <v>-622</v>
      </c>
      <c r="F39" s="121">
        <v>-113</v>
      </c>
      <c r="G39" s="121">
        <v>-265</v>
      </c>
      <c r="J39" s="176"/>
      <c r="N39" s="177"/>
      <c r="P39" s="716"/>
      <c r="Q39" s="716"/>
      <c r="R39" s="716"/>
      <c r="S39" s="716"/>
      <c r="T39" s="716"/>
      <c r="U39" s="716"/>
      <c r="V39" s="716"/>
    </row>
    <row r="40" spans="1:22" x14ac:dyDescent="0.2">
      <c r="B40" s="199" t="s">
        <v>510</v>
      </c>
      <c r="C40" s="122">
        <f>C37+C38+C39</f>
        <v>203</v>
      </c>
      <c r="D40" s="122">
        <f>D37+D38+D39</f>
        <v>-94</v>
      </c>
      <c r="E40" s="122">
        <f>E37+E38+E39</f>
        <v>71</v>
      </c>
      <c r="F40" s="122">
        <f>F37+F38+F39</f>
        <v>104</v>
      </c>
      <c r="G40" s="122">
        <f>G37+G38+G39</f>
        <v>-33</v>
      </c>
      <c r="J40" s="176"/>
      <c r="N40" s="177"/>
      <c r="P40" s="716"/>
      <c r="Q40" s="716"/>
      <c r="R40" s="716"/>
      <c r="S40" s="716"/>
      <c r="T40" s="716"/>
      <c r="U40" s="716"/>
      <c r="V40" s="716"/>
    </row>
    <row r="41" spans="1:22" x14ac:dyDescent="0.2">
      <c r="B41" s="176"/>
      <c r="J41" s="176"/>
      <c r="N41" s="177"/>
      <c r="P41" s="716"/>
      <c r="Q41" s="716" t="s">
        <v>511</v>
      </c>
      <c r="R41" s="716"/>
      <c r="S41" s="716"/>
      <c r="T41" s="716"/>
      <c r="U41" s="716"/>
      <c r="V41" s="716"/>
    </row>
    <row r="42" spans="1:22" x14ac:dyDescent="0.2">
      <c r="B42" s="176" t="s">
        <v>463</v>
      </c>
      <c r="C42">
        <f>339+198</f>
        <v>537</v>
      </c>
      <c r="D42" s="121">
        <f>-(-447-263)</f>
        <v>710</v>
      </c>
      <c r="E42" s="121">
        <f>516+335</f>
        <v>851</v>
      </c>
      <c r="F42" s="121">
        <f>395+321</f>
        <v>716</v>
      </c>
      <c r="G42" s="121">
        <f>348+298</f>
        <v>646</v>
      </c>
      <c r="J42" s="176"/>
      <c r="N42" s="177"/>
      <c r="P42" s="716"/>
      <c r="Q42" s="716">
        <v>21</v>
      </c>
      <c r="R42" s="716"/>
      <c r="S42" s="716"/>
      <c r="T42" s="716"/>
      <c r="U42" s="716"/>
      <c r="V42" s="716"/>
    </row>
    <row r="43" spans="1:22" x14ac:dyDescent="0.2">
      <c r="B43" s="178" t="s">
        <v>512</v>
      </c>
      <c r="C43" s="179">
        <v>339</v>
      </c>
      <c r="D43" s="210">
        <v>377</v>
      </c>
      <c r="E43" s="210">
        <v>439</v>
      </c>
      <c r="F43" s="210">
        <v>498</v>
      </c>
      <c r="G43" s="210">
        <v>495</v>
      </c>
      <c r="H43" s="179"/>
      <c r="I43" s="179"/>
      <c r="J43" s="178"/>
      <c r="K43" s="179"/>
      <c r="L43" s="179"/>
      <c r="M43" s="179"/>
      <c r="N43" s="180"/>
      <c r="P43" s="716"/>
      <c r="Q43" s="716">
        <v>3</v>
      </c>
      <c r="R43" s="716" t="s">
        <v>513</v>
      </c>
      <c r="S43" s="716"/>
      <c r="T43" s="716"/>
      <c r="U43" s="716"/>
      <c r="V43" s="716"/>
    </row>
    <row r="44" spans="1:22" x14ac:dyDescent="0.2">
      <c r="D44" s="121"/>
      <c r="E44" s="121"/>
      <c r="F44" s="121"/>
      <c r="G44" s="121"/>
      <c r="P44" s="716"/>
      <c r="Q44" s="716" t="s">
        <v>514</v>
      </c>
      <c r="R44" s="716"/>
      <c r="S44" s="716"/>
      <c r="T44" s="716"/>
      <c r="U44" s="716"/>
      <c r="V44" s="716"/>
    </row>
    <row r="45" spans="1:22" x14ac:dyDescent="0.2">
      <c r="P45" s="716"/>
      <c r="Q45" s="716">
        <v>14</v>
      </c>
      <c r="R45" s="716"/>
      <c r="S45" s="716"/>
      <c r="T45" s="716"/>
      <c r="U45" s="716"/>
      <c r="V45" s="716"/>
    </row>
    <row r="46" spans="1:22" x14ac:dyDescent="0.2">
      <c r="D46" s="121"/>
      <c r="E46" s="121"/>
      <c r="F46" s="121"/>
      <c r="G46" s="121"/>
      <c r="H46" s="121"/>
      <c r="P46" s="716"/>
      <c r="Q46" s="716">
        <v>16</v>
      </c>
      <c r="R46" s="716" t="s">
        <v>513</v>
      </c>
      <c r="S46" s="716"/>
      <c r="T46" s="716"/>
      <c r="U46" s="716"/>
      <c r="V46" s="716"/>
    </row>
    <row r="47" spans="1:22" x14ac:dyDescent="0.2">
      <c r="D47" s="121"/>
      <c r="E47" s="121"/>
      <c r="F47" s="121"/>
      <c r="G47" s="121"/>
      <c r="P47" s="716"/>
      <c r="Q47" s="716" t="s">
        <v>516</v>
      </c>
      <c r="R47" s="716"/>
      <c r="S47" s="716"/>
      <c r="T47" s="716"/>
      <c r="U47" s="716"/>
      <c r="V47" s="716"/>
    </row>
    <row r="48" spans="1:22" x14ac:dyDescent="0.2">
      <c r="A48" s="716" t="s">
        <v>609</v>
      </c>
      <c r="B48" s="212" t="s">
        <v>517</v>
      </c>
      <c r="C48" s="213"/>
      <c r="D48" s="214"/>
      <c r="E48" s="214"/>
      <c r="F48" s="214"/>
      <c r="G48" s="214"/>
      <c r="H48" s="215"/>
      <c r="I48" s="215"/>
      <c r="J48" s="217"/>
      <c r="K48" s="217"/>
      <c r="L48" s="217"/>
      <c r="M48" s="217"/>
      <c r="N48" s="218"/>
      <c r="P48" s="716"/>
      <c r="Q48" s="716">
        <v>1</v>
      </c>
      <c r="R48" s="716"/>
      <c r="S48" s="716"/>
      <c r="T48" s="716"/>
      <c r="U48" s="716"/>
      <c r="V48" s="716"/>
    </row>
    <row r="49" spans="2:22" x14ac:dyDescent="0.2">
      <c r="B49" s="690" t="s">
        <v>515</v>
      </c>
      <c r="C49" s="174"/>
      <c r="D49" s="197">
        <f t="shared" ref="D49:N49" si="8">D50-C50</f>
        <v>37</v>
      </c>
      <c r="E49" s="197">
        <f t="shared" si="8"/>
        <v>32</v>
      </c>
      <c r="F49" s="197">
        <f t="shared" si="8"/>
        <v>25</v>
      </c>
      <c r="G49" s="197">
        <f t="shared" si="8"/>
        <v>14</v>
      </c>
      <c r="H49" s="197">
        <f t="shared" si="8"/>
        <v>18</v>
      </c>
      <c r="I49" s="691">
        <f t="shared" si="8"/>
        <v>19</v>
      </c>
      <c r="J49" s="121">
        <f t="shared" si="8"/>
        <v>20.279999999999973</v>
      </c>
      <c r="K49" s="121">
        <f t="shared" si="8"/>
        <v>15.818399999999997</v>
      </c>
      <c r="L49" s="121">
        <f t="shared" si="8"/>
        <v>10.861968000000047</v>
      </c>
      <c r="M49" s="121">
        <f t="shared" si="8"/>
        <v>8.3094055199999275</v>
      </c>
      <c r="N49" s="692">
        <f t="shared" si="8"/>
        <v>5.6226977351999494</v>
      </c>
      <c r="P49" s="716"/>
      <c r="Q49" s="716" t="s">
        <v>518</v>
      </c>
      <c r="R49" s="716"/>
      <c r="S49" s="716"/>
      <c r="T49" s="716"/>
      <c r="U49" s="716"/>
      <c r="V49" s="716"/>
    </row>
    <row r="50" spans="2:22" x14ac:dyDescent="0.2">
      <c r="B50" s="199" t="s">
        <v>519</v>
      </c>
      <c r="C50" s="126">
        <v>362</v>
      </c>
      <c r="D50" s="122">
        <v>399</v>
      </c>
      <c r="E50" s="122">
        <v>431</v>
      </c>
      <c r="F50" s="122">
        <v>456</v>
      </c>
      <c r="G50" s="122">
        <f>SUM(G51:G53)</f>
        <v>470</v>
      </c>
      <c r="H50" s="126">
        <f>SUM(H51:H53)</f>
        <v>488</v>
      </c>
      <c r="I50" s="126">
        <f>SUM(I51:I53)</f>
        <v>507</v>
      </c>
      <c r="J50" s="231">
        <f>I50*(1+J54)</f>
        <v>527.28</v>
      </c>
      <c r="K50" s="122">
        <f>J50*(1+K54)</f>
        <v>543.09839999999997</v>
      </c>
      <c r="L50" s="122">
        <f>K50*(1+L54)</f>
        <v>553.96036800000002</v>
      </c>
      <c r="M50" s="122">
        <f>L50*(1+M54)</f>
        <v>562.26977351999994</v>
      </c>
      <c r="N50" s="189">
        <f>M50*(1+N54)</f>
        <v>567.89247125519989</v>
      </c>
      <c r="P50" s="716"/>
      <c r="Q50" s="716">
        <v>6</v>
      </c>
      <c r="R50" s="716"/>
      <c r="S50" s="716"/>
      <c r="T50" s="716"/>
      <c r="U50" s="716"/>
      <c r="V50" s="716"/>
    </row>
    <row r="51" spans="2:22" x14ac:dyDescent="0.2">
      <c r="B51" s="176" t="s">
        <v>520</v>
      </c>
      <c r="C51">
        <v>347</v>
      </c>
      <c r="D51" s="121">
        <v>381</v>
      </c>
      <c r="E51" s="121">
        <v>412</v>
      </c>
      <c r="F51" s="121">
        <v>436</v>
      </c>
      <c r="G51" s="121">
        <v>448</v>
      </c>
      <c r="H51">
        <v>468</v>
      </c>
      <c r="I51">
        <v>487</v>
      </c>
      <c r="J51" s="176"/>
      <c r="N51" s="177"/>
      <c r="P51" s="716"/>
      <c r="Q51" s="716">
        <v>1</v>
      </c>
      <c r="R51" s="716" t="s">
        <v>521</v>
      </c>
      <c r="S51" s="716"/>
      <c r="T51" s="716"/>
      <c r="U51" s="716"/>
      <c r="V51" s="716"/>
    </row>
    <row r="52" spans="2:22" x14ac:dyDescent="0.2">
      <c r="B52" s="176" t="s">
        <v>522</v>
      </c>
      <c r="C52">
        <v>8</v>
      </c>
      <c r="D52" s="121">
        <v>9</v>
      </c>
      <c r="E52" s="121">
        <v>10</v>
      </c>
      <c r="F52" s="121">
        <v>11</v>
      </c>
      <c r="G52" s="121">
        <v>13</v>
      </c>
      <c r="H52">
        <v>13</v>
      </c>
      <c r="I52">
        <v>13</v>
      </c>
      <c r="J52" s="176"/>
      <c r="N52" s="177"/>
      <c r="P52" s="716"/>
      <c r="Q52" s="716"/>
      <c r="R52" s="716"/>
      <c r="S52" s="716"/>
      <c r="T52" s="716"/>
      <c r="U52" s="716"/>
      <c r="V52" s="716"/>
    </row>
    <row r="53" spans="2:22" x14ac:dyDescent="0.2">
      <c r="B53" s="176" t="s">
        <v>523</v>
      </c>
      <c r="C53">
        <v>7</v>
      </c>
      <c r="D53" s="121">
        <v>9</v>
      </c>
      <c r="E53" s="121">
        <v>9</v>
      </c>
      <c r="F53" s="121">
        <v>9</v>
      </c>
      <c r="G53" s="121">
        <v>9</v>
      </c>
      <c r="H53">
        <v>7</v>
      </c>
      <c r="I53">
        <v>7</v>
      </c>
      <c r="J53" s="176"/>
      <c r="N53" s="177"/>
      <c r="P53" s="716"/>
      <c r="Q53" s="726" t="s">
        <v>524</v>
      </c>
      <c r="R53" s="716"/>
      <c r="S53" s="716"/>
      <c r="T53" s="716"/>
      <c r="U53" s="716"/>
      <c r="V53" s="716"/>
    </row>
    <row r="54" spans="2:22" x14ac:dyDescent="0.2">
      <c r="B54" s="204" t="s">
        <v>317</v>
      </c>
      <c r="D54" s="221">
        <f t="shared" ref="D54:I54" si="9">D50/C50-1</f>
        <v>0.10220994475138112</v>
      </c>
      <c r="E54" s="221">
        <f t="shared" si="9"/>
        <v>8.0200501253132828E-2</v>
      </c>
      <c r="F54" s="221">
        <f t="shared" si="9"/>
        <v>5.8004640371229765E-2</v>
      </c>
      <c r="G54" s="221">
        <f t="shared" si="9"/>
        <v>3.0701754385964897E-2</v>
      </c>
      <c r="H54" s="221">
        <f t="shared" si="9"/>
        <v>3.8297872340425476E-2</v>
      </c>
      <c r="I54" s="222">
        <f t="shared" si="9"/>
        <v>3.8934426229508157E-2</v>
      </c>
      <c r="J54" s="221">
        <v>0.04</v>
      </c>
      <c r="K54" s="221">
        <v>0.03</v>
      </c>
      <c r="L54" s="221">
        <v>0.02</v>
      </c>
      <c r="M54" s="221">
        <v>1.4999999999999999E-2</v>
      </c>
      <c r="N54" s="222">
        <v>0.01</v>
      </c>
      <c r="P54" s="716"/>
      <c r="Q54" s="716"/>
      <c r="R54" s="716"/>
      <c r="S54" s="716"/>
      <c r="T54" s="716"/>
      <c r="U54" s="716"/>
      <c r="V54" s="716"/>
    </row>
    <row r="55" spans="2:22" x14ac:dyDescent="0.2">
      <c r="B55" s="176"/>
      <c r="D55" s="121"/>
      <c r="E55" s="121"/>
      <c r="F55" s="121"/>
      <c r="G55" s="121"/>
      <c r="J55" s="176"/>
      <c r="N55" s="177"/>
      <c r="P55" s="716"/>
      <c r="Q55" s="716"/>
      <c r="R55" s="716"/>
      <c r="S55" s="716"/>
      <c r="T55" s="716"/>
      <c r="U55" s="716"/>
      <c r="V55" s="716"/>
    </row>
    <row r="56" spans="2:22" x14ac:dyDescent="0.2">
      <c r="B56" s="176" t="s">
        <v>525</v>
      </c>
      <c r="C56" s="120">
        <f t="shared" ref="C56:N56" si="10">C5/C50</f>
        <v>35.682320441988949</v>
      </c>
      <c r="D56" s="120">
        <f t="shared" si="10"/>
        <v>35.573934837092729</v>
      </c>
      <c r="E56" s="120">
        <f t="shared" si="10"/>
        <v>35.705336426914151</v>
      </c>
      <c r="F56" s="120">
        <f t="shared" si="10"/>
        <v>34.482456140350877</v>
      </c>
      <c r="G56" s="120">
        <f t="shared" si="10"/>
        <v>34.106382978723403</v>
      </c>
      <c r="H56" s="120">
        <f t="shared" si="10"/>
        <v>35.295081967213115</v>
      </c>
      <c r="I56" s="225">
        <f t="shared" si="10"/>
        <v>33.909270216962526</v>
      </c>
      <c r="J56" s="120">
        <f t="shared" si="10"/>
        <v>33.257168866636327</v>
      </c>
      <c r="K56" s="120">
        <f t="shared" si="10"/>
        <v>32.853562448351909</v>
      </c>
      <c r="L56" s="120">
        <f t="shared" si="10"/>
        <v>32.692515573605078</v>
      </c>
      <c r="M56" s="120">
        <f t="shared" si="10"/>
        <v>32.611992136231663</v>
      </c>
      <c r="N56" s="225">
        <f t="shared" si="10"/>
        <v>32.61199213623167</v>
      </c>
      <c r="P56" s="716"/>
      <c r="Q56" s="716"/>
      <c r="R56" s="716"/>
      <c r="S56" s="716"/>
      <c r="T56" s="716"/>
      <c r="U56" s="716"/>
      <c r="V56" s="716"/>
    </row>
    <row r="57" spans="2:22" x14ac:dyDescent="0.2">
      <c r="B57" s="219" t="s">
        <v>317</v>
      </c>
      <c r="D57" s="220">
        <f t="shared" ref="D57:I57" si="11">D56/C56-1</f>
        <v>-3.0375155974631252E-3</v>
      </c>
      <c r="E57" s="220">
        <f t="shared" si="11"/>
        <v>3.6937603451281387E-3</v>
      </c>
      <c r="F57" s="220">
        <f t="shared" si="11"/>
        <v>-3.4249230197463842E-2</v>
      </c>
      <c r="G57" s="220">
        <f t="shared" si="11"/>
        <v>-1.090621735577002E-2</v>
      </c>
      <c r="H57" s="220">
        <f t="shared" si="11"/>
        <v>3.4852684004377021E-2</v>
      </c>
      <c r="I57" s="220">
        <f t="shared" si="11"/>
        <v>-3.9263593481321801E-2</v>
      </c>
      <c r="J57" s="223">
        <f>J56/I56-1</f>
        <v>-1.9230769230769162E-2</v>
      </c>
      <c r="K57" s="124">
        <f>K56/J56-1</f>
        <v>-1.2135922330096971E-2</v>
      </c>
      <c r="L57" s="124">
        <f>L56/K56-1</f>
        <v>-4.9019607843139301E-3</v>
      </c>
      <c r="M57" s="124">
        <f>M56/L56-1</f>
        <v>-2.4630541871922818E-3</v>
      </c>
      <c r="N57" s="224">
        <f>N56/M56-1</f>
        <v>0</v>
      </c>
      <c r="P57" s="716"/>
      <c r="Q57" s="716"/>
      <c r="R57" s="716"/>
      <c r="S57" s="716"/>
      <c r="T57" s="716"/>
      <c r="U57" s="716"/>
      <c r="V57" s="716"/>
    </row>
    <row r="58" spans="2:22" x14ac:dyDescent="0.2">
      <c r="B58" s="176" t="s">
        <v>526</v>
      </c>
      <c r="C58" s="125"/>
      <c r="D58" s="125">
        <f t="shared" ref="D58:I58" si="12">D5/C5-1</f>
        <v>9.8861964852519968E-2</v>
      </c>
      <c r="E58" s="125">
        <f t="shared" si="12"/>
        <v>8.4190503029448971E-2</v>
      </c>
      <c r="F58" s="125">
        <f t="shared" si="12"/>
        <v>2.1768795893170489E-2</v>
      </c>
      <c r="G58" s="125">
        <f t="shared" si="12"/>
        <v>1.9460697023658158E-2</v>
      </c>
      <c r="H58" s="125">
        <f t="shared" si="12"/>
        <v>7.448533998752338E-2</v>
      </c>
      <c r="I58" s="125">
        <f t="shared" si="12"/>
        <v>-1.8578727357175806E-3</v>
      </c>
      <c r="J58" s="223">
        <v>0.02</v>
      </c>
      <c r="K58" s="124">
        <v>1.7500000000000002E-2</v>
      </c>
      <c r="L58" s="124">
        <v>1.4999999999999999E-2</v>
      </c>
      <c r="M58" s="124">
        <v>1.2500000000000001E-2</v>
      </c>
      <c r="N58" s="224">
        <v>0.01</v>
      </c>
      <c r="P58" s="716"/>
      <c r="Q58" s="716"/>
      <c r="R58" s="716"/>
      <c r="S58" s="716"/>
      <c r="T58" s="716"/>
      <c r="U58" s="716"/>
      <c r="V58" s="716"/>
    </row>
    <row r="59" spans="2:22" x14ac:dyDescent="0.2">
      <c r="B59" s="176"/>
      <c r="C59" s="125"/>
      <c r="D59" s="125"/>
      <c r="E59" s="125"/>
      <c r="F59" s="125"/>
      <c r="G59" s="125"/>
      <c r="J59" s="176"/>
      <c r="N59" s="177"/>
      <c r="P59" s="716"/>
      <c r="Q59" s="716"/>
      <c r="R59" s="716"/>
      <c r="S59" s="716"/>
      <c r="T59" s="716"/>
      <c r="U59" s="716"/>
      <c r="V59" s="716"/>
    </row>
    <row r="60" spans="2:22" x14ac:dyDescent="0.2">
      <c r="B60" s="204" t="s">
        <v>417</v>
      </c>
      <c r="C60" s="125"/>
      <c r="D60" s="125"/>
      <c r="E60" s="125"/>
      <c r="F60" s="125"/>
      <c r="G60" s="125"/>
      <c r="J60" s="176"/>
      <c r="N60" s="177"/>
      <c r="P60" s="716"/>
      <c r="Q60" s="716"/>
      <c r="R60" s="716"/>
      <c r="S60" s="716"/>
      <c r="T60" s="716"/>
      <c r="U60" s="716"/>
      <c r="V60" s="716"/>
    </row>
    <row r="61" spans="2:22" x14ac:dyDescent="0.2">
      <c r="B61" s="176" t="s">
        <v>527</v>
      </c>
      <c r="C61" s="125">
        <f>-C6/C$5</f>
        <v>0.64163505457923664</v>
      </c>
      <c r="D61" s="125">
        <f>-D6/D$5</f>
        <v>0.64463857968155558</v>
      </c>
      <c r="E61" s="125">
        <f>-E6/E$5</f>
        <v>0.64806030281369809</v>
      </c>
      <c r="F61" s="125">
        <f>-F6/F$5</f>
        <v>0.65587636733655563</v>
      </c>
      <c r="G61" s="125">
        <f>-G6/G$5</f>
        <v>0.66331877729257638</v>
      </c>
      <c r="H61" s="125">
        <v>0.67</v>
      </c>
      <c r="I61" s="193">
        <v>0.67500000000000004</v>
      </c>
      <c r="J61" s="125">
        <f>GEOMEAN(C61:I61)</f>
        <v>0.65682390320838779</v>
      </c>
      <c r="K61" s="125">
        <f>GEOMEAN(D61:J61)</f>
        <v>0.65902289354216281</v>
      </c>
      <c r="L61" s="125">
        <f>GEOMEAN(E61:K61)</f>
        <v>0.66110383167292042</v>
      </c>
      <c r="M61" s="125">
        <f>GEOMEAN(F61:L61)</f>
        <v>0.66298850165303214</v>
      </c>
      <c r="N61" s="193">
        <f>GEOMEAN(G61:M61)</f>
        <v>0.66401079710159538</v>
      </c>
      <c r="P61" s="716"/>
      <c r="Q61" s="716"/>
      <c r="R61" s="716"/>
      <c r="S61" s="716"/>
      <c r="T61" s="716"/>
      <c r="U61" s="716"/>
      <c r="V61" s="716"/>
    </row>
    <row r="62" spans="2:22" x14ac:dyDescent="0.2">
      <c r="B62" s="199" t="s">
        <v>164</v>
      </c>
      <c r="C62" s="211">
        <f t="shared" ref="C62:G63" si="13">C7/C$5</f>
        <v>0.35836494542076336</v>
      </c>
      <c r="D62" s="211">
        <f t="shared" si="13"/>
        <v>0.35536142031844442</v>
      </c>
      <c r="E62" s="211">
        <f t="shared" si="13"/>
        <v>0.35193969718630191</v>
      </c>
      <c r="F62" s="211">
        <f t="shared" si="13"/>
        <v>0.34412363266344442</v>
      </c>
      <c r="G62" s="211">
        <f t="shared" si="13"/>
        <v>0.33668122270742357</v>
      </c>
      <c r="H62" s="211">
        <v>0.33500000000000002</v>
      </c>
      <c r="I62" s="211">
        <v>0.33</v>
      </c>
      <c r="J62" s="227">
        <v>0.32500000000000001</v>
      </c>
      <c r="K62" s="211">
        <v>0.32</v>
      </c>
      <c r="L62" s="211">
        <v>0.315</v>
      </c>
      <c r="M62" s="211">
        <v>0.31</v>
      </c>
      <c r="N62" s="228">
        <v>0.3</v>
      </c>
    </row>
    <row r="63" spans="2:22" x14ac:dyDescent="0.2">
      <c r="B63" s="176" t="s">
        <v>475</v>
      </c>
      <c r="C63" s="125">
        <f t="shared" si="13"/>
        <v>0.29000541921498801</v>
      </c>
      <c r="D63" s="125">
        <f t="shared" si="13"/>
        <v>0.28955896857827251</v>
      </c>
      <c r="E63" s="125">
        <f t="shared" si="13"/>
        <v>0.29020729092208719</v>
      </c>
      <c r="F63" s="125">
        <f t="shared" si="13"/>
        <v>0.28351564487407782</v>
      </c>
      <c r="G63" s="125">
        <f t="shared" si="13"/>
        <v>0.30099812850904556</v>
      </c>
      <c r="H63" s="125">
        <v>0.272198</v>
      </c>
      <c r="I63" s="125">
        <v>0.26815</v>
      </c>
      <c r="J63" s="192">
        <v>0.28000000000000003</v>
      </c>
      <c r="K63" s="125">
        <v>0.26955183333552202</v>
      </c>
      <c r="L63" s="125">
        <v>0.26955183333552202</v>
      </c>
      <c r="M63" s="125">
        <v>0.26955183333552202</v>
      </c>
      <c r="N63" s="193">
        <v>0.26955183333552202</v>
      </c>
    </row>
    <row r="64" spans="2:22" x14ac:dyDescent="0.2">
      <c r="B64" s="176" t="s">
        <v>503</v>
      </c>
      <c r="C64" s="125"/>
      <c r="D64" s="125"/>
      <c r="E64" s="125">
        <f>E9/E5</f>
        <v>5.7833517447527455E-3</v>
      </c>
      <c r="F64" s="125">
        <f>F9/F5</f>
        <v>6.1053167133045027E-3</v>
      </c>
      <c r="G64" s="125">
        <f>G9/G5</f>
        <v>7.0492825951341239E-3</v>
      </c>
      <c r="H64" s="125">
        <v>8.0000000000000002E-3</v>
      </c>
      <c r="I64" s="193">
        <v>8.9999999999999993E-3</v>
      </c>
      <c r="J64" s="125">
        <v>0.01</v>
      </c>
      <c r="K64" s="125">
        <v>0.01</v>
      </c>
      <c r="L64" s="125">
        <v>0.01</v>
      </c>
      <c r="M64" s="125">
        <v>1.4999999999999999E-2</v>
      </c>
      <c r="N64" s="193">
        <v>1.4999999999999999E-2</v>
      </c>
    </row>
    <row r="65" spans="2:14" x14ac:dyDescent="0.2">
      <c r="B65" s="199" t="s">
        <v>57</v>
      </c>
      <c r="C65" s="211">
        <f t="shared" ref="C65:D68" si="14">C10/C$5</f>
        <v>6.8359526205775331E-2</v>
      </c>
      <c r="D65" s="211">
        <f t="shared" si="14"/>
        <v>6.5802451740171908E-2</v>
      </c>
      <c r="E65" s="211">
        <f t="shared" ref="E65:N65" si="15">E10/E5</f>
        <v>5.5949054519461951E-2</v>
      </c>
      <c r="F65" s="211">
        <f t="shared" si="15"/>
        <v>5.4502671076062069E-2</v>
      </c>
      <c r="G65" s="211">
        <f t="shared" si="15"/>
        <v>2.8633811603243919E-2</v>
      </c>
      <c r="H65" s="211">
        <f t="shared" si="15"/>
        <v>5.7802000000000041E-2</v>
      </c>
      <c r="I65" s="228">
        <f t="shared" si="15"/>
        <v>5.6849999999999963E-2</v>
      </c>
      <c r="J65" s="211">
        <f t="shared" si="15"/>
        <v>6.3176096791612166E-2</v>
      </c>
      <c r="K65" s="211">
        <f t="shared" si="15"/>
        <v>7.1425273122315128E-2</v>
      </c>
      <c r="L65" s="211">
        <f t="shared" si="15"/>
        <v>6.9344334991557482E-2</v>
      </c>
      <c r="M65" s="211">
        <f t="shared" si="15"/>
        <v>6.7459665011445846E-2</v>
      </c>
      <c r="N65" s="228">
        <f t="shared" si="15"/>
        <v>6.6437369562882584E-2</v>
      </c>
    </row>
    <row r="66" spans="2:14" x14ac:dyDescent="0.2">
      <c r="B66" s="176" t="s">
        <v>528</v>
      </c>
      <c r="C66" s="125">
        <f t="shared" si="14"/>
        <v>-8.515909266857629E-4</v>
      </c>
      <c r="D66" s="125">
        <f t="shared" si="14"/>
        <v>-8.4542764548400733E-4</v>
      </c>
      <c r="E66" s="125">
        <f>E11/E6</f>
        <v>1.7046024265516895E-3</v>
      </c>
      <c r="F66" s="125">
        <f>F11/F6</f>
        <v>-2.9089498690972561E-3</v>
      </c>
      <c r="G66" s="125">
        <v>-3.9499670836076368E-3</v>
      </c>
      <c r="H66" s="125">
        <v>-5.0000000000000001E-3</v>
      </c>
      <c r="I66" s="125">
        <v>-3.9499670836076368E-3</v>
      </c>
      <c r="J66" s="192">
        <v>-3.9499670836076368E-3</v>
      </c>
      <c r="K66" s="125">
        <v>-3.9499670836076368E-3</v>
      </c>
      <c r="L66" s="125">
        <v>-3.9499670836076368E-3</v>
      </c>
      <c r="M66" s="125">
        <v>-3.9499670836076368E-3</v>
      </c>
      <c r="N66" s="193">
        <v>-3.9499670836076368E-3</v>
      </c>
    </row>
    <row r="67" spans="2:14" x14ac:dyDescent="0.2">
      <c r="B67" s="176" t="s">
        <v>529</v>
      </c>
      <c r="C67" s="125">
        <f t="shared" si="14"/>
        <v>2.6554153441201517E-2</v>
      </c>
      <c r="D67" s="125">
        <f t="shared" si="14"/>
        <v>2.5855995491052556E-2</v>
      </c>
      <c r="E67" s="125">
        <f>E12/E7</f>
        <v>6.3146233382570166E-2</v>
      </c>
      <c r="F67" s="125">
        <f>F12/F7</f>
        <v>5.9138791350951764E-2</v>
      </c>
      <c r="G67" s="125">
        <f>G12/G7</f>
        <v>3.1869557161385953E-2</v>
      </c>
      <c r="H67" s="125">
        <v>2.3E-2</v>
      </c>
      <c r="I67" s="125">
        <v>0.02</v>
      </c>
      <c r="J67" s="192">
        <f>GEOMEAN(G67:I67)</f>
        <v>2.4474356784325069E-2</v>
      </c>
      <c r="K67" s="125">
        <v>2.4956519053795315E-2</v>
      </c>
      <c r="L67" s="125">
        <v>2.4956519053795315E-2</v>
      </c>
      <c r="M67" s="125">
        <v>2.4956519053795315E-2</v>
      </c>
      <c r="N67" s="193">
        <v>2.4956519053795315E-2</v>
      </c>
    </row>
    <row r="68" spans="2:14" x14ac:dyDescent="0.2">
      <c r="B68" s="199" t="s">
        <v>530</v>
      </c>
      <c r="C68" s="211">
        <f t="shared" si="14"/>
        <v>4.2656963691259583E-2</v>
      </c>
      <c r="D68" s="211">
        <f t="shared" si="14"/>
        <v>4.0791883894603351E-2</v>
      </c>
      <c r="E68" s="211">
        <f t="shared" ref="E68:N68" si="16">E13/E5</f>
        <v>3.4830073429072711E-2</v>
      </c>
      <c r="F68" s="211">
        <f t="shared" si="16"/>
        <v>3.2243703892139403E-2</v>
      </c>
      <c r="G68" s="211">
        <f t="shared" si="16"/>
        <v>1.5283842794759825E-2</v>
      </c>
      <c r="H68" s="211">
        <f t="shared" si="16"/>
        <v>2.9802000000000037E-2</v>
      </c>
      <c r="I68" s="228">
        <f t="shared" si="16"/>
        <v>3.2900032916392326E-2</v>
      </c>
      <c r="J68" s="211">
        <f t="shared" si="16"/>
        <v>3.475177292367946E-2</v>
      </c>
      <c r="K68" s="211">
        <f t="shared" si="16"/>
        <v>4.2518786984912169E-2</v>
      </c>
      <c r="L68" s="211">
        <f t="shared" si="16"/>
        <v>4.043784885415453E-2</v>
      </c>
      <c r="M68" s="211">
        <f t="shared" si="16"/>
        <v>3.8553178874042887E-2</v>
      </c>
      <c r="N68" s="228">
        <f t="shared" si="16"/>
        <v>3.7530883425479625E-2</v>
      </c>
    </row>
    <row r="69" spans="2:14" x14ac:dyDescent="0.2">
      <c r="B69" s="178"/>
      <c r="C69" s="179"/>
      <c r="D69" s="179"/>
      <c r="E69" s="179"/>
      <c r="F69" s="179"/>
      <c r="G69" s="179"/>
      <c r="H69" s="179"/>
      <c r="I69" s="179"/>
      <c r="J69" s="178"/>
      <c r="K69" s="179"/>
      <c r="L69" s="179"/>
      <c r="M69" s="179"/>
      <c r="N69" s="180"/>
    </row>
  </sheetData>
  <hyperlinks>
    <hyperlink ref="Q53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1"/>
  <sheetViews>
    <sheetView workbookViewId="0">
      <selection activeCell="L37" sqref="L37"/>
    </sheetView>
  </sheetViews>
  <sheetFormatPr baseColWidth="10" defaultColWidth="9.1640625" defaultRowHeight="15" x14ac:dyDescent="0.2"/>
  <cols>
    <col min="1" max="4" width="9.1640625" style="145"/>
    <col min="5" max="5" width="14.6640625" style="145" customWidth="1"/>
    <col min="6" max="10" width="9.1640625" style="145"/>
    <col min="11" max="11" width="13.33203125" style="145" customWidth="1"/>
    <col min="12" max="16384" width="9.1640625" style="145"/>
  </cols>
  <sheetData>
    <row r="1" spans="1:11" x14ac:dyDescent="0.2">
      <c r="A1" s="145" t="s">
        <v>531</v>
      </c>
    </row>
    <row r="3" spans="1:11" x14ac:dyDescent="0.2">
      <c r="A3" s="145" t="s">
        <v>532</v>
      </c>
    </row>
    <row r="5" spans="1:11" x14ac:dyDescent="0.2">
      <c r="A5" s="147" t="s">
        <v>533</v>
      </c>
      <c r="B5" s="148"/>
      <c r="C5" s="148"/>
      <c r="D5" s="148"/>
      <c r="E5" s="149"/>
      <c r="G5" s="147" t="s">
        <v>534</v>
      </c>
      <c r="H5" s="148"/>
      <c r="I5" s="148"/>
      <c r="J5" s="148"/>
      <c r="K5" s="149"/>
    </row>
    <row r="6" spans="1:11" x14ac:dyDescent="0.2">
      <c r="A6" s="150" t="s">
        <v>535</v>
      </c>
      <c r="E6" s="151"/>
      <c r="G6" s="150" t="s">
        <v>536</v>
      </c>
      <c r="K6" s="151"/>
    </row>
    <row r="7" spans="1:11" x14ac:dyDescent="0.2">
      <c r="A7" s="150" t="s">
        <v>537</v>
      </c>
      <c r="E7" s="151"/>
      <c r="G7" s="150" t="s">
        <v>538</v>
      </c>
      <c r="K7" s="151"/>
    </row>
    <row r="8" spans="1:11" x14ac:dyDescent="0.2">
      <c r="A8" s="152" t="s">
        <v>539</v>
      </c>
      <c r="B8" s="153"/>
      <c r="C8" s="153"/>
      <c r="D8" s="153"/>
      <c r="E8" s="154"/>
      <c r="G8" s="152" t="s">
        <v>540</v>
      </c>
      <c r="H8" s="153"/>
      <c r="I8" s="153"/>
      <c r="J8" s="153"/>
      <c r="K8" s="154"/>
    </row>
    <row r="10" spans="1:11" x14ac:dyDescent="0.2">
      <c r="A10" s="145" t="s">
        <v>541</v>
      </c>
    </row>
    <row r="11" spans="1:11" x14ac:dyDescent="0.2">
      <c r="A11" s="145" t="s">
        <v>542</v>
      </c>
    </row>
    <row r="13" spans="1:11" x14ac:dyDescent="0.2">
      <c r="A13" s="145" t="s">
        <v>543</v>
      </c>
    </row>
    <row r="41" spans="1:1" x14ac:dyDescent="0.2">
      <c r="A41" s="145" t="s">
        <v>544</v>
      </c>
    </row>
    <row r="42" spans="1:1" x14ac:dyDescent="0.2">
      <c r="A42" s="155" t="s">
        <v>545</v>
      </c>
    </row>
    <row r="43" spans="1:1" x14ac:dyDescent="0.2">
      <c r="A43" s="145" t="s">
        <v>546</v>
      </c>
    </row>
    <row r="45" spans="1:1" x14ac:dyDescent="0.2">
      <c r="A45" s="145" t="s">
        <v>547</v>
      </c>
    </row>
    <row r="46" spans="1:1" x14ac:dyDescent="0.2">
      <c r="A46" s="145" t="s">
        <v>548</v>
      </c>
    </row>
    <row r="47" spans="1:1" x14ac:dyDescent="0.2">
      <c r="A47" s="146" t="s">
        <v>549</v>
      </c>
    </row>
    <row r="48" spans="1:1" x14ac:dyDescent="0.2">
      <c r="A48" s="146" t="s">
        <v>550</v>
      </c>
    </row>
    <row r="49" spans="1:1" x14ac:dyDescent="0.2">
      <c r="A49" s="146" t="s">
        <v>551</v>
      </c>
    </row>
    <row r="50" spans="1:1" x14ac:dyDescent="0.2">
      <c r="A50" s="146" t="s">
        <v>552</v>
      </c>
    </row>
    <row r="52" spans="1:1" x14ac:dyDescent="0.2">
      <c r="A52" s="155" t="s">
        <v>553</v>
      </c>
    </row>
    <row r="53" spans="1:1" x14ac:dyDescent="0.2">
      <c r="A53" s="145" t="s">
        <v>554</v>
      </c>
    </row>
    <row r="54" spans="1:1" x14ac:dyDescent="0.2">
      <c r="A54" s="145" t="s">
        <v>555</v>
      </c>
    </row>
    <row r="56" spans="1:1" x14ac:dyDescent="0.2">
      <c r="A56" s="155" t="s">
        <v>556</v>
      </c>
    </row>
    <row r="57" spans="1:1" x14ac:dyDescent="0.2">
      <c r="A57" s="145" t="s">
        <v>557</v>
      </c>
    </row>
    <row r="58" spans="1:1" x14ac:dyDescent="0.2">
      <c r="A58" s="145" t="s">
        <v>558</v>
      </c>
    </row>
    <row r="59" spans="1:1" x14ac:dyDescent="0.2">
      <c r="A59" s="146" t="s">
        <v>559</v>
      </c>
    </row>
    <row r="60" spans="1:1" x14ac:dyDescent="0.2">
      <c r="A60" s="146" t="s">
        <v>560</v>
      </c>
    </row>
    <row r="61" spans="1:1" x14ac:dyDescent="0.2">
      <c r="A61" s="145" t="s">
        <v>561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55"/>
  <sheetViews>
    <sheetView topLeftCell="A28" workbookViewId="0">
      <selection activeCell="B28" sqref="B28"/>
    </sheetView>
  </sheetViews>
  <sheetFormatPr baseColWidth="10" defaultColWidth="8.83203125" defaultRowHeight="15" x14ac:dyDescent="0.2"/>
  <cols>
    <col min="2" max="2" width="4.1640625" customWidth="1"/>
    <col min="3" max="3" width="13.83203125" customWidth="1"/>
    <col min="4" max="11" width="17.33203125" customWidth="1"/>
  </cols>
  <sheetData>
    <row r="2" spans="2:10" x14ac:dyDescent="0.2">
      <c r="B2" t="s">
        <v>562</v>
      </c>
    </row>
    <row r="3" spans="2:10" x14ac:dyDescent="0.2">
      <c r="C3" t="s">
        <v>563</v>
      </c>
      <c r="D3" t="s">
        <v>564</v>
      </c>
      <c r="E3" t="s">
        <v>565</v>
      </c>
    </row>
    <row r="4" spans="2:10" x14ac:dyDescent="0.2">
      <c r="C4">
        <v>2017</v>
      </c>
      <c r="D4" t="s">
        <v>566</v>
      </c>
      <c r="E4" t="s">
        <v>567</v>
      </c>
      <c r="F4" t="s">
        <v>568</v>
      </c>
    </row>
    <row r="5" spans="2:10" x14ac:dyDescent="0.2">
      <c r="C5">
        <v>2017</v>
      </c>
      <c r="D5" t="s">
        <v>363</v>
      </c>
      <c r="E5" t="s">
        <v>569</v>
      </c>
      <c r="F5" t="s">
        <v>570</v>
      </c>
    </row>
    <row r="6" spans="2:10" x14ac:dyDescent="0.2">
      <c r="C6">
        <v>2018</v>
      </c>
      <c r="D6" t="s">
        <v>571</v>
      </c>
      <c r="E6" t="s">
        <v>572</v>
      </c>
      <c r="F6" t="s">
        <v>573</v>
      </c>
    </row>
    <row r="7" spans="2:10" x14ac:dyDescent="0.2">
      <c r="C7">
        <v>2018</v>
      </c>
      <c r="D7" t="s">
        <v>574</v>
      </c>
      <c r="E7" t="s">
        <v>575</v>
      </c>
      <c r="F7" t="s">
        <v>576</v>
      </c>
    </row>
    <row r="8" spans="2:10" x14ac:dyDescent="0.2">
      <c r="D8" t="s">
        <v>492</v>
      </c>
      <c r="E8" t="s">
        <v>577</v>
      </c>
    </row>
    <row r="10" spans="2:10" x14ac:dyDescent="0.2">
      <c r="B10" t="s">
        <v>496</v>
      </c>
      <c r="E10">
        <v>2017</v>
      </c>
      <c r="F10">
        <v>2018</v>
      </c>
      <c r="G10">
        <v>2019</v>
      </c>
      <c r="I10" t="s">
        <v>578</v>
      </c>
    </row>
    <row r="11" spans="2:10" x14ac:dyDescent="0.2">
      <c r="C11" t="s">
        <v>579</v>
      </c>
      <c r="E11" s="121">
        <v>1987</v>
      </c>
      <c r="F11" s="121">
        <v>186</v>
      </c>
      <c r="G11" s="121">
        <v>8</v>
      </c>
      <c r="I11">
        <v>2020</v>
      </c>
      <c r="J11" s="121">
        <v>486</v>
      </c>
    </row>
    <row r="12" spans="2:10" x14ac:dyDescent="0.2">
      <c r="C12" t="s">
        <v>580</v>
      </c>
      <c r="E12" s="121">
        <v>440</v>
      </c>
      <c r="F12" s="121">
        <v>13</v>
      </c>
      <c r="G12" s="121">
        <v>0</v>
      </c>
      <c r="I12">
        <v>2021</v>
      </c>
      <c r="J12" s="121">
        <v>424</v>
      </c>
    </row>
    <row r="13" spans="2:10" x14ac:dyDescent="0.2">
      <c r="C13" t="s">
        <v>581</v>
      </c>
      <c r="E13" s="121">
        <v>166</v>
      </c>
      <c r="F13" s="121">
        <v>285</v>
      </c>
      <c r="G13" s="121">
        <v>139</v>
      </c>
      <c r="I13">
        <v>2022</v>
      </c>
      <c r="J13" s="121">
        <v>391</v>
      </c>
    </row>
    <row r="14" spans="2:10" x14ac:dyDescent="0.2">
      <c r="C14" t="s">
        <v>582</v>
      </c>
      <c r="E14" s="121">
        <v>54</v>
      </c>
      <c r="F14" s="121">
        <v>193</v>
      </c>
      <c r="G14" s="121">
        <v>14</v>
      </c>
      <c r="I14">
        <v>2023</v>
      </c>
      <c r="J14" s="121">
        <v>334</v>
      </c>
    </row>
    <row r="15" spans="2:10" x14ac:dyDescent="0.2">
      <c r="E15" s="122">
        <f>SUM(E11:E14)</f>
        <v>2647</v>
      </c>
      <c r="F15" s="122">
        <f>SUM(F11:F14)</f>
        <v>677</v>
      </c>
      <c r="G15" s="122">
        <f>SUM(G11:G14)</f>
        <v>161</v>
      </c>
      <c r="I15">
        <v>2024</v>
      </c>
      <c r="J15" s="121">
        <v>270</v>
      </c>
    </row>
    <row r="16" spans="2:10" x14ac:dyDescent="0.2">
      <c r="I16" s="123" t="s">
        <v>583</v>
      </c>
      <c r="J16" s="121">
        <v>2116</v>
      </c>
    </row>
    <row r="17" spans="2:11" x14ac:dyDescent="0.2">
      <c r="B17" t="s">
        <v>495</v>
      </c>
    </row>
    <row r="18" spans="2:11" x14ac:dyDescent="0.2">
      <c r="C18" t="s">
        <v>309</v>
      </c>
      <c r="E18" s="121">
        <v>11165</v>
      </c>
      <c r="F18" s="121">
        <v>12191</v>
      </c>
      <c r="G18" s="121">
        <v>12264</v>
      </c>
    </row>
    <row r="19" spans="2:11" x14ac:dyDescent="0.2">
      <c r="C19" t="s">
        <v>584</v>
      </c>
      <c r="E19" s="121">
        <v>1108</v>
      </c>
      <c r="F19" s="121">
        <v>1270</v>
      </c>
      <c r="G19" s="121">
        <v>1300</v>
      </c>
    </row>
    <row r="20" spans="2:11" x14ac:dyDescent="0.2">
      <c r="C20" t="s">
        <v>51</v>
      </c>
      <c r="E20" s="121">
        <v>1077</v>
      </c>
      <c r="F20" s="121">
        <v>1087</v>
      </c>
      <c r="G20" s="121">
        <v>1190</v>
      </c>
    </row>
    <row r="21" spans="2:11" x14ac:dyDescent="0.2">
      <c r="E21" s="122">
        <f>SUM(E18:E20)</f>
        <v>13350</v>
      </c>
      <c r="F21" s="122">
        <f>SUM(F18:F20)</f>
        <v>14548</v>
      </c>
      <c r="G21" s="122">
        <f>SUM(G18:G20)</f>
        <v>14754</v>
      </c>
    </row>
    <row r="23" spans="2:11" x14ac:dyDescent="0.2">
      <c r="B23" t="s">
        <v>115</v>
      </c>
    </row>
    <row r="24" spans="2:11" x14ac:dyDescent="0.2">
      <c r="C24" t="s">
        <v>585</v>
      </c>
      <c r="D24" t="s">
        <v>565</v>
      </c>
      <c r="E24" t="s">
        <v>586</v>
      </c>
      <c r="F24" t="s">
        <v>587</v>
      </c>
      <c r="G24" t="s">
        <v>588</v>
      </c>
      <c r="H24" t="s">
        <v>586</v>
      </c>
      <c r="J24" s="119"/>
    </row>
    <row r="25" spans="2:11" x14ac:dyDescent="0.2">
      <c r="C25" s="124">
        <v>2.5999999999999999E-2</v>
      </c>
      <c r="D25" s="121">
        <v>0</v>
      </c>
      <c r="E25" s="127">
        <v>43804</v>
      </c>
      <c r="F25" s="119">
        <v>0</v>
      </c>
      <c r="G25" s="125">
        <f>D25/$D$41</f>
        <v>0</v>
      </c>
      <c r="H25" s="119">
        <f>G25*F25</f>
        <v>0</v>
      </c>
      <c r="I25" s="124"/>
      <c r="K25" s="121"/>
    </row>
    <row r="26" spans="2:11" x14ac:dyDescent="0.2">
      <c r="C26" s="124">
        <v>1.9E-2</v>
      </c>
      <c r="D26" s="121">
        <v>1000</v>
      </c>
      <c r="E26" s="127">
        <v>44064</v>
      </c>
      <c r="F26" s="120">
        <f ca="1">(E26-TODAY())/365</f>
        <v>-4.065753424657534</v>
      </c>
      <c r="G26" s="125">
        <f t="shared" ref="G26:G38" si="0">D26/$D$41</f>
        <v>4.0290088638195005E-2</v>
      </c>
      <c r="H26" s="119">
        <f t="shared" ref="H26:H38" ca="1" si="1">G26*F26</f>
        <v>-0.16380956586049694</v>
      </c>
      <c r="I26" s="124"/>
      <c r="K26" s="121"/>
    </row>
    <row r="27" spans="2:11" x14ac:dyDescent="0.2">
      <c r="C27" s="124">
        <v>3.3000000000000002E-2</v>
      </c>
      <c r="D27" s="121">
        <v>1000</v>
      </c>
      <c r="E27" s="127">
        <v>44535</v>
      </c>
      <c r="F27" s="120">
        <f t="shared" ref="F27:F38" ca="1" si="2">(E27-TODAY())/365</f>
        <v>-2.7753424657534245</v>
      </c>
      <c r="G27" s="125">
        <f t="shared" si="0"/>
        <v>4.0290088638195005E-2</v>
      </c>
      <c r="H27" s="119">
        <f ca="1">G27*F27</f>
        <v>-0.11181879394655216</v>
      </c>
    </row>
    <row r="28" spans="2:11" x14ac:dyDescent="0.2">
      <c r="C28" s="124">
        <v>2.5000000000000001E-2</v>
      </c>
      <c r="D28" s="121">
        <v>1250</v>
      </c>
      <c r="E28" s="127">
        <v>44894</v>
      </c>
      <c r="F28" s="120">
        <f t="shared" ca="1" si="2"/>
        <v>-1.7917808219178082</v>
      </c>
      <c r="G28" s="125">
        <f t="shared" si="0"/>
        <v>5.0362610797743755E-2</v>
      </c>
      <c r="H28" s="119">
        <f t="shared" ca="1" si="1"/>
        <v>-9.0238760169107993E-2</v>
      </c>
    </row>
    <row r="29" spans="2:11" x14ac:dyDescent="0.2">
      <c r="C29" s="124">
        <v>2.4E-2</v>
      </c>
      <c r="D29" s="121">
        <v>1000</v>
      </c>
      <c r="E29" s="127">
        <v>44979</v>
      </c>
      <c r="F29" s="120">
        <f t="shared" ca="1" si="2"/>
        <v>-1.558904109589041</v>
      </c>
      <c r="G29" s="125">
        <f t="shared" si="0"/>
        <v>4.0290088638195005E-2</v>
      </c>
      <c r="H29" s="119">
        <f t="shared" ca="1" si="1"/>
        <v>-6.2808384753788929E-2</v>
      </c>
    </row>
    <row r="30" spans="2:11" x14ac:dyDescent="0.2">
      <c r="C30" s="124">
        <v>2.8000000000000001E-2</v>
      </c>
      <c r="D30" s="121">
        <v>2000</v>
      </c>
      <c r="E30" s="127">
        <v>45526</v>
      </c>
      <c r="F30" s="120">
        <f t="shared" ca="1" si="2"/>
        <v>-6.0273972602739728E-2</v>
      </c>
      <c r="G30" s="125">
        <f t="shared" si="0"/>
        <v>8.0580177276390011E-2</v>
      </c>
      <c r="H30" s="119">
        <f t="shared" ca="1" si="1"/>
        <v>-4.8568873974810418E-3</v>
      </c>
    </row>
    <row r="31" spans="2:11" x14ac:dyDescent="0.2">
      <c r="C31" s="124">
        <v>3.7999999999999999E-2</v>
      </c>
      <c r="D31" s="121">
        <v>1250</v>
      </c>
      <c r="E31" s="127">
        <v>45631</v>
      </c>
      <c r="F31" s="120">
        <f t="shared" ca="1" si="2"/>
        <v>0.22739726027397261</v>
      </c>
      <c r="G31" s="125">
        <f t="shared" si="0"/>
        <v>5.0362610797743755E-2</v>
      </c>
      <c r="H31" s="119">
        <f t="shared" ca="1" si="1"/>
        <v>1.145231971565132E-2</v>
      </c>
    </row>
    <row r="32" spans="2:11" x14ac:dyDescent="0.2">
      <c r="C32" s="124">
        <v>5.1999999999999998E-2</v>
      </c>
      <c r="D32" s="121">
        <v>1000</v>
      </c>
      <c r="E32" s="127">
        <v>45996</v>
      </c>
      <c r="F32" s="120">
        <f t="shared" ca="1" si="2"/>
        <v>1.2273972602739727</v>
      </c>
      <c r="G32" s="125">
        <f t="shared" si="0"/>
        <v>4.0290088638195005E-2</v>
      </c>
      <c r="H32" s="119">
        <f t="shared" ca="1" si="1"/>
        <v>4.9451944410716063E-2</v>
      </c>
    </row>
    <row r="33" spans="2:11" x14ac:dyDescent="0.2">
      <c r="C33" s="124">
        <v>3.15E-2</v>
      </c>
      <c r="D33" s="121">
        <v>3500</v>
      </c>
      <c r="E33" s="127">
        <v>46621</v>
      </c>
      <c r="F33" s="120">
        <f t="shared" ca="1" si="2"/>
        <v>2.9397260273972603</v>
      </c>
      <c r="G33" s="125">
        <f t="shared" si="0"/>
        <v>0.14101531023368252</v>
      </c>
      <c r="H33" s="119">
        <f t="shared" ca="1" si="1"/>
        <v>0.41454637775545577</v>
      </c>
    </row>
    <row r="34" spans="2:11" x14ac:dyDescent="0.2">
      <c r="C34" s="124">
        <v>4.8000000000000001E-2</v>
      </c>
      <c r="D34" s="121">
        <v>1250</v>
      </c>
      <c r="E34" s="127">
        <v>49283</v>
      </c>
      <c r="F34" s="120">
        <f t="shared" ca="1" si="2"/>
        <v>10.232876712328768</v>
      </c>
      <c r="G34" s="125">
        <f t="shared" si="0"/>
        <v>5.0362610797743755E-2</v>
      </c>
      <c r="H34" s="119">
        <f t="shared" ca="1" si="1"/>
        <v>0.51535438720430937</v>
      </c>
    </row>
    <row r="35" spans="2:11" x14ac:dyDescent="0.2">
      <c r="C35" s="124">
        <v>3.875E-2</v>
      </c>
      <c r="D35" s="121">
        <v>2750</v>
      </c>
      <c r="E35" s="127">
        <v>50274</v>
      </c>
      <c r="F35" s="120">
        <f t="shared" ca="1" si="2"/>
        <v>12.947945205479453</v>
      </c>
      <c r="G35" s="125">
        <f t="shared" si="0"/>
        <v>0.11079774375503626</v>
      </c>
      <c r="H35" s="119">
        <f t="shared" ca="1" si="1"/>
        <v>1.4346031150309628</v>
      </c>
      <c r="I35" s="124"/>
    </row>
    <row r="36" spans="2:11" x14ac:dyDescent="0.2">
      <c r="C36" s="124">
        <v>4.9500000000000002E-2</v>
      </c>
      <c r="D36" s="121">
        <v>1500</v>
      </c>
      <c r="E36" s="127">
        <v>52936</v>
      </c>
      <c r="F36" s="120">
        <f t="shared" ca="1" si="2"/>
        <v>20.241095890410961</v>
      </c>
      <c r="G36" s="125">
        <f t="shared" si="0"/>
        <v>6.0435132957292505E-2</v>
      </c>
      <c r="H36" s="119">
        <f t="shared" ca="1" si="1"/>
        <v>1.2232733213382934</v>
      </c>
      <c r="I36" s="124"/>
    </row>
    <row r="37" spans="2:11" x14ac:dyDescent="0.2">
      <c r="C37" s="124">
        <v>4.0500000000000001E-2</v>
      </c>
      <c r="D37" s="121">
        <v>3500</v>
      </c>
      <c r="E37" s="127">
        <v>53926</v>
      </c>
      <c r="F37" s="120">
        <f t="shared" ca="1" si="2"/>
        <v>22.953424657534246</v>
      </c>
      <c r="G37" s="125">
        <f t="shared" si="0"/>
        <v>0.14101531023368252</v>
      </c>
      <c r="H37" s="119">
        <f t="shared" ca="1" si="1"/>
        <v>3.2367842990076499</v>
      </c>
      <c r="I37" s="124"/>
    </row>
    <row r="38" spans="2:11" x14ac:dyDescent="0.2">
      <c r="C38" s="124">
        <v>4.2500000000000003E-2</v>
      </c>
      <c r="D38" s="121">
        <v>2250</v>
      </c>
      <c r="E38" s="127">
        <v>57579</v>
      </c>
      <c r="F38" s="120">
        <f t="shared" ca="1" si="2"/>
        <v>32.961643835616435</v>
      </c>
      <c r="G38" s="125">
        <f t="shared" si="0"/>
        <v>9.0652699435938761E-2</v>
      </c>
      <c r="H38" s="119">
        <f t="shared" ca="1" si="1"/>
        <v>2.9880619915446003</v>
      </c>
      <c r="I38" s="124"/>
    </row>
    <row r="39" spans="2:11" x14ac:dyDescent="0.2">
      <c r="B39" t="s">
        <v>589</v>
      </c>
      <c r="D39" s="121">
        <v>740</v>
      </c>
      <c r="F39" s="120"/>
      <c r="H39" s="119">
        <f ca="1">SUM(H25:H38)</f>
        <v>9.439995363880211</v>
      </c>
      <c r="I39" s="124"/>
    </row>
    <row r="40" spans="2:11" x14ac:dyDescent="0.2">
      <c r="B40" t="s">
        <v>590</v>
      </c>
      <c r="D40" s="121">
        <v>830</v>
      </c>
    </row>
    <row r="41" spans="2:11" x14ac:dyDescent="0.2">
      <c r="B41" s="126" t="s">
        <v>591</v>
      </c>
      <c r="D41" s="122">
        <f>SUM(D25:D40)</f>
        <v>24820</v>
      </c>
      <c r="F41" s="127"/>
    </row>
    <row r="43" spans="2:11" x14ac:dyDescent="0.2">
      <c r="B43" s="126" t="s">
        <v>592</v>
      </c>
      <c r="D43" s="128">
        <f ca="1">TODAY()+(H39*365)</f>
        <v>48993.598307816275</v>
      </c>
      <c r="F43">
        <f ca="1">_xlfn.DAYS(D43,TODAY())</f>
        <v>3445</v>
      </c>
    </row>
    <row r="44" spans="2:11" x14ac:dyDescent="0.2">
      <c r="B44" s="126" t="s">
        <v>593</v>
      </c>
      <c r="D44" s="129">
        <f>SUMPRODUCT(C25:C38,D25:D38)/D41</f>
        <v>3.4294419822723611E-2</v>
      </c>
      <c r="F44">
        <f ca="1">F43/365</f>
        <v>9.4383561643835616</v>
      </c>
    </row>
    <row r="45" spans="2:11" x14ac:dyDescent="0.2">
      <c r="B45" t="s">
        <v>594</v>
      </c>
      <c r="D45" s="119">
        <f>SUMPRODUCT(C26:C38,D26:D38)</f>
        <v>851.1875</v>
      </c>
    </row>
    <row r="47" spans="2:11" x14ac:dyDescent="0.2">
      <c r="B47" t="s">
        <v>595</v>
      </c>
    </row>
    <row r="48" spans="2:11" x14ac:dyDescent="0.2">
      <c r="E48">
        <v>2020</v>
      </c>
      <c r="F48">
        <v>2021</v>
      </c>
      <c r="G48">
        <v>2022</v>
      </c>
      <c r="H48">
        <v>2023</v>
      </c>
      <c r="I48">
        <v>2024</v>
      </c>
      <c r="J48" t="s">
        <v>583</v>
      </c>
      <c r="K48" t="s">
        <v>137</v>
      </c>
    </row>
    <row r="49" spans="3:11" x14ac:dyDescent="0.2">
      <c r="C49" t="s">
        <v>596</v>
      </c>
      <c r="E49" s="121">
        <v>2202</v>
      </c>
      <c r="F49" s="121">
        <v>2009</v>
      </c>
      <c r="G49" s="121">
        <v>2603</v>
      </c>
      <c r="H49" s="121">
        <v>2273</v>
      </c>
      <c r="I49" s="121">
        <v>4084</v>
      </c>
      <c r="J49" s="121">
        <v>26019</v>
      </c>
      <c r="K49" s="121">
        <f t="shared" ref="K49:K54" si="3">SUM(E49:H49)</f>
        <v>9087</v>
      </c>
    </row>
    <row r="50" spans="3:11" x14ac:dyDescent="0.2">
      <c r="C50" t="s">
        <v>597</v>
      </c>
      <c r="E50" s="121">
        <v>3757</v>
      </c>
      <c r="F50" s="121">
        <v>3630</v>
      </c>
      <c r="G50" s="121">
        <v>3226</v>
      </c>
      <c r="H50" s="121">
        <v>2900</v>
      </c>
      <c r="I50" s="121">
        <v>2605</v>
      </c>
      <c r="J50" s="121">
        <v>15845</v>
      </c>
      <c r="K50" s="121">
        <f t="shared" si="3"/>
        <v>13513</v>
      </c>
    </row>
    <row r="51" spans="3:11" x14ac:dyDescent="0.2">
      <c r="C51" t="s">
        <v>598</v>
      </c>
      <c r="E51" s="121">
        <v>9878</v>
      </c>
      <c r="F51" s="121">
        <v>7655</v>
      </c>
      <c r="G51" s="121">
        <v>4060</v>
      </c>
      <c r="H51" s="121">
        <v>1332</v>
      </c>
      <c r="I51" s="121">
        <v>989</v>
      </c>
      <c r="J51" s="121">
        <v>4961</v>
      </c>
      <c r="K51" s="121">
        <f t="shared" si="3"/>
        <v>22925</v>
      </c>
    </row>
    <row r="52" spans="3:11" x14ac:dyDescent="0.2">
      <c r="C52" t="s">
        <v>599</v>
      </c>
      <c r="E52" s="121">
        <v>142</v>
      </c>
      <c r="F52" s="121">
        <v>146</v>
      </c>
      <c r="G52" s="121">
        <v>148</v>
      </c>
      <c r="H52" s="121">
        <v>150</v>
      </c>
      <c r="I52" s="121">
        <v>152</v>
      </c>
      <c r="J52" s="121">
        <v>2452</v>
      </c>
      <c r="K52" s="121">
        <f t="shared" si="3"/>
        <v>586</v>
      </c>
    </row>
    <row r="53" spans="3:11" x14ac:dyDescent="0.2">
      <c r="C53" t="s">
        <v>600</v>
      </c>
      <c r="E53" s="121">
        <v>4593</v>
      </c>
      <c r="F53" s="121">
        <v>3641</v>
      </c>
      <c r="G53" s="121">
        <v>3293</v>
      </c>
      <c r="H53" s="121">
        <v>3103</v>
      </c>
      <c r="I53" s="121">
        <v>3000</v>
      </c>
      <c r="J53" s="121">
        <v>2358</v>
      </c>
      <c r="K53" s="121">
        <f t="shared" si="3"/>
        <v>14630</v>
      </c>
    </row>
    <row r="54" spans="3:11" x14ac:dyDescent="0.2">
      <c r="C54" t="s">
        <v>601</v>
      </c>
      <c r="E54" s="121">
        <v>3837</v>
      </c>
      <c r="F54" s="121">
        <v>2274</v>
      </c>
      <c r="G54" s="121">
        <v>1770</v>
      </c>
      <c r="H54" s="121">
        <v>1439</v>
      </c>
      <c r="I54" s="121">
        <v>1389</v>
      </c>
      <c r="J54" s="121">
        <v>12186</v>
      </c>
      <c r="K54" s="121">
        <f t="shared" si="3"/>
        <v>9320</v>
      </c>
    </row>
    <row r="55" spans="3:11" x14ac:dyDescent="0.2">
      <c r="E55" s="122">
        <f>SUM(E49:E54)</f>
        <v>24409</v>
      </c>
      <c r="F55" s="122">
        <f t="shared" ref="F55:K55" si="4">SUM(F49:F54)</f>
        <v>19355</v>
      </c>
      <c r="G55" s="122">
        <f t="shared" si="4"/>
        <v>15100</v>
      </c>
      <c r="H55" s="122">
        <f t="shared" si="4"/>
        <v>11197</v>
      </c>
      <c r="I55" s="122">
        <f t="shared" si="4"/>
        <v>12219</v>
      </c>
      <c r="J55" s="122">
        <f t="shared" si="4"/>
        <v>63821</v>
      </c>
      <c r="K55" s="122">
        <f t="shared" si="4"/>
        <v>70061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I98" sqref="I98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DCF</vt:lpstr>
      <vt:lpstr>Forecast Triggers</vt:lpstr>
      <vt:lpstr>WACC</vt:lpstr>
      <vt:lpstr>Net CapEx</vt:lpstr>
      <vt:lpstr>Working Capital</vt:lpstr>
      <vt:lpstr>Operating Model</vt:lpstr>
      <vt:lpstr> Segments</vt:lpstr>
      <vt:lpstr>AWS</vt:lpstr>
      <vt:lpstr>Prime</vt:lpstr>
      <vt:lpstr>Retail</vt:lpstr>
      <vt:lpstr>Whole Foods</vt:lpstr>
      <vt:lpstr>Shipping </vt:lpstr>
      <vt:lpstr>Debt &amp; Acquisitions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Joey Zhou</dc:creator>
  <cp:keywords/>
  <dc:description/>
  <cp:lastModifiedBy>Mac</cp:lastModifiedBy>
  <cp:revision/>
  <dcterms:created xsi:type="dcterms:W3CDTF">2020-06-25T15:00:25Z</dcterms:created>
  <dcterms:modified xsi:type="dcterms:W3CDTF">2024-09-13T15:38:45Z</dcterms:modified>
  <cp:category/>
  <cp:contentStatus/>
</cp:coreProperties>
</file>