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21CBC0F1-A612-1A44-A092-2DDD42D83C17}" xr6:coauthVersionLast="47" xr6:coauthVersionMax="47" xr10:uidLastSave="{00000000-0000-0000-0000-000000000000}"/>
  <bookViews>
    <workbookView xWindow="0" yWindow="500" windowWidth="33600" windowHeight="19360" xr2:uid="{145AF836-EC8B-4EF8-AAD4-F4A7FC792BEF}"/>
  </bookViews>
  <sheets>
    <sheet name="DCF" sheetId="2" r:id="rId1"/>
    <sheet name="IS_Historicals" sheetId="3" r:id="rId2"/>
    <sheet name="IS_Est." sheetId="8" r:id="rId3"/>
    <sheet name="CFS_Historicals" sheetId="6" r:id="rId4"/>
    <sheet name="WACC" sheetId="4" r:id="rId5"/>
    <sheet name="Diluted Shrs" sheetId="7" r:id="rId6"/>
  </sheets>
  <definedNames>
    <definedName name="dr">DCF!$D$15</definedName>
    <definedName name="tg">DCF!$D$16</definedName>
    <definedName name="tgr">DCF!$D$16</definedName>
    <definedName name="wacc">DCF!$D$15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9" i="2" l="1"/>
  <c r="E9" i="7"/>
  <c r="M77" i="2"/>
  <c r="I69" i="2"/>
  <c r="J69" i="2" s="1"/>
  <c r="K69" i="2" s="1"/>
  <c r="L69" i="2" s="1"/>
  <c r="M69" i="2" s="1"/>
  <c r="H69" i="2"/>
  <c r="H70" i="2"/>
  <c r="D16" i="2"/>
  <c r="D15" i="2"/>
  <c r="Q16" i="2"/>
  <c r="H16" i="2"/>
  <c r="H15" i="2"/>
  <c r="F18" i="4"/>
  <c r="E32" i="2"/>
  <c r="F32" i="2"/>
  <c r="G32" i="2"/>
  <c r="D32" i="2"/>
  <c r="J64" i="2"/>
  <c r="K64" i="2"/>
  <c r="L64" i="2" s="1"/>
  <c r="M64" i="2" s="1"/>
  <c r="I64" i="2"/>
  <c r="H64" i="2"/>
  <c r="I58" i="2"/>
  <c r="J58" i="2" s="1"/>
  <c r="H58" i="2"/>
  <c r="I53" i="2"/>
  <c r="J53" i="2" s="1"/>
  <c r="K53" i="2" s="1"/>
  <c r="L53" i="2" s="1"/>
  <c r="M47" i="2"/>
  <c r="H47" i="2"/>
  <c r="I49" i="2"/>
  <c r="J49" i="2" s="1"/>
  <c r="K49" i="2" s="1"/>
  <c r="L49" i="2" s="1"/>
  <c r="M50" i="2"/>
  <c r="M49" i="2"/>
  <c r="M48" i="2"/>
  <c r="I43" i="2"/>
  <c r="J43" i="2" s="1"/>
  <c r="K43" i="2" s="1"/>
  <c r="L43" i="2" s="1"/>
  <c r="M43" i="2" s="1"/>
  <c r="H50" i="2"/>
  <c r="I50" i="2" s="1"/>
  <c r="J50" i="2" s="1"/>
  <c r="K50" i="2" s="1"/>
  <c r="L50" i="2" s="1"/>
  <c r="H48" i="2"/>
  <c r="I48" i="2" s="1"/>
  <c r="I47" i="2" s="1"/>
  <c r="H49" i="2"/>
  <c r="H41" i="2"/>
  <c r="H40" i="2" s="1"/>
  <c r="H57" i="2" s="1"/>
  <c r="D41" i="2"/>
  <c r="E35" i="2"/>
  <c r="F35" i="2"/>
  <c r="G35" i="2"/>
  <c r="D35" i="2"/>
  <c r="D39" i="2"/>
  <c r="E39" i="2" s="1"/>
  <c r="F39" i="2" s="1"/>
  <c r="G39" i="2" s="1"/>
  <c r="H39" i="2" s="1"/>
  <c r="I39" i="2" s="1"/>
  <c r="J39" i="2" s="1"/>
  <c r="K39" i="2" s="1"/>
  <c r="L39" i="2" s="1"/>
  <c r="M39" i="2" s="1"/>
  <c r="D28" i="2"/>
  <c r="E28" i="2" s="1"/>
  <c r="F28" i="2" s="1"/>
  <c r="G28" i="2" s="1"/>
  <c r="H28" i="2" s="1"/>
  <c r="I28" i="2" s="1"/>
  <c r="J28" i="2" s="1"/>
  <c r="F26" i="2"/>
  <c r="F53" i="2" s="1"/>
  <c r="E25" i="2"/>
  <c r="E52" i="2" s="1"/>
  <c r="F25" i="2"/>
  <c r="F52" i="2" s="1"/>
  <c r="G25" i="2"/>
  <c r="G52" i="2" s="1"/>
  <c r="D25" i="2"/>
  <c r="D52" i="2" s="1"/>
  <c r="I22" i="2"/>
  <c r="J22" i="2"/>
  <c r="H22" i="2"/>
  <c r="E22" i="2"/>
  <c r="E46" i="2" s="1"/>
  <c r="F22" i="2"/>
  <c r="F46" i="2" s="1"/>
  <c r="G22" i="2"/>
  <c r="D22" i="2"/>
  <c r="D46" i="2" s="1"/>
  <c r="I19" i="2"/>
  <c r="J19" i="2"/>
  <c r="H19" i="2"/>
  <c r="E19" i="2"/>
  <c r="F19" i="2"/>
  <c r="F40" i="2" s="1"/>
  <c r="G19" i="2"/>
  <c r="G40" i="2" s="1"/>
  <c r="D19" i="2"/>
  <c r="D40" i="2" s="1"/>
  <c r="G20" i="2"/>
  <c r="G41" i="2" s="1"/>
  <c r="F23" i="2"/>
  <c r="F47" i="2" s="1"/>
  <c r="T90" i="2"/>
  <c r="T91" i="2" s="1"/>
  <c r="T88" i="2"/>
  <c r="T87" i="2" s="1"/>
  <c r="X86" i="2"/>
  <c r="Y86" i="2" s="1"/>
  <c r="V86" i="2"/>
  <c r="U86" i="2" s="1"/>
  <c r="H63" i="2" l="1"/>
  <c r="L58" i="2"/>
  <c r="K58" i="2"/>
  <c r="M58" i="2" s="1"/>
  <c r="J48" i="2"/>
  <c r="H46" i="2"/>
  <c r="E26" i="2"/>
  <c r="E53" i="2" s="1"/>
  <c r="D26" i="2"/>
  <c r="D53" i="2" s="1"/>
  <c r="F20" i="2"/>
  <c r="F41" i="2" s="1"/>
  <c r="G26" i="2"/>
  <c r="G53" i="2" s="1"/>
  <c r="E40" i="2"/>
  <c r="I23" i="2"/>
  <c r="D23" i="2"/>
  <c r="D47" i="2" s="1"/>
  <c r="G23" i="2"/>
  <c r="G47" i="2" s="1"/>
  <c r="E23" i="2"/>
  <c r="E47" i="2" s="1"/>
  <c r="G46" i="2"/>
  <c r="J20" i="2"/>
  <c r="J23" i="2"/>
  <c r="I20" i="2"/>
  <c r="H23" i="2"/>
  <c r="E20" i="2"/>
  <c r="E41" i="2" s="1"/>
  <c r="H20" i="2"/>
  <c r="E23" i="7"/>
  <c r="E24" i="7"/>
  <c r="E25" i="7"/>
  <c r="E26" i="7"/>
  <c r="E27" i="7"/>
  <c r="E28" i="7"/>
  <c r="E22" i="7"/>
  <c r="E63" i="2"/>
  <c r="F63" i="2"/>
  <c r="G63" i="2"/>
  <c r="D63" i="2"/>
  <c r="E60" i="2"/>
  <c r="F60" i="2"/>
  <c r="G60" i="2"/>
  <c r="D60" i="2"/>
  <c r="E29" i="2"/>
  <c r="E57" i="2" s="1"/>
  <c r="F29" i="2"/>
  <c r="F57" i="2" s="1"/>
  <c r="G29" i="2"/>
  <c r="G57" i="2" s="1"/>
  <c r="D29" i="2"/>
  <c r="D57" i="2" s="1"/>
  <c r="H52" i="2" l="1"/>
  <c r="H55" i="2" s="1"/>
  <c r="K48" i="2"/>
  <c r="J47" i="2"/>
  <c r="I44" i="2"/>
  <c r="J44" i="2" s="1"/>
  <c r="K44" i="2" s="1"/>
  <c r="L44" i="2" s="1"/>
  <c r="M44" i="2" s="1"/>
  <c r="I42" i="2"/>
  <c r="H44" i="2"/>
  <c r="H43" i="2"/>
  <c r="H42" i="2"/>
  <c r="E11" i="7"/>
  <c r="E12" i="7" s="1"/>
  <c r="E30" i="7"/>
  <c r="E10" i="7" s="1"/>
  <c r="L48" i="2" l="1"/>
  <c r="L47" i="2" s="1"/>
  <c r="K47" i="2"/>
  <c r="J42" i="2"/>
  <c r="I41" i="2"/>
  <c r="I40" i="2" s="1"/>
  <c r="E13" i="7"/>
  <c r="E18" i="7" s="1"/>
  <c r="I63" i="2" l="1"/>
  <c r="I46" i="2"/>
  <c r="I52" i="2" s="1"/>
  <c r="I55" i="2" s="1"/>
  <c r="I57" i="2"/>
  <c r="K42" i="2"/>
  <c r="J41" i="2"/>
  <c r="J40" i="2" s="1"/>
  <c r="E33" i="2"/>
  <c r="E61" i="2" s="1"/>
  <c r="E37" i="2"/>
  <c r="E30" i="2"/>
  <c r="E58" i="2" s="1"/>
  <c r="E36" i="2"/>
  <c r="E64" i="2" s="1"/>
  <c r="G36" i="2"/>
  <c r="G64" i="2" s="1"/>
  <c r="G33" i="2"/>
  <c r="G61" i="2" s="1"/>
  <c r="G37" i="2"/>
  <c r="G30" i="2"/>
  <c r="G58" i="2" s="1"/>
  <c r="D36" i="2"/>
  <c r="D64" i="2" s="1"/>
  <c r="D33" i="2"/>
  <c r="D61" i="2" s="1"/>
  <c r="H61" i="2" s="1"/>
  <c r="D30" i="2"/>
  <c r="D58" i="2" s="1"/>
  <c r="F36" i="2"/>
  <c r="F64" i="2" s="1"/>
  <c r="F37" i="2"/>
  <c r="F33" i="2"/>
  <c r="F61" i="2" s="1"/>
  <c r="F30" i="2"/>
  <c r="F58" i="2" s="1"/>
  <c r="F10" i="4"/>
  <c r="F20" i="4"/>
  <c r="F9" i="4" s="1"/>
  <c r="E18" i="2"/>
  <c r="F18" i="2" s="1"/>
  <c r="H60" i="2" l="1"/>
  <c r="H66" i="2" s="1"/>
  <c r="I61" i="2"/>
  <c r="J63" i="2"/>
  <c r="J46" i="2"/>
  <c r="J52" i="2" s="1"/>
  <c r="J57" i="2"/>
  <c r="L42" i="2"/>
  <c r="K41" i="2"/>
  <c r="K40" i="2" s="1"/>
  <c r="F16" i="4"/>
  <c r="F22" i="4" s="1"/>
  <c r="H67" i="2" l="1"/>
  <c r="J61" i="2"/>
  <c r="I60" i="2"/>
  <c r="I66" i="2" s="1"/>
  <c r="I67" i="2" s="1"/>
  <c r="K63" i="2"/>
  <c r="J55" i="2"/>
  <c r="K46" i="2"/>
  <c r="K52" i="2" s="1"/>
  <c r="K55" i="2" s="1"/>
  <c r="K57" i="2"/>
  <c r="M42" i="2"/>
  <c r="M41" i="2" s="1"/>
  <c r="L41" i="2"/>
  <c r="L40" i="2" s="1"/>
  <c r="G18" i="2"/>
  <c r="K61" i="2" l="1"/>
  <c r="J60" i="2"/>
  <c r="J66" i="2" s="1"/>
  <c r="J67" i="2" s="1"/>
  <c r="L61" i="2"/>
  <c r="L60" i="2"/>
  <c r="L63" i="2"/>
  <c r="L46" i="2"/>
  <c r="L52" i="2" s="1"/>
  <c r="L55" i="2" s="1"/>
  <c r="L57" i="2"/>
  <c r="M40" i="2"/>
  <c r="H18" i="2"/>
  <c r="L66" i="2" l="1"/>
  <c r="L67" i="2" s="1"/>
  <c r="M61" i="2"/>
  <c r="K60" i="2"/>
  <c r="K66" i="2" s="1"/>
  <c r="K67" i="2" s="1"/>
  <c r="M60" i="2"/>
  <c r="M63" i="2"/>
  <c r="M46" i="2"/>
  <c r="M52" i="2" s="1"/>
  <c r="M55" i="2" s="1"/>
  <c r="M57" i="2"/>
  <c r="I18" i="2"/>
  <c r="M66" i="2" l="1"/>
  <c r="M72" i="2" s="1"/>
  <c r="J18" i="2"/>
  <c r="M67" i="2" l="1"/>
  <c r="M73" i="2"/>
  <c r="M75" i="2" l="1"/>
  <c r="M78" i="2" s="1"/>
  <c r="M80" i="2" s="1"/>
  <c r="H5" i="2" l="1"/>
  <c r="H6" i="2" s="1"/>
  <c r="T8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</author>
  </authors>
  <commentList>
    <comment ref="E9" authorId="0" shapeId="0" xr:uid="{9B4D916D-42BB-E040-A53C-D071933C3E0E}">
      <text>
        <r>
          <rPr>
            <sz val="10"/>
            <color rgb="FF000000"/>
            <rFont val="Tahoma"/>
            <family val="2"/>
          </rPr>
          <t>https://www.sec.gov/ix?doc=/Archives/edgar/data/1321655/000132165524000209/pltr-20240930.htm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7A7626-5709-4562-B26E-E4F5890E5D2E}" keepAlive="1" name="Query - Document" description="Connection to the 'Document' query in the workbook.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<sst xmlns="http://schemas.openxmlformats.org/spreadsheetml/2006/main" count="235" uniqueCount="159">
  <si>
    <t>x</t>
  </si>
  <si>
    <t>Ticker</t>
  </si>
  <si>
    <t>Date</t>
  </si>
  <si>
    <t>Assumpitions</t>
  </si>
  <si>
    <t>Revenue</t>
  </si>
  <si>
    <t>% growth</t>
  </si>
  <si>
    <t>EBIT</t>
  </si>
  <si>
    <t>% of Sales</t>
  </si>
  <si>
    <t>Tax</t>
  </si>
  <si>
    <t>% of EBIT</t>
  </si>
  <si>
    <t>Accounts receivable</t>
  </si>
  <si>
    <t>D&amp;A</t>
  </si>
  <si>
    <t>Capital Expenditures</t>
  </si>
  <si>
    <t>Change in NWC</t>
  </si>
  <si>
    <t>% of Change in Sales</t>
  </si>
  <si>
    <t>Conservative Case</t>
  </si>
  <si>
    <t>Base / Street case</t>
  </si>
  <si>
    <t>Optimistic Case</t>
  </si>
  <si>
    <t>Taxes</t>
  </si>
  <si>
    <t>EBIAT</t>
  </si>
  <si>
    <t>CapEx</t>
  </si>
  <si>
    <t>Unlevered FCF</t>
  </si>
  <si>
    <t>Terminal Value</t>
  </si>
  <si>
    <t>Present Value of Terminal Value</t>
  </si>
  <si>
    <t>Enterprise Value</t>
  </si>
  <si>
    <t>(-) Debt</t>
  </si>
  <si>
    <t>(+) Cash</t>
  </si>
  <si>
    <t>Implied Share Price</t>
  </si>
  <si>
    <t>Switches</t>
  </si>
  <si>
    <t>WACC</t>
  </si>
  <si>
    <t>Tgt</t>
  </si>
  <si>
    <t>Conservative</t>
  </si>
  <si>
    <t>Base / Street</t>
  </si>
  <si>
    <t xml:space="preserve"> </t>
  </si>
  <si>
    <t>WACC = % of equity x cost of equity + &amp; of debt x cost of debt x (1-tax rate)</t>
  </si>
  <si>
    <t>Cost of Equity = Risk free rate + Beta x Market Risk Premium</t>
  </si>
  <si>
    <t>Market Cap</t>
  </si>
  <si>
    <t>% of Equity</t>
  </si>
  <si>
    <t>Cost of Equity</t>
  </si>
  <si>
    <t>Risk Free Rate</t>
  </si>
  <si>
    <t>Beta</t>
  </si>
  <si>
    <t>Market Risk Premium</t>
  </si>
  <si>
    <t>Debt</t>
  </si>
  <si>
    <t>% of Debt</t>
  </si>
  <si>
    <t>Cost of Debt</t>
  </si>
  <si>
    <t>Tax Rate</t>
  </si>
  <si>
    <t>Total</t>
  </si>
  <si>
    <t>Current Price</t>
  </si>
  <si>
    <t>Year End</t>
  </si>
  <si>
    <t>USD in Millions</t>
  </si>
  <si>
    <t>TTM</t>
  </si>
  <si>
    <t>CAGR</t>
  </si>
  <si>
    <t>Cost of revenue</t>
  </si>
  <si>
    <t>Gross profit</t>
  </si>
  <si>
    <t>Operating Expenses</t>
  </si>
  <si>
    <t>Sales, general and administrative</t>
  </si>
  <si>
    <t>Depreciation and amortization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</si>
  <si>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</si>
  <si>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</si>
  <si>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</si>
  <si>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</si>
  <si>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</si>
  <si>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</si>
  <si>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</si>
  <si>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</si>
  <si>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</si>
  <si>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</si>
  <si>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</si>
  <si>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Cash Flows From Operating Activities</t>
  </si>
  <si>
    <t>Investment/Asset impairment charges</t>
  </si>
  <si>
    <t>Deferred income taxes</t>
  </si>
  <si>
    <t>- </t>
  </si>
  <si>
    <t>Stock based compensation</t>
  </si>
  <si>
    <t>Prepaid expenses</t>
  </si>
  <si>
    <t>Accounts payable</t>
  </si>
  <si>
    <t>Accrued liabilities</t>
  </si>
  <si>
    <t>Other working capital</t>
  </si>
  <si>
    <t>Other non-cash items</t>
  </si>
  <si>
    <t>Other Cash Flows From Operating Activities</t>
  </si>
  <si>
    <t>Net cash provided by operating activities</t>
  </si>
  <si>
    <t>Cash Flows From Investing Activities</t>
  </si>
  <si>
    <t>Investments in property, plant and equipment</t>
  </si>
  <si>
    <t>Acquisitions, net</t>
  </si>
  <si>
    <t>Purchases of investments</t>
  </si>
  <si>
    <t>Sales/Maturities of investments</t>
  </si>
  <si>
    <t>Net cash used for investing activities</t>
  </si>
  <si>
    <t>Cash Flows From Financing Activities</t>
  </si>
  <si>
    <t>Repurchases of treasury stock</t>
  </si>
  <si>
    <t>Other financing activities</t>
  </si>
  <si>
    <t>Other Cash Flows From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</si>
  <si>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</si>
  <si>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</si>
  <si>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</si>
  <si>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</si>
  <si>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</si>
  <si>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</si>
  <si>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</si>
  <si>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</si>
  <si>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</si>
  <si>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--</t>
  </si>
  <si>
    <t>Changes in working capital</t>
  </si>
  <si>
    <t xml:space="preserve">Implied upside / downside </t>
  </si>
  <si>
    <t>Income Statement (12/31, $mm)</t>
  </si>
  <si>
    <t>Cash Flow Items (12/31, $mm)</t>
  </si>
  <si>
    <t>DCF (12/31, $mm)</t>
  </si>
  <si>
    <t>Present Unlevered FCF</t>
  </si>
  <si>
    <t>Period</t>
  </si>
  <si>
    <t>Discount Period</t>
  </si>
  <si>
    <t>Diluted Shares count</t>
  </si>
  <si>
    <t>Full Diluted Shares</t>
  </si>
  <si>
    <t>In-the-money exercisable options</t>
  </si>
  <si>
    <t>Total proceeds ($mm)</t>
  </si>
  <si>
    <t>Current price</t>
  </si>
  <si>
    <t>Net dilutive options</t>
  </si>
  <si>
    <t>Total shrs repurchased (mm)</t>
  </si>
  <si>
    <t>Net diluted shares outstanding</t>
  </si>
  <si>
    <t>Options outstanding</t>
  </si>
  <si>
    <t>Tranche 1</t>
  </si>
  <si>
    <t>Tranche 2</t>
  </si>
  <si>
    <t>Tranche 3</t>
  </si>
  <si>
    <t>Tranche 4</t>
  </si>
  <si>
    <t>Tranche 5</t>
  </si>
  <si>
    <t>Tranche 6</t>
  </si>
  <si>
    <t>Tranche 7</t>
  </si>
  <si>
    <t>Basic share outstanding</t>
  </si>
  <si>
    <t>Outstanding</t>
  </si>
  <si>
    <t>Exercise price</t>
  </si>
  <si>
    <t>Dilutive shares</t>
  </si>
  <si>
    <t>RSUs</t>
  </si>
  <si>
    <t>PSUs</t>
  </si>
  <si>
    <t>Fully Diluted Share Count</t>
  </si>
  <si>
    <t>Sensitivity Analysis</t>
  </si>
  <si>
    <t>TGR</t>
  </si>
  <si>
    <t>Income Statement for PLTR</t>
  </si>
  <si>
    <t>Research and development</t>
  </si>
  <si>
    <t>Interest Expense</t>
  </si>
  <si>
    <t>Cash Flow Statement for PLTR</t>
  </si>
  <si>
    <t>Investments losses (gains)</t>
  </si>
  <si>
    <t>Other investing activities</t>
  </si>
  <si>
    <t>Debt issued</t>
  </si>
  <si>
    <t>Debt repayment</t>
  </si>
  <si>
    <t>Long-term debt issued</t>
  </si>
  <si>
    <t>Long-term debt repayment</t>
  </si>
  <si>
    <t>Common stock issued</t>
  </si>
  <si>
    <t>PLTR</t>
  </si>
  <si>
    <t>Income for PLTR</t>
  </si>
  <si>
    <t>Sales</t>
  </si>
  <si>
    <t>Cost of Sales</t>
  </si>
  <si>
    <t>Gross Income</t>
  </si>
  <si>
    <t>EBITDA</t>
  </si>
  <si>
    <t>Pretax income</t>
  </si>
  <si>
    <t>Tax Expenses</t>
  </si>
  <si>
    <t>Net Income</t>
  </si>
  <si>
    <t>Revenue 25</t>
  </si>
  <si>
    <t>Revenue '26-'29</t>
  </si>
  <si>
    <t>EBIT '29</t>
  </si>
  <si>
    <t>Tax rate</t>
  </si>
  <si>
    <t>Equity Value</t>
  </si>
  <si>
    <t>Palantir Technologies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</si>
</sst>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[$$-409]* #,##0.00_);_([$$-409]* \(#,##0.00\);_([$$-409]* &quot;-&quot;??_);_(@_)"/>
    <numFmt numFmtId="167" formatCode="0&quot;A&quot;"/>
    <numFmt numFmtId="168" formatCode="0&quot;E&quot;"/>
    <numFmt numFmtId="169" formatCode="0%;\(0%\)"/>
    <numFmt numFmtId="170" formatCode="0.000"/>
    <numFmt numFmtId="171" formatCode="0.0%;\(0.0%\)"/>
    <numFmt numFmtId="172" formatCode="_(* #,##0.000_);_(* \(#,##0.000\);_(* &quot;-&quot;??_);_(@_)"/>
    <numFmt numFmtId="173" formatCode="&quot;$&quot;#,##0.00"/>
    <numFmt numFmtId="174" formatCode="0.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2"/>
      <color theme="1"/>
      <name val="Calibri"/>
      <family val="2"/>
    </font>
    <font>
      <b/>
      <sz val="11"/>
      <color theme="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i/>
      <sz val="11"/>
      <color theme="1"/>
      <name val="Calibri"/>
      <family val="2"/>
    </font>
    <font>
      <sz val="11"/>
      <color theme="4"/>
      <name val="Calibri"/>
      <family val="2"/>
    </font>
    <font>
      <sz val="11"/>
      <name val="Calibri"/>
      <family val="2"/>
    </font>
    <font>
      <i/>
      <sz val="11"/>
      <color theme="0"/>
      <name val="Calibri"/>
      <family val="2"/>
    </font>
    <font>
      <i/>
      <sz val="11"/>
      <color theme="4"/>
      <name val="Calibri"/>
      <family val="2"/>
    </font>
    <font>
      <i/>
      <sz val="11"/>
      <color rgb="FFFF0000"/>
      <name val="Calibri"/>
      <family val="2"/>
    </font>
    <font>
      <i/>
      <sz val="11"/>
      <name val="Calibri"/>
      <family val="2"/>
    </font>
    <font>
      <i/>
      <sz val="11"/>
      <color theme="9" tint="-0.499984740745262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547EC9"/>
      <name val="Calibri"/>
      <family val="2"/>
    </font>
    <font>
      <sz val="10"/>
      <color rgb="FF000000"/>
      <name val="Tahoma"/>
      <family val="2"/>
    </font>
    <font>
      <u/>
      <sz val="11"/>
      <color theme="1"/>
      <name val="Calibri"/>
      <family val="2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</font>
    <font>
      <i/>
      <sz val="11"/>
      <name val="Calibri (Body)"/>
    </font>
    <font>
      <b/>
      <sz val="24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8000"/>
      <name val="Calibri"/>
      <family val="2"/>
    </font>
    <font>
      <i/>
      <sz val="11"/>
      <color rgb="FF008000"/>
      <name val="Calibri"/>
      <family val="2"/>
    </font>
    <font>
      <sz val="11"/>
      <color rgb="FF000000"/>
      <name val="Calibri (Body)"/>
    </font>
    <font>
      <i/>
      <sz val="11"/>
      <color rgb="FF000000"/>
      <name val="Calibri (Body)"/>
    </font>
    <font>
      <i/>
      <sz val="11"/>
      <color rgb="FF000000"/>
      <name val="Calibri"/>
      <family val="2"/>
      <scheme val="minor"/>
    </font>
    <font>
      <i/>
      <sz val="11"/>
      <color rgb="FF0000FF"/>
      <name val="Calibri (Body)"/>
    </font>
    <font>
      <sz val="11"/>
      <color rgb="FF0000FF"/>
      <name val="Calibri"/>
      <family val="2"/>
    </font>
    <font>
      <sz val="11"/>
      <color rgb="FF008000"/>
      <name val="Calibri"/>
      <family val="2"/>
      <scheme val="minor"/>
    </font>
    <font>
      <i/>
      <sz val="11"/>
      <color rgb="FF0000FF"/>
      <name val="Calibri"/>
      <family val="2"/>
    </font>
    <font>
      <sz val="11"/>
      <color rgb="FFFF6600"/>
      <name val="Calibri"/>
      <family val="2"/>
    </font>
    <font>
      <sz val="11"/>
      <color rgb="FFFF6600"/>
      <name val="Calibri (Body)"/>
    </font>
    <font>
      <i/>
      <sz val="11"/>
      <color rgb="FFFF6600"/>
      <name val="Calibri"/>
      <family val="2"/>
    </font>
    <font>
      <sz val="11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23254D"/>
        <bgColor indexed="64"/>
      </patternFill>
    </fill>
    <fill>
      <patternFill patternType="solid">
        <fgColor rgb="FFF2F5F7"/>
        <bgColor indexed="64"/>
      </patternFill>
    </fill>
    <fill>
      <patternFill patternType="solid">
        <fgColor rgb="FFF2F5F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4284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dashed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dashed">
        <color theme="0" tint="-0.249977111117893"/>
      </bottom>
      <diagonal/>
    </border>
    <border>
      <left/>
      <right/>
      <top style="hair">
        <color theme="1"/>
      </top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4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4" fillId="0" borderId="0" xfId="0" applyFont="1"/>
    <xf numFmtId="165" fontId="4" fillId="0" borderId="0" xfId="1" applyNumberFormat="1" applyFont="1"/>
    <xf numFmtId="164" fontId="4" fillId="0" borderId="0" xfId="1" applyNumberFormat="1" applyFont="1"/>
    <xf numFmtId="0" fontId="3" fillId="0" borderId="0" xfId="0" applyFont="1"/>
    <xf numFmtId="0" fontId="0" fillId="0" borderId="0" xfId="0" applyAlignment="1">
      <alignment horizontal="left" indent="4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3" fillId="0" borderId="0" xfId="0" applyFont="1" applyAlignment="1">
      <alignment horizontal="left" indent="4"/>
    </xf>
    <xf numFmtId="0" fontId="0" fillId="0" borderId="0" xfId="0" applyAlignment="1">
      <alignment horizontal="left" indent="6"/>
    </xf>
    <xf numFmtId="164" fontId="3" fillId="0" borderId="0" xfId="1" applyNumberFormat="1" applyFont="1"/>
    <xf numFmtId="0" fontId="0" fillId="0" borderId="0" xfId="0" applyAlignment="1">
      <alignment horizontal="right"/>
    </xf>
    <xf numFmtId="164" fontId="3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  <xf numFmtId="0" fontId="0" fillId="0" borderId="6" xfId="0" applyBorder="1"/>
    <xf numFmtId="10" fontId="0" fillId="0" borderId="0" xfId="0" applyNumberFormat="1"/>
    <xf numFmtId="10" fontId="0" fillId="0" borderId="6" xfId="0" applyNumberFormat="1" applyBorder="1"/>
    <xf numFmtId="0" fontId="0" fillId="0" borderId="7" xfId="0" applyBorder="1"/>
    <xf numFmtId="0" fontId="0" fillId="0" borderId="8" xfId="0" applyBorder="1"/>
    <xf numFmtId="10" fontId="0" fillId="0" borderId="9" xfId="0" applyNumberFormat="1" applyBorder="1"/>
    <xf numFmtId="3" fontId="0" fillId="0" borderId="0" xfId="0" applyNumberFormat="1"/>
    <xf numFmtId="8" fontId="0" fillId="0" borderId="0" xfId="0" applyNumberFormat="1"/>
    <xf numFmtId="0" fontId="8" fillId="0" borderId="0" xfId="0" applyFont="1"/>
    <xf numFmtId="1" fontId="0" fillId="0" borderId="0" xfId="0" applyNumberFormat="1"/>
    <xf numFmtId="0" fontId="9" fillId="0" borderId="1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0" xfId="0" applyFont="1"/>
    <xf numFmtId="0" fontId="9" fillId="0" borderId="0" xfId="0" applyFont="1"/>
    <xf numFmtId="0" fontId="6" fillId="3" borderId="0" xfId="0" applyFont="1" applyFill="1" applyAlignment="1">
      <alignment horizontal="center" vertical="center"/>
    </xf>
    <xf numFmtId="166" fontId="6" fillId="0" borderId="0" xfId="0" applyNumberFormat="1" applyFont="1"/>
    <xf numFmtId="0" fontId="11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67" fontId="11" fillId="2" borderId="0" xfId="0" applyNumberFormat="1" applyFont="1" applyFill="1"/>
    <xf numFmtId="168" fontId="11" fillId="2" borderId="0" xfId="0" applyNumberFormat="1" applyFont="1" applyFill="1"/>
    <xf numFmtId="165" fontId="15" fillId="0" borderId="0" xfId="1" applyNumberFormat="1" applyFont="1"/>
    <xf numFmtId="165" fontId="15" fillId="0" borderId="0" xfId="1" applyNumberFormat="1" applyFont="1" applyFill="1" applyBorder="1"/>
    <xf numFmtId="0" fontId="16" fillId="0" borderId="0" xfId="0" applyFont="1"/>
    <xf numFmtId="0" fontId="6" fillId="0" borderId="0" xfId="0" quotePrefix="1" applyFont="1" applyAlignment="1">
      <alignment horizontal="right"/>
    </xf>
    <xf numFmtId="169" fontId="16" fillId="0" borderId="0" xfId="2" applyNumberFormat="1" applyFont="1"/>
    <xf numFmtId="169" fontId="16" fillId="0" borderId="0" xfId="2" quotePrefix="1" applyNumberFormat="1" applyFont="1" applyAlignment="1">
      <alignment horizontal="right"/>
    </xf>
    <xf numFmtId="168" fontId="11" fillId="0" borderId="0" xfId="0" applyNumberFormat="1" applyFont="1"/>
    <xf numFmtId="165" fontId="17" fillId="0" borderId="0" xfId="0" applyNumberFormat="1" applyFont="1"/>
    <xf numFmtId="165" fontId="18" fillId="0" borderId="0" xfId="0" applyNumberFormat="1" applyFont="1"/>
    <xf numFmtId="0" fontId="19" fillId="0" borderId="0" xfId="0" applyFont="1"/>
    <xf numFmtId="169" fontId="20" fillId="0" borderId="0" xfId="0" applyNumberFormat="1" applyFont="1"/>
    <xf numFmtId="9" fontId="16" fillId="0" borderId="0" xfId="0" applyNumberFormat="1" applyFont="1"/>
    <xf numFmtId="9" fontId="22" fillId="0" borderId="0" xfId="0" applyNumberFormat="1" applyFont="1"/>
    <xf numFmtId="9" fontId="21" fillId="0" borderId="0" xfId="0" applyNumberFormat="1" applyFont="1"/>
    <xf numFmtId="9" fontId="23" fillId="0" borderId="0" xfId="0" applyNumberFormat="1" applyFont="1"/>
    <xf numFmtId="165" fontId="6" fillId="0" borderId="0" xfId="0" applyNumberFormat="1" applyFont="1"/>
    <xf numFmtId="43" fontId="24" fillId="0" borderId="0" xfId="0" applyNumberFormat="1" applyFont="1"/>
    <xf numFmtId="0" fontId="6" fillId="0" borderId="6" xfId="0" applyFont="1" applyBorder="1"/>
    <xf numFmtId="14" fontId="6" fillId="3" borderId="0" xfId="0" applyNumberFormat="1" applyFont="1" applyFill="1" applyAlignment="1">
      <alignment horizontal="center" vertical="center"/>
    </xf>
    <xf numFmtId="0" fontId="3" fillId="0" borderId="6" xfId="0" applyFont="1" applyBorder="1"/>
    <xf numFmtId="0" fontId="13" fillId="0" borderId="3" xfId="0" applyFont="1" applyBorder="1"/>
    <xf numFmtId="0" fontId="25" fillId="0" borderId="0" xfId="0" applyFont="1"/>
    <xf numFmtId="10" fontId="6" fillId="0" borderId="0" xfId="0" applyNumberFormat="1" applyFont="1"/>
    <xf numFmtId="0" fontId="25" fillId="0" borderId="6" xfId="0" applyFont="1" applyBorder="1"/>
    <xf numFmtId="0" fontId="13" fillId="0" borderId="6" xfId="0" applyFont="1" applyBorder="1"/>
    <xf numFmtId="10" fontId="6" fillId="0" borderId="6" xfId="0" applyNumberFormat="1" applyFont="1" applyBorder="1"/>
    <xf numFmtId="43" fontId="6" fillId="0" borderId="0" xfId="1" applyFont="1" applyBorder="1"/>
    <xf numFmtId="165" fontId="22" fillId="0" borderId="0" xfId="1" applyNumberFormat="1" applyFont="1" applyFill="1" applyBorder="1"/>
    <xf numFmtId="0" fontId="26" fillId="0" borderId="0" xfId="0" applyFont="1"/>
    <xf numFmtId="10" fontId="22" fillId="0" borderId="0" xfId="0" applyNumberFormat="1" applyFont="1"/>
    <xf numFmtId="43" fontId="27" fillId="0" borderId="0" xfId="1" applyFont="1" applyBorder="1"/>
    <xf numFmtId="0" fontId="29" fillId="0" borderId="0" xfId="0" applyFont="1" applyAlignment="1">
      <alignment horizontal="center"/>
    </xf>
    <xf numFmtId="170" fontId="6" fillId="0" borderId="0" xfId="0" applyNumberFormat="1" applyFont="1"/>
    <xf numFmtId="170" fontId="6" fillId="0" borderId="0" xfId="1" applyNumberFormat="1" applyFont="1" applyFill="1" applyBorder="1"/>
    <xf numFmtId="0" fontId="0" fillId="0" borderId="0" xfId="0" applyAlignment="1">
      <alignment horizontal="left"/>
    </xf>
    <xf numFmtId="172" fontId="6" fillId="0" borderId="0" xfId="1" applyNumberFormat="1" applyFont="1" applyBorder="1"/>
    <xf numFmtId="170" fontId="13" fillId="0" borderId="4" xfId="0" applyNumberFormat="1" applyFont="1" applyBorder="1"/>
    <xf numFmtId="170" fontId="13" fillId="0" borderId="5" xfId="0" applyNumberFormat="1" applyFont="1" applyBorder="1"/>
    <xf numFmtId="172" fontId="13" fillId="0" borderId="0" xfId="1" applyNumberFormat="1" applyFont="1" applyBorder="1"/>
    <xf numFmtId="10" fontId="1" fillId="0" borderId="0" xfId="2" applyNumberFormat="1" applyFont="1"/>
    <xf numFmtId="10" fontId="5" fillId="5" borderId="10" xfId="0" applyNumberFormat="1" applyFont="1" applyFill="1" applyBorder="1"/>
    <xf numFmtId="0" fontId="5" fillId="5" borderId="10" xfId="2" applyNumberFormat="1" applyFont="1" applyFill="1" applyBorder="1"/>
    <xf numFmtId="173" fontId="30" fillId="6" borderId="11" xfId="0" applyNumberFormat="1" applyFont="1" applyFill="1" applyBorder="1"/>
    <xf numFmtId="0" fontId="11" fillId="7" borderId="0" xfId="0" applyFont="1" applyFill="1"/>
    <xf numFmtId="0" fontId="2" fillId="7" borderId="0" xfId="0" applyFont="1" applyFill="1"/>
    <xf numFmtId="10" fontId="2" fillId="7" borderId="0" xfId="0" applyNumberFormat="1" applyFont="1" applyFill="1"/>
    <xf numFmtId="10" fontId="11" fillId="7" borderId="0" xfId="0" applyNumberFormat="1" applyFont="1" applyFill="1"/>
    <xf numFmtId="0" fontId="18" fillId="0" borderId="0" xfId="0" applyFont="1"/>
    <xf numFmtId="166" fontId="18" fillId="0" borderId="0" xfId="0" applyNumberFormat="1" applyFont="1"/>
    <xf numFmtId="0" fontId="31" fillId="0" borderId="0" xfId="0" applyFont="1"/>
    <xf numFmtId="165" fontId="18" fillId="0" borderId="0" xfId="1" applyNumberFormat="1" applyFont="1" applyFill="1" applyBorder="1"/>
    <xf numFmtId="169" fontId="22" fillId="0" borderId="0" xfId="2" applyNumberFormat="1" applyFont="1" applyFill="1" applyBorder="1"/>
    <xf numFmtId="168" fontId="31" fillId="0" borderId="0" xfId="0" applyNumberFormat="1" applyFont="1"/>
    <xf numFmtId="169" fontId="22" fillId="0" borderId="0" xfId="0" applyNumberFormat="1" applyFont="1"/>
    <xf numFmtId="2" fontId="18" fillId="0" borderId="0" xfId="0" applyNumberFormat="1" applyFont="1"/>
    <xf numFmtId="43" fontId="18" fillId="0" borderId="0" xfId="0" applyNumberFormat="1" applyFont="1"/>
    <xf numFmtId="44" fontId="18" fillId="0" borderId="0" xfId="3" applyFont="1" applyFill="1" applyBorder="1"/>
    <xf numFmtId="0" fontId="6" fillId="3" borderId="19" xfId="0" applyFont="1" applyFill="1" applyBorder="1"/>
    <xf numFmtId="171" fontId="7" fillId="4" borderId="19" xfId="0" applyNumberFormat="1" applyFont="1" applyFill="1" applyBorder="1" applyAlignment="1">
      <alignment horizontal="center"/>
    </xf>
    <xf numFmtId="169" fontId="32" fillId="0" borderId="0" xfId="0" applyNumberFormat="1" applyFont="1"/>
    <xf numFmtId="0" fontId="33" fillId="0" borderId="0" xfId="0" applyFont="1"/>
    <xf numFmtId="169" fontId="34" fillId="0" borderId="0" xfId="2" applyNumberFormat="1" applyFont="1"/>
    <xf numFmtId="165" fontId="35" fillId="0" borderId="0" xfId="1" applyNumberFormat="1" applyFont="1"/>
    <xf numFmtId="169" fontId="36" fillId="0" borderId="0" xfId="2" applyNumberFormat="1" applyFont="1"/>
    <xf numFmtId="165" fontId="37" fillId="0" borderId="0" xfId="0" applyNumberFormat="1" applyFont="1"/>
    <xf numFmtId="169" fontId="38" fillId="0" borderId="0" xfId="0" applyNumberFormat="1" applyFont="1"/>
    <xf numFmtId="169" fontId="34" fillId="0" borderId="0" xfId="0" applyNumberFormat="1" applyFont="1"/>
    <xf numFmtId="9" fontId="38" fillId="3" borderId="19" xfId="0" applyNumberFormat="1" applyFont="1" applyFill="1" applyBorder="1"/>
    <xf numFmtId="9" fontId="39" fillId="3" borderId="19" xfId="0" applyNumberFormat="1" applyFont="1" applyFill="1" applyBorder="1"/>
    <xf numFmtId="165" fontId="14" fillId="0" borderId="0" xfId="0" applyNumberFormat="1" applyFont="1"/>
    <xf numFmtId="174" fontId="6" fillId="0" borderId="0" xfId="0" applyNumberFormat="1" applyFont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7" xfId="0" applyFont="1" applyBorder="1"/>
    <xf numFmtId="0" fontId="6" fillId="0" borderId="22" xfId="0" applyFont="1" applyBorder="1"/>
    <xf numFmtId="0" fontId="6" fillId="0" borderId="29" xfId="0" applyFont="1" applyBorder="1"/>
    <xf numFmtId="0" fontId="18" fillId="0" borderId="15" xfId="0" applyFont="1" applyBorder="1"/>
    <xf numFmtId="9" fontId="40" fillId="3" borderId="19" xfId="0" applyNumberFormat="1" applyFont="1" applyFill="1" applyBorder="1"/>
    <xf numFmtId="0" fontId="41" fillId="0" borderId="0" xfId="0" applyFont="1"/>
    <xf numFmtId="166" fontId="14" fillId="0" borderId="0" xfId="0" applyNumberFormat="1" applyFont="1"/>
    <xf numFmtId="165" fontId="14" fillId="0" borderId="25" xfId="0" applyNumberFormat="1" applyFont="1" applyBorder="1"/>
    <xf numFmtId="165" fontId="14" fillId="0" borderId="26" xfId="0" applyNumberFormat="1" applyFont="1" applyBorder="1"/>
    <xf numFmtId="165" fontId="14" fillId="0" borderId="22" xfId="0" applyNumberFormat="1" applyFont="1" applyBorder="1"/>
    <xf numFmtId="165" fontId="14" fillId="0" borderId="28" xfId="0" applyNumberFormat="1" applyFont="1" applyBorder="1"/>
    <xf numFmtId="43" fontId="14" fillId="0" borderId="23" xfId="0" applyNumberFormat="1" applyFont="1" applyBorder="1"/>
    <xf numFmtId="43" fontId="14" fillId="0" borderId="30" xfId="0" applyNumberFormat="1" applyFont="1" applyBorder="1"/>
    <xf numFmtId="174" fontId="14" fillId="0" borderId="0" xfId="0" applyNumberFormat="1" applyFont="1"/>
    <xf numFmtId="43" fontId="14" fillId="0" borderId="0" xfId="0" applyNumberFormat="1" applyFont="1"/>
    <xf numFmtId="10" fontId="7" fillId="6" borderId="12" xfId="0" applyNumberFormat="1" applyFont="1" applyFill="1" applyBorder="1"/>
    <xf numFmtId="10" fontId="7" fillId="6" borderId="13" xfId="0" applyNumberFormat="1" applyFont="1" applyFill="1" applyBorder="1"/>
    <xf numFmtId="173" fontId="7" fillId="0" borderId="11" xfId="0" applyNumberFormat="1" applyFont="1" applyBorder="1"/>
    <xf numFmtId="173" fontId="7" fillId="0" borderId="12" xfId="0" applyNumberFormat="1" applyFont="1" applyBorder="1"/>
    <xf numFmtId="173" fontId="7" fillId="0" borderId="13" xfId="0" applyNumberFormat="1" applyFont="1" applyBorder="1"/>
    <xf numFmtId="173" fontId="7" fillId="0" borderId="14" xfId="0" applyNumberFormat="1" applyFont="1" applyBorder="1"/>
    <xf numFmtId="173" fontId="7" fillId="0" borderId="0" xfId="0" applyNumberFormat="1" applyFont="1"/>
    <xf numFmtId="173" fontId="7" fillId="0" borderId="15" xfId="0" applyNumberFormat="1" applyFont="1" applyBorder="1"/>
    <xf numFmtId="10" fontId="7" fillId="6" borderId="14" xfId="2" applyNumberFormat="1" applyFont="1" applyFill="1" applyBorder="1"/>
    <xf numFmtId="10" fontId="7" fillId="6" borderId="14" xfId="0" applyNumberFormat="1" applyFont="1" applyFill="1" applyBorder="1"/>
    <xf numFmtId="10" fontId="7" fillId="6" borderId="16" xfId="0" applyNumberFormat="1" applyFont="1" applyFill="1" applyBorder="1"/>
    <xf numFmtId="173" fontId="7" fillId="0" borderId="16" xfId="0" applyNumberFormat="1" applyFont="1" applyBorder="1"/>
    <xf numFmtId="173" fontId="7" fillId="0" borderId="17" xfId="0" applyNumberFormat="1" applyFont="1" applyBorder="1"/>
    <xf numFmtId="173" fontId="7" fillId="0" borderId="18" xfId="0" applyNumberFormat="1" applyFont="1" applyBorder="1"/>
    <xf numFmtId="171" fontId="42" fillId="4" borderId="19" xfId="0" applyNumberFormat="1" applyFont="1" applyFill="1" applyBorder="1" applyAlignment="1">
      <alignment horizontal="center"/>
    </xf>
    <xf numFmtId="0" fontId="35" fillId="0" borderId="0" xfId="0" applyFont="1"/>
    <xf numFmtId="9" fontId="43" fillId="0" borderId="0" xfId="0" applyNumberFormat="1" applyFont="1"/>
    <xf numFmtId="165" fontId="44" fillId="0" borderId="0" xfId="0" applyNumberFormat="1" applyFont="1"/>
    <xf numFmtId="0" fontId="44" fillId="0" borderId="0" xfId="0" applyFont="1"/>
    <xf numFmtId="169" fontId="46" fillId="0" borderId="0" xfId="2" applyNumberFormat="1" applyFont="1"/>
    <xf numFmtId="0" fontId="45" fillId="0" borderId="0" xfId="0" applyFont="1"/>
    <xf numFmtId="10" fontId="1" fillId="6" borderId="14" xfId="2" applyNumberFormat="1" applyFont="1" applyFill="1" applyBorder="1"/>
    <xf numFmtId="10" fontId="1" fillId="6" borderId="12" xfId="0" applyNumberFormat="1" applyFont="1" applyFill="1" applyBorder="1"/>
    <xf numFmtId="171" fontId="47" fillId="3" borderId="2" xfId="2" applyNumberFormat="1" applyFont="1" applyFill="1" applyBorder="1" applyAlignment="1">
      <alignment horizontal="center"/>
    </xf>
    <xf numFmtId="171" fontId="47" fillId="3" borderId="19" xfId="2" applyNumberFormat="1" applyFont="1" applyFill="1" applyBorder="1" applyAlignment="1">
      <alignment horizontal="center"/>
    </xf>
    <xf numFmtId="0" fontId="47" fillId="0" borderId="0" xfId="0" applyFont="1"/>
    <xf numFmtId="171" fontId="47" fillId="4" borderId="19" xfId="0" applyNumberFormat="1" applyFont="1" applyFill="1" applyBorder="1" applyAlignment="1">
      <alignment horizontal="center"/>
    </xf>
    <xf numFmtId="171" fontId="47" fillId="3" borderId="21" xfId="2" applyNumberFormat="1" applyFont="1" applyFill="1" applyBorder="1" applyAlignment="1">
      <alignment horizontal="center"/>
    </xf>
    <xf numFmtId="171" fontId="47" fillId="3" borderId="20" xfId="2" applyNumberFormat="1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 wrapText="1"/>
    </xf>
    <xf numFmtId="0" fontId="3" fillId="6" borderId="12" xfId="0" applyFont="1" applyFill="1" applyBorder="1" applyAlignment="1">
      <alignment horizontal="center" wrapText="1"/>
    </xf>
    <xf numFmtId="0" fontId="3" fillId="6" borderId="13" xfId="0" applyFont="1" applyFill="1" applyBorder="1" applyAlignment="1">
      <alignment horizontal="center" wrapText="1"/>
    </xf>
    <xf numFmtId="0" fontId="3" fillId="6" borderId="15" xfId="0" applyFont="1" applyFill="1" applyBorder="1" applyAlignment="1">
      <alignment horizontal="center" vertical="center" textRotation="90" wrapText="1"/>
    </xf>
    <xf numFmtId="0" fontId="3" fillId="6" borderId="18" xfId="0" applyFont="1" applyFill="1" applyBorder="1" applyAlignment="1">
      <alignment horizontal="center" vertical="center" textRotation="90" wrapText="1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A0DC6"/>
      <color rgb="FF547EC9"/>
      <color rgb="FF24284C"/>
      <color rgb="FFF25D55"/>
      <color rgb="FFF2F5F7"/>
      <color rgb="FF279C9C"/>
      <color rgb="FF2325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6A5894-6C9C-644B-A18E-F360F72A8367}">
  <we:reference id="wa200003693" version="1.0.4.0" store="en-US" storeType="OMEX"/>
  <we:alternateReferences>
    <we:reference id="wa200003693" version="1.0.4.0" store="wa200003693" storeType="OMEX"/>
  </we:alternateReferences>
  <we:properties>
    <we:property name="paintBrushArray" value="[]"/>
    <we:property name="blueBlackToggle" value="0"/>
    <we:property name="fontColorCycle" value="0"/>
    <we:property name="fillColorCycle" value="0"/>
    <we:property name="borderColorCycle" value="0"/>
    <we:property name="chartColorCycle" value="0"/>
    <we:property name="autoColorCycle" value="15"/>
    <we:property name="general" value="0"/>
    <we:property name="localCurrency" value="0"/>
    <we:property name="foreignCurrency" value="0"/>
    <we:property name="percent" value="0"/>
    <we:property name="multiple" value="0"/>
    <we:property name="date" value="0"/>
    <we:property name="binary" value="0"/>
    <we:property name="ratio" value="0"/>
    <we:property name="topBorder" value="0"/>
    <we:property name="bottomBorder" value="0"/>
    <we:property name="leftBorder" value="0"/>
    <we:property name="rightBorder" value="0"/>
    <we:property name="outsideBorder" value="0"/>
    <we:property name="insideBorder" value="0"/>
    <we:property name="centerAlignment" value="0"/>
    <we:property name="horizontalAlignment" value="0"/>
    <we:property name="verticalAlignment" value="0"/>
    <we:property name="leftIndentCycle" value="0"/>
    <we:property name="rightIndentCycle" value="0"/>
    <we:property name="fontSizeCycle" value="0"/>
    <we:property name="fontStyleCycle" value="0"/>
    <we:property name="underlineCycle" value="0"/>
    <we:property name="caseCycle" value="0"/>
    <we:property name="listCycle" value="0"/>
    <we:property name="footnotesCycle" value="0"/>
    <we:property name="rowHeightCycle" value="0"/>
    <we:property name="colWidthCycle" value="0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8A5F-A577-42C3-97EF-6781D4C74E68}">
  <sheetPr codeName="Sheet2"/>
  <dimension ref="A2:Y91"/>
  <sheetViews>
    <sheetView showGridLines="0" tabSelected="1" zoomScale="109" zoomScaleNormal="120" workbookViewId="0">
      <selection activeCell="M80" sqref="M80"/>
    </sheetView>
  </sheetViews>
  <sheetFormatPr baseColWidth="10" defaultColWidth="8.83203125" defaultRowHeight="15" outlineLevelRow="1" x14ac:dyDescent="0.2"/>
  <cols>
    <col min="1" max="1" width="3.6640625" style="31" customWidth="1"/>
    <col min="2" max="2" width="17.33203125" style="30" customWidth="1"/>
    <col min="3" max="3" width="8.1640625" style="30" customWidth="1"/>
    <col min="4" max="4" width="9.6640625" style="30" bestFit="1" customWidth="1"/>
    <col min="5" max="7" width="9.33203125" style="30" bestFit="1" customWidth="1"/>
    <col min="8" max="8" width="9.33203125" style="30" customWidth="1"/>
    <col min="9" max="13" width="10.6640625" style="30" bestFit="1" customWidth="1"/>
    <col min="14" max="15" width="11" style="88" customWidth="1"/>
    <col min="16" max="18" width="11.5" style="88" customWidth="1"/>
    <col min="19" max="23" width="8.83203125" style="30" customWidth="1"/>
    <col min="24" max="16384" width="8.83203125" style="30"/>
  </cols>
  <sheetData>
    <row r="2" spans="1:23" s="29" customFormat="1" ht="17" thickBot="1" x14ac:dyDescent="0.25">
      <c r="A2" s="27"/>
      <c r="B2" s="28" t="s">
        <v>158</v>
      </c>
    </row>
    <row r="3" spans="1:23" x14ac:dyDescent="0.2">
      <c r="N3" s="30"/>
    </row>
    <row r="4" spans="1:23" x14ac:dyDescent="0.2">
      <c r="A4" s="31" t="s">
        <v>0</v>
      </c>
      <c r="B4" s="30" t="s">
        <v>1</v>
      </c>
      <c r="C4" s="32" t="s">
        <v>144</v>
      </c>
      <c r="E4" s="30" t="s">
        <v>47</v>
      </c>
      <c r="H4" s="33">
        <v>76.34</v>
      </c>
    </row>
    <row r="5" spans="1:23" x14ac:dyDescent="0.2">
      <c r="B5" s="30" t="s">
        <v>2</v>
      </c>
      <c r="C5" s="59">
        <v>45633</v>
      </c>
      <c r="E5" s="30" t="s">
        <v>27</v>
      </c>
      <c r="H5" s="121">
        <f ca="1">M80</f>
        <v>14.076028085219644</v>
      </c>
      <c r="Q5" s="89"/>
    </row>
    <row r="6" spans="1:23" x14ac:dyDescent="0.2">
      <c r="B6" s="30" t="s">
        <v>48</v>
      </c>
      <c r="C6" s="59">
        <v>45657</v>
      </c>
      <c r="E6" s="30" t="s">
        <v>101</v>
      </c>
      <c r="H6" s="102">
        <f ca="1">H5/H4-1</f>
        <v>-0.81561398892822057</v>
      </c>
    </row>
    <row r="8" spans="1:23" x14ac:dyDescent="0.2">
      <c r="A8" s="31" t="s">
        <v>0</v>
      </c>
      <c r="B8" s="84" t="s">
        <v>3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90"/>
      <c r="S8" s="35"/>
      <c r="T8" s="35"/>
      <c r="U8" s="35"/>
      <c r="V8" s="35"/>
      <c r="W8" s="35"/>
    </row>
    <row r="9" spans="1:23" s="37" customFormat="1" x14ac:dyDescent="0.2">
      <c r="A9" s="35"/>
      <c r="B9" s="36" t="s">
        <v>28</v>
      </c>
      <c r="F9" s="36" t="s">
        <v>31</v>
      </c>
      <c r="J9" s="36" t="s">
        <v>32</v>
      </c>
      <c r="O9" s="36" t="s">
        <v>17</v>
      </c>
      <c r="R9" s="90"/>
    </row>
    <row r="10" spans="1:23" x14ac:dyDescent="0.2">
      <c r="B10" s="30" t="s">
        <v>4</v>
      </c>
      <c r="D10" s="98">
        <v>3</v>
      </c>
      <c r="F10" s="30" t="s">
        <v>153</v>
      </c>
      <c r="H10" s="153">
        <v>0.95</v>
      </c>
      <c r="N10" s="30"/>
      <c r="O10" s="30" t="s">
        <v>153</v>
      </c>
      <c r="P10" s="30"/>
      <c r="Q10" s="157">
        <v>1.1499999999999999</v>
      </c>
    </row>
    <row r="11" spans="1:23" x14ac:dyDescent="0.2">
      <c r="B11" s="30" t="s">
        <v>6</v>
      </c>
      <c r="D11" s="98">
        <v>3</v>
      </c>
      <c r="F11" s="30" t="s">
        <v>154</v>
      </c>
      <c r="H11" s="153">
        <v>0.7</v>
      </c>
      <c r="J11" s="30" t="s">
        <v>154</v>
      </c>
      <c r="L11" s="154">
        <v>0.8</v>
      </c>
      <c r="O11" s="30" t="s">
        <v>154</v>
      </c>
      <c r="P11" s="30"/>
      <c r="Q11" s="158">
        <v>0.95</v>
      </c>
    </row>
    <row r="12" spans="1:23" x14ac:dyDescent="0.2">
      <c r="B12" s="30" t="s">
        <v>29</v>
      </c>
      <c r="D12" s="98">
        <v>3</v>
      </c>
      <c r="F12" s="30" t="s">
        <v>155</v>
      </c>
      <c r="H12" s="153">
        <v>0.4</v>
      </c>
      <c r="J12" s="30" t="s">
        <v>155</v>
      </c>
      <c r="L12" s="153">
        <v>0.41499999999999998</v>
      </c>
      <c r="N12" s="30"/>
      <c r="O12" s="30" t="s">
        <v>155</v>
      </c>
      <c r="P12" s="30"/>
      <c r="Q12" s="153">
        <v>0.43</v>
      </c>
    </row>
    <row r="13" spans="1:23" x14ac:dyDescent="0.2">
      <c r="B13" s="30" t="s">
        <v>30</v>
      </c>
      <c r="D13" s="98">
        <v>3</v>
      </c>
      <c r="L13" s="155"/>
      <c r="N13" s="30"/>
      <c r="O13" s="30"/>
      <c r="P13" s="30" t="s">
        <v>33</v>
      </c>
      <c r="Q13" s="155"/>
    </row>
    <row r="14" spans="1:23" x14ac:dyDescent="0.2">
      <c r="L14" s="155"/>
      <c r="N14" s="30"/>
      <c r="O14" s="30"/>
      <c r="P14" s="30"/>
      <c r="Q14" s="155"/>
    </row>
    <row r="15" spans="1:23" x14ac:dyDescent="0.2">
      <c r="B15" s="30" t="s">
        <v>29</v>
      </c>
      <c r="D15" s="99">
        <f>CHOOSE(D12,H15,L15,Q15)</f>
        <v>0.11</v>
      </c>
      <c r="F15" s="30" t="s">
        <v>29</v>
      </c>
      <c r="H15" s="144">
        <f>WACC!F22</f>
        <v>0.14421</v>
      </c>
      <c r="J15" s="30" t="s">
        <v>29</v>
      </c>
      <c r="L15" s="156">
        <v>0.125</v>
      </c>
      <c r="N15" s="30"/>
      <c r="O15" s="30" t="s">
        <v>29</v>
      </c>
      <c r="P15" s="30"/>
      <c r="Q15" s="156">
        <v>0.11</v>
      </c>
    </row>
    <row r="16" spans="1:23" x14ac:dyDescent="0.2">
      <c r="B16" s="30" t="s">
        <v>30</v>
      </c>
      <c r="D16" s="99">
        <f>CHOOSE(D13,H16,L16,Q16)</f>
        <v>3.0000000000000002E-2</v>
      </c>
      <c r="F16" s="30" t="s">
        <v>30</v>
      </c>
      <c r="H16" s="99">
        <f>L16-0.5%</f>
        <v>0.02</v>
      </c>
      <c r="J16" s="30" t="s">
        <v>30</v>
      </c>
      <c r="L16" s="156">
        <v>2.5000000000000001E-2</v>
      </c>
      <c r="N16" s="30"/>
      <c r="O16" s="30" t="s">
        <v>30</v>
      </c>
      <c r="P16" s="30"/>
      <c r="Q16" s="156">
        <f>L16+0.5%</f>
        <v>3.0000000000000002E-2</v>
      </c>
    </row>
    <row r="18" spans="1:23" s="31" customFormat="1" outlineLevel="1" x14ac:dyDescent="0.2">
      <c r="A18" s="31" t="s">
        <v>0</v>
      </c>
      <c r="B18" s="34" t="s">
        <v>102</v>
      </c>
      <c r="C18" s="34"/>
      <c r="D18" s="39">
        <v>2020</v>
      </c>
      <c r="E18" s="39">
        <f>D18+1</f>
        <v>2021</v>
      </c>
      <c r="F18" s="39">
        <f t="shared" ref="F18:J18" si="0">E18+1</f>
        <v>2022</v>
      </c>
      <c r="G18" s="39">
        <f t="shared" si="0"/>
        <v>2023</v>
      </c>
      <c r="H18" s="40">
        <f t="shared" si="0"/>
        <v>2024</v>
      </c>
      <c r="I18" s="40">
        <f t="shared" si="0"/>
        <v>2025</v>
      </c>
      <c r="J18" s="40">
        <f t="shared" si="0"/>
        <v>2026</v>
      </c>
      <c r="T18" s="35"/>
      <c r="U18" s="35"/>
      <c r="V18" s="35"/>
      <c r="W18" s="35"/>
    </row>
    <row r="19" spans="1:23" outlineLevel="1" x14ac:dyDescent="0.2">
      <c r="B19" s="30" t="s">
        <v>4</v>
      </c>
      <c r="D19" s="103">
        <f>IS_Historicals!B3</f>
        <v>1093</v>
      </c>
      <c r="E19" s="103">
        <f>IS_Historicals!C3</f>
        <v>1542</v>
      </c>
      <c r="F19" s="103">
        <f>IS_Historicals!D3</f>
        <v>1906</v>
      </c>
      <c r="G19" s="103">
        <f>IS_Historicals!E3</f>
        <v>2225</v>
      </c>
      <c r="H19" s="103">
        <f>IS_Est.!B3</f>
        <v>2810</v>
      </c>
      <c r="I19" s="103">
        <f>IS_Est.!C3</f>
        <v>3513</v>
      </c>
      <c r="J19" s="103">
        <f>IS_Est.!D3</f>
        <v>4216</v>
      </c>
      <c r="K19" s="41"/>
      <c r="L19" s="41"/>
      <c r="M19" s="41"/>
      <c r="N19" s="91"/>
      <c r="O19" s="91"/>
      <c r="P19" s="91"/>
      <c r="Q19" s="91"/>
      <c r="R19" s="91"/>
      <c r="S19" s="42"/>
      <c r="T19" s="42"/>
      <c r="U19" s="42"/>
      <c r="V19" s="42"/>
      <c r="W19" s="42"/>
    </row>
    <row r="20" spans="1:23" outlineLevel="1" x14ac:dyDescent="0.2">
      <c r="B20" s="43" t="s">
        <v>5</v>
      </c>
      <c r="D20" s="44" t="s">
        <v>99</v>
      </c>
      <c r="E20" s="102">
        <f>E19/D19-1</f>
        <v>0.41079597438243365</v>
      </c>
      <c r="F20" s="102">
        <f t="shared" ref="F20:J20" si="1">F19/E19-1</f>
        <v>0.23605706874189369</v>
      </c>
      <c r="G20" s="102">
        <f t="shared" si="1"/>
        <v>0.16736621196222456</v>
      </c>
      <c r="H20" s="102">
        <f t="shared" si="1"/>
        <v>0.26292134831460667</v>
      </c>
      <c r="I20" s="102">
        <f t="shared" si="1"/>
        <v>0.25017793594306048</v>
      </c>
      <c r="J20" s="102">
        <f t="shared" si="1"/>
        <v>0.20011386279533161</v>
      </c>
      <c r="K20" s="45"/>
      <c r="L20" s="45"/>
      <c r="M20" s="45"/>
      <c r="N20" s="92"/>
      <c r="O20" s="92"/>
      <c r="P20" s="92"/>
      <c r="Q20" s="92"/>
      <c r="R20" s="92"/>
    </row>
    <row r="21" spans="1:23" outlineLevel="1" x14ac:dyDescent="0.2"/>
    <row r="22" spans="1:23" outlineLevel="1" x14ac:dyDescent="0.2">
      <c r="B22" s="30" t="s">
        <v>6</v>
      </c>
      <c r="D22" s="103">
        <f>IS_Historicals!B13</f>
        <v>-1179</v>
      </c>
      <c r="E22" s="103">
        <f>IS_Historicals!C10</f>
        <v>-411</v>
      </c>
      <c r="F22" s="103">
        <f>IS_Historicals!D10</f>
        <v>-161</v>
      </c>
      <c r="G22" s="103">
        <f>IS_Historicals!E10</f>
        <v>120</v>
      </c>
      <c r="H22" s="103">
        <f>IS_Est.!B7</f>
        <v>1062</v>
      </c>
      <c r="I22" s="103">
        <f>IS_Est.!C7</f>
        <v>1354</v>
      </c>
      <c r="J22" s="103">
        <f>IS_Est.!D7</f>
        <v>1654</v>
      </c>
      <c r="K22" s="41"/>
      <c r="L22" s="41"/>
      <c r="M22" s="41"/>
      <c r="N22" s="91"/>
      <c r="O22" s="91"/>
      <c r="P22" s="91"/>
      <c r="Q22" s="91"/>
      <c r="R22" s="91"/>
      <c r="S22" s="42"/>
      <c r="T22" s="42"/>
      <c r="U22" s="42"/>
      <c r="V22" s="42"/>
      <c r="W22" s="42"/>
    </row>
    <row r="23" spans="1:23" outlineLevel="1" x14ac:dyDescent="0.2">
      <c r="B23" s="43" t="s">
        <v>7</v>
      </c>
      <c r="D23" s="102">
        <f>D22/D$19</f>
        <v>-1.0786825251601098</v>
      </c>
      <c r="E23" s="102">
        <f t="shared" ref="E23:J23" si="2">E22/E$19</f>
        <v>-0.26653696498054474</v>
      </c>
      <c r="F23" s="102">
        <f t="shared" si="2"/>
        <v>-8.4470094438614904E-2</v>
      </c>
      <c r="G23" s="102">
        <f t="shared" si="2"/>
        <v>5.3932584269662923E-2</v>
      </c>
      <c r="H23" s="102">
        <f t="shared" si="2"/>
        <v>0.37793594306049821</v>
      </c>
      <c r="I23" s="102">
        <f t="shared" si="2"/>
        <v>0.38542556219755197</v>
      </c>
      <c r="J23" s="102">
        <f t="shared" si="2"/>
        <v>0.39231499051233398</v>
      </c>
      <c r="K23" s="45"/>
      <c r="L23" s="45"/>
      <c r="M23" s="45"/>
      <c r="N23" s="92"/>
      <c r="O23" s="92"/>
      <c r="P23" s="92"/>
      <c r="Q23" s="92"/>
      <c r="R23" s="92"/>
    </row>
    <row r="24" spans="1:23" outlineLevel="1" x14ac:dyDescent="0.2"/>
    <row r="25" spans="1:23" outlineLevel="1" x14ac:dyDescent="0.2">
      <c r="B25" s="30" t="s">
        <v>8</v>
      </c>
      <c r="D25" s="103">
        <f>IS_Historicals!B14</f>
        <v>-13</v>
      </c>
      <c r="E25" s="103">
        <f>IS_Historicals!C14</f>
        <v>32</v>
      </c>
      <c r="F25" s="103">
        <f>IS_Historicals!D14</f>
        <v>10</v>
      </c>
      <c r="G25" s="103">
        <f>IS_Historicals!E14</f>
        <v>20</v>
      </c>
      <c r="H25" s="41"/>
      <c r="I25" s="41"/>
      <c r="J25" s="41"/>
      <c r="K25" s="41"/>
      <c r="L25" s="41"/>
      <c r="M25" s="41"/>
      <c r="N25" s="91"/>
      <c r="O25" s="91"/>
      <c r="P25" s="91"/>
      <c r="Q25" s="91"/>
      <c r="R25" s="91"/>
    </row>
    <row r="26" spans="1:23" outlineLevel="1" x14ac:dyDescent="0.2">
      <c r="B26" s="43" t="s">
        <v>9</v>
      </c>
      <c r="D26" s="104">
        <f>D25/IS_Historicals!B13</f>
        <v>1.102629346904156E-2</v>
      </c>
      <c r="E26" s="104">
        <f>E25/IS_Historicals!C13</f>
        <v>-6.5573770491803282E-2</v>
      </c>
      <c r="F26" s="104">
        <f>F25/IS_Historicals!D13</f>
        <v>-2.7700831024930747E-2</v>
      </c>
      <c r="G26" s="104">
        <f>G25/IS_Historicals!E13</f>
        <v>8.4388185654008435E-2</v>
      </c>
      <c r="H26" s="45"/>
      <c r="I26" s="45"/>
      <c r="J26" s="45"/>
      <c r="K26" s="45"/>
      <c r="L26" s="45"/>
      <c r="M26" s="45"/>
      <c r="N26" s="92"/>
      <c r="O26" s="92"/>
      <c r="P26" s="92"/>
      <c r="Q26" s="92"/>
      <c r="R26" s="92"/>
    </row>
    <row r="27" spans="1:23" outlineLevel="1" x14ac:dyDescent="0.2"/>
    <row r="28" spans="1:23" s="31" customFormat="1" outlineLevel="1" x14ac:dyDescent="0.2">
      <c r="A28" s="31" t="s">
        <v>0</v>
      </c>
      <c r="B28" s="34" t="s">
        <v>103</v>
      </c>
      <c r="C28" s="34"/>
      <c r="D28" s="39">
        <f>D18</f>
        <v>2020</v>
      </c>
      <c r="E28" s="39">
        <f>D28+1</f>
        <v>2021</v>
      </c>
      <c r="F28" s="39">
        <f t="shared" ref="F28:J28" si="3">E28+1</f>
        <v>2022</v>
      </c>
      <c r="G28" s="39">
        <f t="shared" si="3"/>
        <v>2023</v>
      </c>
      <c r="H28" s="40">
        <f t="shared" si="3"/>
        <v>2024</v>
      </c>
      <c r="I28" s="40">
        <f t="shared" si="3"/>
        <v>2025</v>
      </c>
      <c r="J28" s="40">
        <f t="shared" si="3"/>
        <v>2026</v>
      </c>
      <c r="T28" s="35"/>
      <c r="U28" s="35"/>
      <c r="V28" s="35"/>
      <c r="W28" s="35"/>
    </row>
    <row r="29" spans="1:23" outlineLevel="1" x14ac:dyDescent="0.2">
      <c r="B29" s="30" t="s">
        <v>11</v>
      </c>
      <c r="D29" s="103">
        <f>CFS_Historicals!B5</f>
        <v>14</v>
      </c>
      <c r="E29" s="103">
        <f>CFS_Historicals!C5</f>
        <v>15</v>
      </c>
      <c r="F29" s="103">
        <f>CFS_Historicals!D5</f>
        <v>23</v>
      </c>
      <c r="G29" s="103">
        <f>CFS_Historicals!E5</f>
        <v>33</v>
      </c>
      <c r="H29" s="41"/>
      <c r="I29" s="41"/>
      <c r="J29" s="41"/>
      <c r="K29" s="41"/>
      <c r="L29" s="41"/>
      <c r="M29" s="41"/>
      <c r="N29" s="91"/>
      <c r="O29" s="91"/>
      <c r="P29" s="91"/>
      <c r="Q29" s="91"/>
      <c r="R29" s="91"/>
    </row>
    <row r="30" spans="1:23" outlineLevel="1" x14ac:dyDescent="0.2">
      <c r="B30" s="43" t="s">
        <v>7</v>
      </c>
      <c r="D30" s="102">
        <f>D29/D$19</f>
        <v>1.2808783165599268E-2</v>
      </c>
      <c r="E30" s="102">
        <f t="shared" ref="E30" si="4">E29/E$19</f>
        <v>9.727626459143969E-3</v>
      </c>
      <c r="F30" s="102">
        <f t="shared" ref="F30" si="5">F29/F$19</f>
        <v>1.2067156348373556E-2</v>
      </c>
      <c r="G30" s="102">
        <f t="shared" ref="G30" si="6">G29/G$19</f>
        <v>1.4831460674157304E-2</v>
      </c>
      <c r="H30" s="45"/>
      <c r="I30" s="45"/>
      <c r="J30" s="45"/>
      <c r="K30" s="45"/>
      <c r="L30" s="45"/>
      <c r="M30" s="45"/>
      <c r="N30" s="92"/>
      <c r="O30" s="92"/>
      <c r="P30" s="92"/>
      <c r="Q30" s="92"/>
      <c r="R30" s="92"/>
    </row>
    <row r="31" spans="1:23" outlineLevel="1" x14ac:dyDescent="0.2">
      <c r="B31" s="43"/>
    </row>
    <row r="32" spans="1:23" outlineLevel="1" x14ac:dyDescent="0.2">
      <c r="B32" s="30" t="s">
        <v>12</v>
      </c>
      <c r="D32" s="103">
        <f>-CFS_Historicals!B20</f>
        <v>12</v>
      </c>
      <c r="E32" s="103">
        <f>-CFS_Historicals!C20</f>
        <v>13</v>
      </c>
      <c r="F32" s="103">
        <f>-CFS_Historicals!D20</f>
        <v>40</v>
      </c>
      <c r="G32" s="103">
        <f>-CFS_Historicals!E20</f>
        <v>15</v>
      </c>
      <c r="H32" s="41"/>
      <c r="I32" s="41"/>
      <c r="J32" s="41"/>
      <c r="K32" s="41"/>
      <c r="L32" s="41"/>
      <c r="M32" s="41"/>
      <c r="N32" s="91"/>
      <c r="O32" s="91"/>
      <c r="P32" s="91"/>
      <c r="Q32" s="91"/>
      <c r="R32" s="91"/>
    </row>
    <row r="33" spans="1:23" outlineLevel="1" x14ac:dyDescent="0.2">
      <c r="B33" s="43" t="s">
        <v>7</v>
      </c>
      <c r="D33" s="102">
        <f t="shared" ref="D33:G33" si="7">D32/D$19</f>
        <v>1.0978956999085087E-2</v>
      </c>
      <c r="E33" s="102">
        <f t="shared" si="7"/>
        <v>8.4306095979247726E-3</v>
      </c>
      <c r="F33" s="102">
        <f t="shared" si="7"/>
        <v>2.098635886673662E-2</v>
      </c>
      <c r="G33" s="102">
        <f t="shared" si="7"/>
        <v>6.7415730337078653E-3</v>
      </c>
      <c r="H33" s="45"/>
      <c r="I33" s="45"/>
      <c r="J33" s="45"/>
      <c r="K33" s="45"/>
      <c r="L33" s="45"/>
      <c r="M33" s="45"/>
      <c r="N33" s="92"/>
      <c r="O33" s="92"/>
      <c r="P33" s="92"/>
      <c r="Q33" s="92"/>
      <c r="R33" s="92"/>
    </row>
    <row r="34" spans="1:23" outlineLevel="1" x14ac:dyDescent="0.2">
      <c r="B34" s="43"/>
    </row>
    <row r="35" spans="1:23" outlineLevel="1" x14ac:dyDescent="0.2">
      <c r="B35" s="30" t="s">
        <v>13</v>
      </c>
      <c r="D35" s="103">
        <f>CFS_Historicals!B10</f>
        <v>-454.1</v>
      </c>
      <c r="E35" s="103">
        <f>CFS_Historicals!C10</f>
        <v>-92.1</v>
      </c>
      <c r="F35" s="103">
        <f>CFS_Historicals!D10</f>
        <v>-267.10000000000002</v>
      </c>
      <c r="G35" s="103">
        <f>CFS_Historicals!E10</f>
        <v>6.2</v>
      </c>
      <c r="H35" s="41"/>
      <c r="I35" s="41"/>
      <c r="J35" s="41"/>
      <c r="K35" s="41"/>
      <c r="L35" s="41"/>
      <c r="M35" s="41"/>
      <c r="N35" s="91"/>
      <c r="O35" s="91"/>
      <c r="P35" s="91"/>
      <c r="Q35" s="91"/>
      <c r="R35" s="91"/>
    </row>
    <row r="36" spans="1:23" outlineLevel="1" x14ac:dyDescent="0.2">
      <c r="B36" s="43" t="s">
        <v>7</v>
      </c>
      <c r="D36" s="102">
        <f t="shared" ref="D36" si="8">D35/D$19</f>
        <v>-0.41546203110704483</v>
      </c>
      <c r="E36" s="102">
        <f t="shared" ref="E36" si="9">E35/E$19</f>
        <v>-5.9727626459143965E-2</v>
      </c>
      <c r="F36" s="102">
        <f t="shared" ref="F36" si="10">F35/F$19</f>
        <v>-0.1401364113326338</v>
      </c>
      <c r="G36" s="102">
        <f t="shared" ref="G36" si="11">G35/G$19</f>
        <v>2.7865168539325845E-3</v>
      </c>
      <c r="H36" s="45"/>
      <c r="I36" s="45"/>
      <c r="J36" s="45"/>
      <c r="K36" s="45"/>
      <c r="L36" s="45"/>
      <c r="M36" s="45"/>
      <c r="N36" s="92"/>
      <c r="O36" s="92"/>
      <c r="P36" s="92"/>
      <c r="Q36" s="92"/>
      <c r="R36" s="92"/>
    </row>
    <row r="37" spans="1:23" ht="31" outlineLevel="1" x14ac:dyDescent="0.35">
      <c r="B37" s="43" t="s">
        <v>14</v>
      </c>
      <c r="D37" s="46" t="s">
        <v>99</v>
      </c>
      <c r="E37" s="102">
        <f t="shared" ref="E37:G37" si="12">E35/(E19-D19)</f>
        <v>-0.20512249443207126</v>
      </c>
      <c r="F37" s="102">
        <f t="shared" si="12"/>
        <v>-0.73379120879120885</v>
      </c>
      <c r="G37" s="102">
        <f t="shared" si="12"/>
        <v>1.9435736677115987E-2</v>
      </c>
      <c r="H37" s="45"/>
      <c r="I37" s="45"/>
      <c r="J37" s="45"/>
      <c r="K37" s="45"/>
      <c r="L37" s="45"/>
      <c r="M37" s="45"/>
      <c r="N37" s="101"/>
      <c r="O37" s="92"/>
      <c r="P37" s="92"/>
      <c r="Q37" s="92"/>
      <c r="R37" s="92"/>
    </row>
    <row r="39" spans="1:23" s="31" customFormat="1" x14ac:dyDescent="0.2">
      <c r="A39" s="31" t="s">
        <v>0</v>
      </c>
      <c r="B39" s="34" t="s">
        <v>104</v>
      </c>
      <c r="C39" s="34"/>
      <c r="D39" s="39">
        <f>D18</f>
        <v>2020</v>
      </c>
      <c r="E39" s="39">
        <f>D39+1</f>
        <v>2021</v>
      </c>
      <c r="F39" s="39">
        <f t="shared" ref="F39:L39" si="13">E39+1</f>
        <v>2022</v>
      </c>
      <c r="G39" s="39">
        <f t="shared" si="13"/>
        <v>2023</v>
      </c>
      <c r="H39" s="40">
        <f t="shared" si="13"/>
        <v>2024</v>
      </c>
      <c r="I39" s="40">
        <f t="shared" si="13"/>
        <v>2025</v>
      </c>
      <c r="J39" s="40">
        <f t="shared" si="13"/>
        <v>2026</v>
      </c>
      <c r="K39" s="40">
        <f t="shared" si="13"/>
        <v>2027</v>
      </c>
      <c r="L39" s="40">
        <f t="shared" si="13"/>
        <v>2028</v>
      </c>
      <c r="M39" s="40">
        <f t="shared" ref="M39" si="14">L39+1</f>
        <v>2029</v>
      </c>
      <c r="N39" s="47"/>
      <c r="O39" s="47"/>
      <c r="P39" s="47"/>
      <c r="Q39" s="47"/>
      <c r="R39" s="47"/>
      <c r="S39" s="47"/>
      <c r="T39" s="47"/>
      <c r="U39" s="47"/>
      <c r="V39" s="47"/>
      <c r="W39" s="47"/>
    </row>
    <row r="40" spans="1:23" x14ac:dyDescent="0.2">
      <c r="B40" s="30" t="s">
        <v>4</v>
      </c>
      <c r="D40" s="110">
        <f>D19</f>
        <v>1093</v>
      </c>
      <c r="E40" s="110">
        <f t="shared" ref="E40:G40" si="15">E19</f>
        <v>1542</v>
      </c>
      <c r="F40" s="110">
        <f t="shared" si="15"/>
        <v>1906</v>
      </c>
      <c r="G40" s="110">
        <f t="shared" si="15"/>
        <v>2225</v>
      </c>
      <c r="H40" s="105">
        <f ca="1">G40*(1+H41)</f>
        <v>2854.5</v>
      </c>
      <c r="I40" s="105">
        <f t="shared" ref="I40:M40" ca="1" si="16">H40*(1+I41)</f>
        <v>3675.7528558718859</v>
      </c>
      <c r="J40" s="105">
        <f t="shared" ca="1" si="16"/>
        <v>4680.4074026737162</v>
      </c>
      <c r="K40" s="105">
        <f t="shared" ca="1" si="16"/>
        <v>5895.6912164225196</v>
      </c>
      <c r="L40" s="105">
        <f t="shared" ca="1" si="16"/>
        <v>7349.9858141496206</v>
      </c>
      <c r="M40" s="105">
        <f t="shared" ca="1" si="16"/>
        <v>9072.3610297067808</v>
      </c>
      <c r="N40" s="49"/>
      <c r="O40" s="49"/>
      <c r="P40" s="49"/>
      <c r="Q40" s="49"/>
      <c r="R40" s="49"/>
      <c r="S40" s="49"/>
      <c r="T40" s="49"/>
      <c r="U40" s="49"/>
      <c r="V40" s="49"/>
      <c r="W40" s="49"/>
    </row>
    <row r="41" spans="1:23" s="43" customFormat="1" x14ac:dyDescent="0.2">
      <c r="A41" s="50"/>
      <c r="B41" s="43" t="s">
        <v>5</v>
      </c>
      <c r="D41" s="107" t="str">
        <f>D20</f>
        <v>--</v>
      </c>
      <c r="E41" s="107">
        <f t="shared" ref="E41:G41" si="17">E20</f>
        <v>0.41079597438243365</v>
      </c>
      <c r="F41" s="107">
        <f t="shared" si="17"/>
        <v>0.23605706874189369</v>
      </c>
      <c r="G41" s="107">
        <f t="shared" si="17"/>
        <v>0.16736621196222456</v>
      </c>
      <c r="H41" s="106">
        <f ca="1">OFFSET(H41,$D$10,0)</f>
        <v>0.28292134831460669</v>
      </c>
      <c r="I41" s="106">
        <f t="shared" ref="I41:M41" ca="1" si="18">OFFSET(I41,$D$10,0)</f>
        <v>0.28770462633451954</v>
      </c>
      <c r="J41" s="106">
        <f t="shared" ca="1" si="18"/>
        <v>0.27331939501779356</v>
      </c>
      <c r="K41" s="106">
        <f t="shared" ca="1" si="18"/>
        <v>0.25965342526690388</v>
      </c>
      <c r="L41" s="106">
        <f t="shared" ca="1" si="18"/>
        <v>0.24667075400355867</v>
      </c>
      <c r="M41" s="106">
        <f t="shared" ca="1" si="18"/>
        <v>0.23433721630338072</v>
      </c>
      <c r="N41" s="53"/>
      <c r="O41" s="53"/>
      <c r="P41" s="53"/>
      <c r="Q41" s="53"/>
      <c r="R41" s="146"/>
      <c r="S41" s="52"/>
      <c r="T41" s="52"/>
      <c r="U41" s="52"/>
      <c r="V41" s="52"/>
      <c r="W41" s="52"/>
    </row>
    <row r="42" spans="1:23" x14ac:dyDescent="0.2">
      <c r="B42" s="30" t="s">
        <v>15</v>
      </c>
      <c r="D42" s="148"/>
      <c r="E42" s="148"/>
      <c r="F42" s="148"/>
      <c r="G42" s="148"/>
      <c r="H42" s="108">
        <f>$H$20</f>
        <v>0.26292134831460667</v>
      </c>
      <c r="I42" s="108">
        <f>I43*H10</f>
        <v>0.23766903914590745</v>
      </c>
      <c r="J42" s="108">
        <f>I42*$H$11</f>
        <v>0.1663683274021352</v>
      </c>
      <c r="K42" s="108">
        <f t="shared" ref="K42:M42" si="19">J42*$H$11</f>
        <v>0.11645782918149462</v>
      </c>
      <c r="L42" s="108">
        <f t="shared" si="19"/>
        <v>8.1520480427046238E-2</v>
      </c>
      <c r="M42" s="108">
        <f t="shared" si="19"/>
        <v>5.7064336298932365E-2</v>
      </c>
      <c r="N42" s="53"/>
      <c r="O42" s="53"/>
      <c r="P42" s="53"/>
      <c r="Q42" s="53"/>
      <c r="R42" s="53"/>
      <c r="S42" s="53"/>
      <c r="T42" s="53"/>
      <c r="U42" s="53"/>
      <c r="V42" s="53"/>
      <c r="W42" s="54"/>
    </row>
    <row r="43" spans="1:23" x14ac:dyDescent="0.2">
      <c r="B43" s="30" t="s">
        <v>16</v>
      </c>
      <c r="D43" s="147"/>
      <c r="E43" s="147"/>
      <c r="F43" s="147"/>
      <c r="G43" s="147"/>
      <c r="H43" s="109">
        <f>$H$20</f>
        <v>0.26292134831460667</v>
      </c>
      <c r="I43" s="108">
        <f>I20</f>
        <v>0.25017793594306048</v>
      </c>
      <c r="J43" s="108">
        <f>I43*$L$11</f>
        <v>0.20014234875444839</v>
      </c>
      <c r="K43" s="108">
        <f t="shared" ref="K43:M43" si="20">J43*$L$11</f>
        <v>0.16011387900355872</v>
      </c>
      <c r="L43" s="108">
        <f t="shared" si="20"/>
        <v>0.12809110320284697</v>
      </c>
      <c r="M43" s="108">
        <f t="shared" si="20"/>
        <v>0.10247288256227759</v>
      </c>
      <c r="N43" s="53"/>
      <c r="O43" s="53"/>
      <c r="P43" s="53"/>
      <c r="Q43" s="53"/>
      <c r="R43" s="53"/>
      <c r="S43" s="53"/>
      <c r="T43" s="53"/>
      <c r="U43" s="53"/>
      <c r="V43" s="53"/>
      <c r="W43" s="55"/>
    </row>
    <row r="44" spans="1:23" x14ac:dyDescent="0.2">
      <c r="B44" s="30" t="s">
        <v>17</v>
      </c>
      <c r="D44" s="147"/>
      <c r="E44" s="149"/>
      <c r="F44" s="149"/>
      <c r="G44" s="149"/>
      <c r="H44" s="108">
        <f>$H$20+2%</f>
        <v>0.28292134831460669</v>
      </c>
      <c r="I44" s="108">
        <f>I43*Q10</f>
        <v>0.28770462633451954</v>
      </c>
      <c r="J44" s="108">
        <f>I44*$Q$11</f>
        <v>0.27331939501779356</v>
      </c>
      <c r="K44" s="108">
        <f t="shared" ref="K44:M44" si="21">J44*$Q$11</f>
        <v>0.25965342526690388</v>
      </c>
      <c r="L44" s="108">
        <f t="shared" si="21"/>
        <v>0.24667075400355867</v>
      </c>
      <c r="M44" s="108">
        <f t="shared" si="21"/>
        <v>0.23433721630338072</v>
      </c>
      <c r="N44" s="53"/>
      <c r="O44" s="53"/>
      <c r="P44" s="53"/>
      <c r="Q44" s="53"/>
      <c r="R44" s="53"/>
      <c r="S44" s="53"/>
      <c r="T44" s="53"/>
      <c r="U44" s="53"/>
      <c r="V44" s="53"/>
      <c r="W44" s="52"/>
    </row>
    <row r="45" spans="1:23" x14ac:dyDescent="0.2">
      <c r="D45" s="148"/>
      <c r="E45" s="148"/>
      <c r="F45" s="148"/>
      <c r="G45" s="148"/>
      <c r="H45" s="150"/>
      <c r="I45" s="150"/>
      <c r="J45" s="150"/>
      <c r="K45" s="150"/>
      <c r="L45" s="150"/>
      <c r="M45" s="150"/>
    </row>
    <row r="46" spans="1:23" x14ac:dyDescent="0.2">
      <c r="B46" s="30" t="s">
        <v>6</v>
      </c>
      <c r="D46" s="110">
        <f>D22</f>
        <v>-1179</v>
      </c>
      <c r="E46" s="110">
        <f t="shared" ref="E46:G46" si="22">E22</f>
        <v>-411</v>
      </c>
      <c r="F46" s="110">
        <f t="shared" si="22"/>
        <v>-161</v>
      </c>
      <c r="G46" s="110">
        <f t="shared" si="22"/>
        <v>120</v>
      </c>
      <c r="H46" s="105">
        <f ca="1">H47*H40</f>
        <v>1107.3631494661922</v>
      </c>
      <c r="I46" s="105">
        <f t="shared" ref="I46:M46" ca="1" si="23">I47*I40</f>
        <v>1456.8800660849658</v>
      </c>
      <c r="J46" s="105">
        <f t="shared" ca="1" si="23"/>
        <v>1894.4490290580181</v>
      </c>
      <c r="K46" s="105">
        <f t="shared" ca="1" si="23"/>
        <v>2435.9485466515562</v>
      </c>
      <c r="L46" s="105">
        <f t="shared" ca="1" si="23"/>
        <v>3098.6598557261527</v>
      </c>
      <c r="M46" s="105">
        <f t="shared" ca="1" si="23"/>
        <v>3901.1152427739157</v>
      </c>
      <c r="N46" s="49"/>
      <c r="O46" s="49"/>
      <c r="P46" s="49"/>
      <c r="Q46" s="49"/>
      <c r="R46" s="49"/>
      <c r="S46" s="49"/>
      <c r="T46" s="49"/>
      <c r="U46" s="49"/>
      <c r="V46" s="49"/>
      <c r="W46" s="49"/>
    </row>
    <row r="47" spans="1:23" x14ac:dyDescent="0.2">
      <c r="B47" s="43" t="s">
        <v>7</v>
      </c>
      <c r="D47" s="107">
        <f>D23</f>
        <v>-1.0786825251601098</v>
      </c>
      <c r="E47" s="107">
        <f t="shared" ref="E47:G47" si="24">E23</f>
        <v>-0.26653696498054474</v>
      </c>
      <c r="F47" s="107">
        <f t="shared" si="24"/>
        <v>-8.4470094438614904E-2</v>
      </c>
      <c r="G47" s="107">
        <f t="shared" si="24"/>
        <v>5.3932584269662923E-2</v>
      </c>
      <c r="H47" s="106">
        <f ca="1">OFFSET(H47,$D$11,0)</f>
        <v>0.38793594306049822</v>
      </c>
      <c r="I47" s="106">
        <f t="shared" ref="I47:M47" ca="1" si="25">OFFSET(I47,$D$11,0)</f>
        <v>0.39634875444839857</v>
      </c>
      <c r="J47" s="106">
        <f t="shared" ca="1" si="25"/>
        <v>0.40476156583629891</v>
      </c>
      <c r="K47" s="106">
        <f t="shared" ca="1" si="25"/>
        <v>0.41317437722419925</v>
      </c>
      <c r="L47" s="106">
        <f t="shared" ca="1" si="25"/>
        <v>0.42158718861209959</v>
      </c>
      <c r="M47" s="106">
        <f t="shared" ca="1" si="25"/>
        <v>0.43</v>
      </c>
      <c r="N47" s="100"/>
      <c r="O47" s="53"/>
      <c r="P47" s="53"/>
      <c r="Q47" s="53"/>
      <c r="R47" s="53"/>
      <c r="S47" s="52"/>
      <c r="T47" s="52"/>
      <c r="U47" s="52"/>
      <c r="V47" s="52"/>
      <c r="W47" s="52"/>
    </row>
    <row r="48" spans="1:23" x14ac:dyDescent="0.2">
      <c r="B48" s="30" t="s">
        <v>15</v>
      </c>
      <c r="D48" s="148"/>
      <c r="E48" s="148"/>
      <c r="F48" s="148"/>
      <c r="G48" s="148"/>
      <c r="H48" s="108">
        <f>H49-1%</f>
        <v>0.36793594306049821</v>
      </c>
      <c r="I48" s="108">
        <f>H48+(($M48-$H48)/($M$39-$H$39))</f>
        <v>0.37434875444839855</v>
      </c>
      <c r="J48" s="108">
        <f t="shared" ref="J48:L48" si="26">I48+(($M48-$H48)/($M$39-$H$39))</f>
        <v>0.38076156583629889</v>
      </c>
      <c r="K48" s="108">
        <f t="shared" si="26"/>
        <v>0.38717437722419923</v>
      </c>
      <c r="L48" s="108">
        <f t="shared" si="26"/>
        <v>0.39358718861209957</v>
      </c>
      <c r="M48" s="108">
        <f>H12</f>
        <v>0.4</v>
      </c>
      <c r="N48" s="53"/>
      <c r="O48" s="53"/>
      <c r="P48" s="53"/>
      <c r="Q48" s="53"/>
      <c r="R48" s="53"/>
      <c r="S48" s="53"/>
      <c r="T48" s="53"/>
      <c r="U48" s="53"/>
      <c r="V48" s="53"/>
      <c r="W48" s="54"/>
    </row>
    <row r="49" spans="1:23" x14ac:dyDescent="0.2">
      <c r="B49" s="30" t="s">
        <v>16</v>
      </c>
      <c r="D49" s="148"/>
      <c r="E49" s="148"/>
      <c r="F49" s="148"/>
      <c r="G49" s="148"/>
      <c r="H49" s="109">
        <f>H23</f>
        <v>0.37793594306049821</v>
      </c>
      <c r="I49" s="108">
        <f t="shared" ref="I49:L49" si="27">H49+(($M49-$H49)/($M$39-$H$39))</f>
        <v>0.38534875444839856</v>
      </c>
      <c r="J49" s="108">
        <f t="shared" si="27"/>
        <v>0.3927615658362989</v>
      </c>
      <c r="K49" s="108">
        <f t="shared" si="27"/>
        <v>0.40017437722419924</v>
      </c>
      <c r="L49" s="108">
        <f t="shared" si="27"/>
        <v>0.40758718861209958</v>
      </c>
      <c r="M49" s="108">
        <f>L12</f>
        <v>0.41499999999999998</v>
      </c>
      <c r="N49" s="53"/>
      <c r="O49" s="53"/>
      <c r="P49" s="53"/>
      <c r="Q49" s="53"/>
      <c r="R49" s="53"/>
      <c r="S49" s="53"/>
      <c r="T49" s="53"/>
      <c r="U49" s="53"/>
      <c r="V49" s="53"/>
      <c r="W49" s="55"/>
    </row>
    <row r="50" spans="1:23" x14ac:dyDescent="0.2">
      <c r="B50" s="30" t="s">
        <v>17</v>
      </c>
      <c r="D50" s="148"/>
      <c r="E50" s="148"/>
      <c r="F50" s="148"/>
      <c r="G50" s="148"/>
      <c r="H50" s="108">
        <f>H49+1%</f>
        <v>0.38793594306049822</v>
      </c>
      <c r="I50" s="108">
        <f t="shared" ref="I50:L50" si="28">H50+(($M50-$H50)/($M$39-$H$39))</f>
        <v>0.39634875444839857</v>
      </c>
      <c r="J50" s="108">
        <f t="shared" si="28"/>
        <v>0.40476156583629891</v>
      </c>
      <c r="K50" s="108">
        <f t="shared" si="28"/>
        <v>0.41317437722419925</v>
      </c>
      <c r="L50" s="108">
        <f t="shared" si="28"/>
        <v>0.42158718861209959</v>
      </c>
      <c r="M50" s="108">
        <f>Q12</f>
        <v>0.43</v>
      </c>
      <c r="N50" s="53"/>
      <c r="O50" s="53"/>
      <c r="P50" s="53"/>
      <c r="Q50" s="53"/>
      <c r="R50" s="53"/>
      <c r="S50" s="53"/>
      <c r="T50" s="53"/>
      <c r="U50" s="53"/>
      <c r="V50" s="53"/>
      <c r="W50" s="52"/>
    </row>
    <row r="51" spans="1:23" x14ac:dyDescent="0.2">
      <c r="D51" s="148"/>
      <c r="E51" s="148"/>
      <c r="F51" s="148"/>
      <c r="G51" s="148"/>
      <c r="H51" s="150"/>
      <c r="I51" s="150"/>
      <c r="J51" s="150"/>
      <c r="K51" s="150"/>
      <c r="L51" s="150"/>
      <c r="M51" s="150"/>
    </row>
    <row r="52" spans="1:23" x14ac:dyDescent="0.2">
      <c r="B52" s="30" t="s">
        <v>18</v>
      </c>
      <c r="D52" s="110">
        <f>D25</f>
        <v>-13</v>
      </c>
      <c r="E52" s="110">
        <f t="shared" ref="E52:G52" si="29">E25</f>
        <v>32</v>
      </c>
      <c r="F52" s="110">
        <f t="shared" si="29"/>
        <v>10</v>
      </c>
      <c r="G52" s="110">
        <f t="shared" si="29"/>
        <v>20</v>
      </c>
      <c r="H52" s="105">
        <f ca="1">H53*H46</f>
        <v>11.073631494661923</v>
      </c>
      <c r="I52" s="105">
        <f t="shared" ref="I52:M52" ca="1" si="30">I53*I46</f>
        <v>72.84400330424829</v>
      </c>
      <c r="J52" s="105">
        <f t="shared" ca="1" si="30"/>
        <v>170.50041261522162</v>
      </c>
      <c r="K52" s="105">
        <f t="shared" ca="1" si="30"/>
        <v>316.67331106470232</v>
      </c>
      <c r="L52" s="105">
        <f t="shared" ca="1" si="30"/>
        <v>526.77217547344594</v>
      </c>
      <c r="M52" s="105">
        <f t="shared" ca="1" si="30"/>
        <v>819.23420098252222</v>
      </c>
      <c r="N52" s="49"/>
      <c r="O52" s="49"/>
      <c r="P52" s="49"/>
      <c r="Q52" s="49"/>
      <c r="R52" s="49"/>
      <c r="S52" s="48"/>
      <c r="T52" s="48"/>
      <c r="U52" s="48"/>
      <c r="V52" s="48"/>
      <c r="W52" s="48"/>
    </row>
    <row r="53" spans="1:23" x14ac:dyDescent="0.2">
      <c r="B53" s="43" t="s">
        <v>156</v>
      </c>
      <c r="D53" s="107">
        <f>D26</f>
        <v>1.102629346904156E-2</v>
      </c>
      <c r="E53" s="107">
        <f t="shared" ref="E53:G53" si="31">E26</f>
        <v>-6.5573770491803282E-2</v>
      </c>
      <c r="F53" s="107">
        <f t="shared" si="31"/>
        <v>-2.7700831024930747E-2</v>
      </c>
      <c r="G53" s="107">
        <f t="shared" si="31"/>
        <v>8.4388185654008435E-2</v>
      </c>
      <c r="H53" s="119">
        <v>0.01</v>
      </c>
      <c r="I53" s="108">
        <f t="shared" ref="I53:L53" si="32">H53+(($M53-$H53)/($M$39-$H$39))</f>
        <v>4.9999999999999996E-2</v>
      </c>
      <c r="J53" s="108">
        <f t="shared" si="32"/>
        <v>0.09</v>
      </c>
      <c r="K53" s="108">
        <f t="shared" si="32"/>
        <v>0.13</v>
      </c>
      <c r="L53" s="108">
        <f t="shared" si="32"/>
        <v>0.16999999999999998</v>
      </c>
      <c r="M53" s="119">
        <v>0.21</v>
      </c>
      <c r="N53" s="53"/>
      <c r="O53" s="53"/>
      <c r="P53" s="94"/>
      <c r="Q53" s="94"/>
      <c r="R53" s="94"/>
      <c r="S53" s="53"/>
      <c r="T53" s="53"/>
      <c r="U53" s="53"/>
      <c r="V53" s="53"/>
      <c r="W53" s="55"/>
    </row>
    <row r="55" spans="1:23" x14ac:dyDescent="0.2">
      <c r="A55" s="31" t="s">
        <v>0</v>
      </c>
      <c r="B55" s="113" t="s">
        <v>19</v>
      </c>
      <c r="C55" s="114"/>
      <c r="D55" s="114"/>
      <c r="E55" s="114"/>
      <c r="F55" s="114"/>
      <c r="G55" s="114"/>
      <c r="H55" s="122">
        <f ca="1">H46-H52</f>
        <v>1096.2895179715304</v>
      </c>
      <c r="I55" s="122">
        <f t="shared" ref="I55:M55" ca="1" si="33">I46-I52</f>
        <v>1384.0360627807177</v>
      </c>
      <c r="J55" s="122">
        <f t="shared" ca="1" si="33"/>
        <v>1723.9486164427965</v>
      </c>
      <c r="K55" s="122">
        <f t="shared" ca="1" si="33"/>
        <v>2119.2752355868538</v>
      </c>
      <c r="L55" s="122">
        <f t="shared" ca="1" si="33"/>
        <v>2571.8876802527066</v>
      </c>
      <c r="M55" s="123">
        <f t="shared" ca="1" si="33"/>
        <v>3081.8810417913937</v>
      </c>
      <c r="N55" s="49"/>
      <c r="O55" s="49"/>
      <c r="P55" s="49"/>
      <c r="Q55" s="49"/>
      <c r="R55" s="49"/>
      <c r="S55" s="56"/>
      <c r="T55" s="56"/>
      <c r="U55" s="56"/>
      <c r="V55" s="56"/>
      <c r="W55" s="56"/>
    </row>
    <row r="57" spans="1:23" x14ac:dyDescent="0.2">
      <c r="B57" s="30" t="s">
        <v>11</v>
      </c>
      <c r="D57" s="110">
        <f>D29</f>
        <v>14</v>
      </c>
      <c r="E57" s="110">
        <f t="shared" ref="E57:G58" si="34">E29</f>
        <v>15</v>
      </c>
      <c r="F57" s="110">
        <f t="shared" si="34"/>
        <v>23</v>
      </c>
      <c r="G57" s="110">
        <f t="shared" si="34"/>
        <v>33</v>
      </c>
      <c r="H57" s="110">
        <f ca="1">H58*H$40</f>
        <v>35.278070891160979</v>
      </c>
      <c r="I57" s="110">
        <f t="shared" ref="I57:M57" ca="1" si="35">I58*I$40</f>
        <v>45.014188543082604</v>
      </c>
      <c r="J57" s="110">
        <f t="shared" ca="1" si="35"/>
        <v>60.264485431163003</v>
      </c>
      <c r="K57" s="110">
        <f t="shared" ca="1" si="35"/>
        <v>77.104399946564072</v>
      </c>
      <c r="L57" s="110">
        <f t="shared" ca="1" si="35"/>
        <v>92.901994133425205</v>
      </c>
      <c r="M57" s="110">
        <f t="shared" ca="1" si="35"/>
        <v>115.30971045602848</v>
      </c>
      <c r="N57" s="49"/>
      <c r="O57" s="49"/>
      <c r="P57" s="49"/>
      <c r="Q57" s="49"/>
      <c r="R57" s="49"/>
      <c r="S57" s="57"/>
      <c r="T57" s="57"/>
      <c r="U57" s="57"/>
      <c r="V57" s="57"/>
      <c r="W57" s="57"/>
    </row>
    <row r="58" spans="1:23" x14ac:dyDescent="0.2">
      <c r="B58" s="43" t="s">
        <v>7</v>
      </c>
      <c r="D58" s="107">
        <f>D30</f>
        <v>1.2808783165599268E-2</v>
      </c>
      <c r="E58" s="107">
        <f t="shared" si="34"/>
        <v>9.727626459143969E-3</v>
      </c>
      <c r="F58" s="107">
        <f t="shared" si="34"/>
        <v>1.2067156348373556E-2</v>
      </c>
      <c r="G58" s="107">
        <f t="shared" si="34"/>
        <v>1.4831460674157304E-2</v>
      </c>
      <c r="H58" s="107">
        <f>AVERAGE(D58:G58)</f>
        <v>1.2358756661818524E-2</v>
      </c>
      <c r="I58" s="107">
        <f t="shared" ref="I58:M58" si="36">AVERAGE(E58:H58)</f>
        <v>1.2246250035873337E-2</v>
      </c>
      <c r="J58" s="107">
        <f t="shared" si="36"/>
        <v>1.287590593005568E-2</v>
      </c>
      <c r="K58" s="107">
        <f t="shared" si="36"/>
        <v>1.3078093325476211E-2</v>
      </c>
      <c r="L58" s="107">
        <f t="shared" si="36"/>
        <v>1.2639751488305939E-2</v>
      </c>
      <c r="M58" s="107">
        <f t="shared" si="36"/>
        <v>1.2710000194927792E-2</v>
      </c>
      <c r="N58" s="53"/>
      <c r="O58" s="53"/>
      <c r="P58" s="94"/>
      <c r="Q58" s="94"/>
      <c r="R58" s="94"/>
      <c r="S58" s="53"/>
      <c r="T58" s="53"/>
      <c r="U58" s="53"/>
      <c r="V58" s="53"/>
      <c r="W58" s="55"/>
    </row>
    <row r="60" spans="1:23" x14ac:dyDescent="0.2">
      <c r="B60" s="30" t="s">
        <v>20</v>
      </c>
      <c r="D60" s="110">
        <f>D32</f>
        <v>12</v>
      </c>
      <c r="E60" s="110">
        <f t="shared" ref="E60:G60" si="37">E32</f>
        <v>13</v>
      </c>
      <c r="F60" s="110">
        <f t="shared" si="37"/>
        <v>40</v>
      </c>
      <c r="G60" s="110">
        <f t="shared" si="37"/>
        <v>15</v>
      </c>
      <c r="H60" s="110">
        <f ca="1">H61*H$40</f>
        <v>33.638497365245861</v>
      </c>
      <c r="I60" s="110">
        <f t="shared" ref="I60" ca="1" si="38">I61*I$40</f>
        <v>44.056577714240383</v>
      </c>
      <c r="J60" s="110">
        <f t="shared" ref="J60" ca="1" si="39">J61*J$40</f>
        <v>60.257946709268921</v>
      </c>
      <c r="K60" s="110">
        <f t="shared" ref="K60" ca="1" si="40">K61*K$40</f>
        <v>63.947888306023948</v>
      </c>
      <c r="L60" s="110">
        <f t="shared" ref="L60" ca="1" si="41">L61*L$40</f>
        <v>87.264836123556179</v>
      </c>
      <c r="M60" s="110">
        <f t="shared" ref="M60" ca="1" si="42">M61*M$40</f>
        <v>107.91476835201588</v>
      </c>
      <c r="N60" s="49"/>
      <c r="O60" s="49"/>
      <c r="P60" s="49"/>
      <c r="Q60" s="49"/>
      <c r="R60" s="49"/>
      <c r="S60" s="57"/>
      <c r="T60" s="57"/>
      <c r="U60" s="57"/>
      <c r="V60" s="57"/>
      <c r="W60" s="57"/>
    </row>
    <row r="61" spans="1:23" x14ac:dyDescent="0.2">
      <c r="B61" s="43" t="s">
        <v>7</v>
      </c>
      <c r="D61" s="107">
        <f>D33</f>
        <v>1.0978956999085087E-2</v>
      </c>
      <c r="E61" s="107">
        <f t="shared" ref="E61:G61" si="43">E33</f>
        <v>8.4306095979247726E-3</v>
      </c>
      <c r="F61" s="107">
        <f t="shared" si="43"/>
        <v>2.098635886673662E-2</v>
      </c>
      <c r="G61" s="107">
        <f t="shared" si="43"/>
        <v>6.7415730337078653E-3</v>
      </c>
      <c r="H61" s="107">
        <f>AVERAGE(D61:G61)</f>
        <v>1.1784374624363587E-2</v>
      </c>
      <c r="I61" s="107">
        <f t="shared" ref="I61" si="44">AVERAGE(E61:H61)</f>
        <v>1.1985729030683212E-2</v>
      </c>
      <c r="J61" s="107">
        <f t="shared" ref="J61" si="45">AVERAGE(F61:I61)</f>
        <v>1.2874508888872822E-2</v>
      </c>
      <c r="K61" s="107">
        <f t="shared" ref="K61" si="46">AVERAGE(G61:J61)</f>
        <v>1.0846546394406872E-2</v>
      </c>
      <c r="L61" s="107">
        <f t="shared" ref="L61" si="47">AVERAGE(H61:K61)</f>
        <v>1.1872789734581625E-2</v>
      </c>
      <c r="M61" s="107">
        <f t="shared" ref="M61" si="48">AVERAGE(I61:L61)</f>
        <v>1.1894893512136134E-2</v>
      </c>
      <c r="N61" s="53"/>
      <c r="O61" s="53"/>
      <c r="P61" s="94"/>
      <c r="Q61" s="94"/>
      <c r="R61" s="94"/>
      <c r="S61" s="53"/>
      <c r="T61" s="53"/>
      <c r="U61" s="53"/>
      <c r="V61" s="53"/>
      <c r="W61" s="55"/>
    </row>
    <row r="63" spans="1:23" x14ac:dyDescent="0.2">
      <c r="B63" s="30" t="s">
        <v>13</v>
      </c>
      <c r="D63" s="110">
        <f>D35</f>
        <v>-454.1</v>
      </c>
      <c r="E63" s="110">
        <f t="shared" ref="E63:G63" si="49">E35</f>
        <v>-92.1</v>
      </c>
      <c r="F63" s="110">
        <f t="shared" si="49"/>
        <v>-267.10000000000002</v>
      </c>
      <c r="G63" s="110">
        <f t="shared" si="49"/>
        <v>6.2</v>
      </c>
      <c r="H63" s="110">
        <f ca="1">H64*H$40</f>
        <v>36.499112359550566</v>
      </c>
      <c r="I63" s="110">
        <f t="shared" ref="I63" ca="1" si="50">I64*I$40</f>
        <v>47.000075842496706</v>
      </c>
      <c r="J63" s="110">
        <f t="shared" ref="J63" ca="1" si="51">J64*J$40</f>
        <v>59.846108137558311</v>
      </c>
      <c r="K63" s="110">
        <f t="shared" ref="K63" ca="1" si="52">K64*K$40</f>
        <v>75.385355104368855</v>
      </c>
      <c r="L63" s="110">
        <f t="shared" ref="L63" ca="1" si="53">L64*L$40</f>
        <v>93.980717488789537</v>
      </c>
      <c r="M63" s="110">
        <f t="shared" ref="M63" ca="1" si="54">M64*M$40</f>
        <v>116.00389721130693</v>
      </c>
      <c r="N63" s="49"/>
      <c r="O63" s="49"/>
      <c r="P63" s="49"/>
      <c r="Q63" s="49"/>
      <c r="R63" s="49"/>
      <c r="S63" s="48"/>
      <c r="T63" s="48"/>
      <c r="U63" s="48"/>
      <c r="V63" s="48"/>
      <c r="W63" s="48"/>
    </row>
    <row r="64" spans="1:23" x14ac:dyDescent="0.2">
      <c r="B64" s="43" t="s">
        <v>7</v>
      </c>
      <c r="C64" s="51"/>
      <c r="D64" s="107">
        <f>D36</f>
        <v>-0.41546203110704483</v>
      </c>
      <c r="E64" s="107">
        <f t="shared" ref="E64:G64" si="55">E36</f>
        <v>-5.9727626459143965E-2</v>
      </c>
      <c r="F64" s="107">
        <f t="shared" si="55"/>
        <v>-0.1401364113326338</v>
      </c>
      <c r="G64" s="107">
        <f t="shared" si="55"/>
        <v>2.7865168539325845E-3</v>
      </c>
      <c r="H64" s="107">
        <f>G64+1%</f>
        <v>1.2786516853932586E-2</v>
      </c>
      <c r="I64" s="107">
        <f>H64</f>
        <v>1.2786516853932586E-2</v>
      </c>
      <c r="J64" s="107">
        <f t="shared" ref="J64:M64" si="56">I64</f>
        <v>1.2786516853932586E-2</v>
      </c>
      <c r="K64" s="107">
        <f t="shared" si="56"/>
        <v>1.2786516853932586E-2</v>
      </c>
      <c r="L64" s="107">
        <f t="shared" si="56"/>
        <v>1.2786516853932586E-2</v>
      </c>
      <c r="M64" s="107">
        <f t="shared" si="56"/>
        <v>1.2786516853932586E-2</v>
      </c>
      <c r="N64" s="53"/>
      <c r="O64" s="53"/>
      <c r="P64" s="94"/>
      <c r="Q64" s="94"/>
      <c r="R64" s="94"/>
      <c r="S64" s="52"/>
      <c r="T64" s="52"/>
      <c r="U64" s="52"/>
      <c r="V64" s="52"/>
      <c r="W64" s="52"/>
    </row>
    <row r="66" spans="1:23" x14ac:dyDescent="0.2">
      <c r="A66" s="31" t="s">
        <v>0</v>
      </c>
      <c r="B66" s="115" t="s">
        <v>21</v>
      </c>
      <c r="C66" s="116"/>
      <c r="D66" s="116"/>
      <c r="E66" s="116"/>
      <c r="F66" s="116"/>
      <c r="G66" s="116"/>
      <c r="H66" s="124">
        <f ca="1">H55+H57-H60-H63</f>
        <v>1061.4299791378949</v>
      </c>
      <c r="I66" s="124">
        <f t="shared" ref="I66:M66" ca="1" si="57">I55+I57-I60-I63</f>
        <v>1337.9935977670632</v>
      </c>
      <c r="J66" s="124">
        <f t="shared" ca="1" si="57"/>
        <v>1664.1090470271322</v>
      </c>
      <c r="K66" s="124">
        <f t="shared" ca="1" si="57"/>
        <v>2057.0463921230253</v>
      </c>
      <c r="L66" s="124">
        <f t="shared" ca="1" si="57"/>
        <v>2483.5441207737863</v>
      </c>
      <c r="M66" s="125">
        <f t="shared" ca="1" si="57"/>
        <v>2973.2720866840991</v>
      </c>
      <c r="N66" s="49"/>
      <c r="O66" s="49"/>
      <c r="P66" s="49"/>
      <c r="Q66" s="49"/>
      <c r="R66" s="49"/>
      <c r="S66" s="56"/>
      <c r="T66" s="56"/>
      <c r="U66" s="56"/>
      <c r="V66" s="56"/>
      <c r="W66" s="56"/>
    </row>
    <row r="67" spans="1:23" x14ac:dyDescent="0.2">
      <c r="B67" s="117" t="s">
        <v>105</v>
      </c>
      <c r="C67" s="112"/>
      <c r="D67" s="112"/>
      <c r="E67" s="112"/>
      <c r="F67" s="112"/>
      <c r="G67" s="112"/>
      <c r="H67" s="126">
        <f ca="1">(H66*H70)/(1+dr)^H69</f>
        <v>70.516268821093391</v>
      </c>
      <c r="I67" s="126">
        <f ca="1">I66/(1+dr)^I69</f>
        <v>1261.1623992210189</v>
      </c>
      <c r="J67" s="126">
        <f ca="1">J66/(1+dr)^J69</f>
        <v>1413.1093877817559</v>
      </c>
      <c r="K67" s="126">
        <f ca="1">K66/(1+dr)^K69</f>
        <v>1573.6752245215005</v>
      </c>
      <c r="L67" s="126">
        <f ca="1">L66/(1+dr)^L69</f>
        <v>1711.6695393035741</v>
      </c>
      <c r="M67" s="127">
        <f ca="1">M66/(1+dr)^M69</f>
        <v>1846.1191071496571</v>
      </c>
      <c r="N67" s="49"/>
      <c r="O67" s="49"/>
      <c r="P67" s="49"/>
      <c r="Q67" s="49"/>
      <c r="R67" s="49"/>
      <c r="S67" s="56"/>
      <c r="T67" s="56"/>
      <c r="U67" s="56"/>
      <c r="V67" s="56"/>
      <c r="W67" s="56"/>
    </row>
    <row r="68" spans="1:23" x14ac:dyDescent="0.2">
      <c r="A68" s="120"/>
      <c r="N68" s="49"/>
      <c r="O68" s="49"/>
      <c r="P68" s="49"/>
      <c r="Q68" s="49"/>
      <c r="R68" s="49"/>
      <c r="S68" s="56"/>
      <c r="T68" s="56"/>
      <c r="U68" s="56"/>
      <c r="V68" s="56"/>
      <c r="W68" s="56"/>
    </row>
    <row r="69" spans="1:23" x14ac:dyDescent="0.2">
      <c r="B69" s="30" t="s">
        <v>106</v>
      </c>
      <c r="H69" s="128">
        <f>H70/2</f>
        <v>3.3333333333333333E-2</v>
      </c>
      <c r="I69" s="128">
        <f>H70+0.5</f>
        <v>0.56666666666666665</v>
      </c>
      <c r="J69" s="128">
        <f>I69+1</f>
        <v>1.5666666666666667</v>
      </c>
      <c r="K69" s="128">
        <f t="shared" ref="K69:M69" si="58">J69+1</f>
        <v>2.5666666666666664</v>
      </c>
      <c r="L69" s="128">
        <f t="shared" si="58"/>
        <v>3.5666666666666664</v>
      </c>
      <c r="M69" s="128">
        <f t="shared" si="58"/>
        <v>4.5666666666666664</v>
      </c>
      <c r="N69" s="95"/>
      <c r="O69" s="95"/>
      <c r="S69" s="56"/>
      <c r="T69" s="56"/>
      <c r="U69" s="56"/>
      <c r="V69" s="56"/>
      <c r="W69" s="56"/>
    </row>
    <row r="70" spans="1:23" x14ac:dyDescent="0.2">
      <c r="B70" s="30" t="s">
        <v>107</v>
      </c>
      <c r="H70" s="128">
        <f>YEARFRAC(C5,C6)</f>
        <v>6.6666666666666666E-2</v>
      </c>
      <c r="I70" s="111"/>
      <c r="J70" s="111"/>
      <c r="K70" s="111"/>
      <c r="L70" s="111"/>
      <c r="M70" s="111"/>
      <c r="N70" s="96"/>
      <c r="O70" s="96"/>
      <c r="P70" s="96"/>
      <c r="Q70" s="96"/>
      <c r="R70" s="96"/>
      <c r="S70" s="56"/>
      <c r="T70" s="56"/>
      <c r="U70" s="56"/>
      <c r="V70" s="56"/>
      <c r="W70" s="56"/>
    </row>
    <row r="72" spans="1:23" x14ac:dyDescent="0.2">
      <c r="B72" s="30" t="s">
        <v>22</v>
      </c>
      <c r="M72" s="129">
        <f ca="1">(M66*(1+tg))/(dr-tg)</f>
        <v>38280.878116057778</v>
      </c>
      <c r="R72" s="49"/>
      <c r="W72" s="56"/>
    </row>
    <row r="73" spans="1:23" x14ac:dyDescent="0.2">
      <c r="B73" s="30" t="s">
        <v>23</v>
      </c>
      <c r="M73" s="129">
        <f ca="1">M72/(1+dr)^M69</f>
        <v>23768.783504551837</v>
      </c>
      <c r="R73" s="49"/>
      <c r="W73" s="56"/>
    </row>
    <row r="74" spans="1:23" x14ac:dyDescent="0.2">
      <c r="R74" s="49"/>
    </row>
    <row r="75" spans="1:23" x14ac:dyDescent="0.2">
      <c r="B75" s="30" t="s">
        <v>24</v>
      </c>
      <c r="M75" s="129">
        <f ca="1">SUM(H67:M67,M73)</f>
        <v>31645.035431350436</v>
      </c>
      <c r="R75" s="49"/>
      <c r="W75" s="56"/>
    </row>
    <row r="76" spans="1:23" x14ac:dyDescent="0.2">
      <c r="B76" s="30" t="s">
        <v>25</v>
      </c>
      <c r="M76" s="120">
        <v>0</v>
      </c>
      <c r="R76" s="49"/>
      <c r="W76" s="56"/>
    </row>
    <row r="77" spans="1:23" x14ac:dyDescent="0.2">
      <c r="B77" s="30" t="s">
        <v>26</v>
      </c>
      <c r="M77" s="38">
        <f>768+3800</f>
        <v>4568</v>
      </c>
      <c r="R77" s="49"/>
      <c r="W77" s="56"/>
    </row>
    <row r="78" spans="1:23" x14ac:dyDescent="0.2">
      <c r="B78" s="30" t="s">
        <v>157</v>
      </c>
      <c r="M78" s="129">
        <f ca="1">M75-M76+M77</f>
        <v>36213.035431350436</v>
      </c>
      <c r="R78" s="49"/>
      <c r="W78" s="56"/>
    </row>
    <row r="79" spans="1:23" x14ac:dyDescent="0.2">
      <c r="B79" s="30" t="s">
        <v>130</v>
      </c>
      <c r="M79" s="145">
        <f>'Diluted Shrs'!E18</f>
        <v>2572.6742808488339</v>
      </c>
      <c r="R79" s="49"/>
      <c r="W79" s="56"/>
    </row>
    <row r="80" spans="1:23" x14ac:dyDescent="0.2">
      <c r="A80" s="31" t="s">
        <v>0</v>
      </c>
      <c r="B80" s="30" t="s">
        <v>27</v>
      </c>
      <c r="M80" s="129">
        <f ca="1">M78/M79</f>
        <v>14.076028085219644</v>
      </c>
      <c r="R80" s="97"/>
      <c r="W80" s="33"/>
    </row>
    <row r="83" spans="1:25" x14ac:dyDescent="0.2">
      <c r="A83" s="31" t="s">
        <v>0</v>
      </c>
      <c r="B83" s="34" t="s">
        <v>131</v>
      </c>
      <c r="C83" s="34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93"/>
      <c r="O83" s="93"/>
      <c r="P83" s="93"/>
      <c r="Q83" s="93"/>
      <c r="R83" s="93"/>
      <c r="S83" s="47"/>
      <c r="T83" s="47"/>
      <c r="U83" s="47"/>
      <c r="V83" s="47"/>
      <c r="W83" s="47"/>
    </row>
    <row r="85" spans="1:25" x14ac:dyDescent="0.2">
      <c r="S85" s="159" t="s">
        <v>132</v>
      </c>
      <c r="T85" s="160"/>
      <c r="U85" s="160"/>
      <c r="V85" s="160"/>
      <c r="W85" s="160"/>
      <c r="X85" s="160"/>
      <c r="Y85" s="161"/>
    </row>
    <row r="86" spans="1:25" x14ac:dyDescent="0.2">
      <c r="R86" s="118"/>
      <c r="S86" s="162" t="s">
        <v>29</v>
      </c>
      <c r="T86" s="83">
        <f ca="1">M80</f>
        <v>14.076028085219644</v>
      </c>
      <c r="U86" s="130">
        <f>V86-0.25%</f>
        <v>2.0000000000000004E-2</v>
      </c>
      <c r="V86" s="130">
        <f>W86-0.25%</f>
        <v>2.2500000000000003E-2</v>
      </c>
      <c r="W86" s="152">
        <v>2.5000000000000001E-2</v>
      </c>
      <c r="X86" s="130">
        <f>W86+0.25%</f>
        <v>2.75E-2</v>
      </c>
      <c r="Y86" s="131">
        <f>X86+0.25%</f>
        <v>0.03</v>
      </c>
    </row>
    <row r="87" spans="1:25" ht="15" customHeight="1" x14ac:dyDescent="0.2">
      <c r="R87" s="118"/>
      <c r="S87" s="162"/>
      <c r="T87" s="138">
        <f>T88+0.25%</f>
        <v>0.13</v>
      </c>
      <c r="U87" s="132">
        <f t="dataTable" ref="U87:Y91" dt2D="1" dtr="1" r1="D16" r2="D15" ca="1"/>
        <v>10.825225456437956</v>
      </c>
      <c r="V87" s="133">
        <v>10.983232189231405</v>
      </c>
      <c r="W87" s="133">
        <v>11.148763052157875</v>
      </c>
      <c r="X87" s="133">
        <v>11.322368591324665</v>
      </c>
      <c r="Y87" s="134">
        <v>11.504654407449792</v>
      </c>
    </row>
    <row r="88" spans="1:25" x14ac:dyDescent="0.2">
      <c r="R88" s="118"/>
      <c r="S88" s="162"/>
      <c r="T88" s="138">
        <f>T89+0.25%</f>
        <v>0.1275</v>
      </c>
      <c r="U88" s="135">
        <v>11.049120076102195</v>
      </c>
      <c r="V88" s="136">
        <v>11.215963744656719</v>
      </c>
      <c r="W88" s="136">
        <v>11.390946128750485</v>
      </c>
      <c r="X88" s="136">
        <v>11.574677632048946</v>
      </c>
      <c r="Y88" s="137">
        <v>11.767831263721682</v>
      </c>
    </row>
    <row r="89" spans="1:25" x14ac:dyDescent="0.2">
      <c r="R89" s="118"/>
      <c r="S89" s="162"/>
      <c r="T89" s="151">
        <v>0.125</v>
      </c>
      <c r="U89" s="135">
        <v>11.283828497293465</v>
      </c>
      <c r="V89" s="136">
        <v>11.460201738619324</v>
      </c>
      <c r="W89" s="136">
        <v>11.645393642011474</v>
      </c>
      <c r="X89" s="136">
        <v>11.840082566090402</v>
      </c>
      <c r="Y89" s="137">
        <v>12.04501827564717</v>
      </c>
    </row>
    <row r="90" spans="1:25" x14ac:dyDescent="0.2">
      <c r="R90" s="118"/>
      <c r="S90" s="162"/>
      <c r="T90" s="139">
        <f>T89-0.25%</f>
        <v>0.1225</v>
      </c>
      <c r="U90" s="135">
        <v>11.530143730479132</v>
      </c>
      <c r="V90" s="136">
        <v>11.716810929816555</v>
      </c>
      <c r="W90" s="136">
        <v>11.913050806043074</v>
      </c>
      <c r="X90" s="136">
        <v>12.119619096807833</v>
      </c>
      <c r="Y90" s="137">
        <v>12.337353241127444</v>
      </c>
    </row>
    <row r="91" spans="1:25" x14ac:dyDescent="0.2">
      <c r="R91" s="118"/>
      <c r="S91" s="163"/>
      <c r="T91" s="140">
        <f>T90-0.25%</f>
        <v>0.12</v>
      </c>
      <c r="U91" s="141">
        <v>11.788938111712714</v>
      </c>
      <c r="V91" s="142">
        <v>11.986744794967468</v>
      </c>
      <c r="W91" s="142">
        <v>12.194962356288261</v>
      </c>
      <c r="X91" s="142">
        <v>12.414434920923691</v>
      </c>
      <c r="Y91" s="143">
        <v>12.646100405816648</v>
      </c>
    </row>
  </sheetData>
  <mergeCells count="2">
    <mergeCell ref="S85:Y85"/>
    <mergeCell ref="S86:S91"/>
  </mergeCells>
  <dataValidations count="1">
    <dataValidation type="list" allowBlank="1" showInputMessage="1" showErrorMessage="1" sqref="D10:D13" xr:uid="{EAA44878-83F5-4243-B2BD-3B0B2386AB29}">
      <formula1>"1,2,3"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D049-D643-4E05-B425-EFD7435B192A}">
  <sheetPr codeName="Sheet4"/>
  <dimension ref="A1:U29"/>
  <sheetViews>
    <sheetView zoomScale="108" workbookViewId="0">
      <selection activeCell="B20" sqref="B20"/>
    </sheetView>
  </sheetViews>
  <sheetFormatPr baseColWidth="10" defaultColWidth="9.1640625" defaultRowHeight="14" x14ac:dyDescent="0.2"/>
  <cols>
    <col min="1" max="1" width="37.1640625" style="3" bestFit="1" customWidth="1"/>
    <col min="2" max="16384" width="9.1640625" style="3"/>
  </cols>
  <sheetData>
    <row r="1" spans="1:21" ht="21" x14ac:dyDescent="0.25">
      <c r="A1" s="25" t="s">
        <v>133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21" ht="15" x14ac:dyDescent="0.2">
      <c r="A2" s="6" t="s">
        <v>49</v>
      </c>
      <c r="B2" s="6">
        <v>2020</v>
      </c>
      <c r="C2" s="6">
        <v>2021</v>
      </c>
      <c r="D2" s="6">
        <v>2022</v>
      </c>
      <c r="E2" s="6">
        <v>2023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21" ht="15" x14ac:dyDescent="0.2">
      <c r="A3" t="s">
        <v>4</v>
      </c>
      <c r="B3" s="23">
        <v>1093</v>
      </c>
      <c r="C3" s="23">
        <v>1542</v>
      </c>
      <c r="D3" s="23">
        <v>1906</v>
      </c>
      <c r="E3" s="23">
        <v>2225</v>
      </c>
      <c r="F3" s="23"/>
      <c r="G3" s="18"/>
      <c r="H3" s="23"/>
      <c r="I3" s="23"/>
      <c r="J3" s="23"/>
      <c r="K3" s="23"/>
      <c r="L3" s="23"/>
      <c r="M3" s="23"/>
      <c r="N3" s="23"/>
      <c r="O3" s="23"/>
      <c r="P3" s="23"/>
      <c r="Q3" s="23"/>
      <c r="R3" s="18"/>
    </row>
    <row r="4" spans="1:21" ht="15" x14ac:dyDescent="0.2">
      <c r="A4" t="s">
        <v>52</v>
      </c>
      <c r="B4">
        <v>353</v>
      </c>
      <c r="C4">
        <v>339</v>
      </c>
      <c r="D4">
        <v>409</v>
      </c>
      <c r="E4">
        <v>431</v>
      </c>
      <c r="F4"/>
      <c r="G4" s="18"/>
      <c r="H4" s="23"/>
      <c r="I4" s="23"/>
      <c r="J4" s="23"/>
      <c r="K4" s="23"/>
      <c r="L4" s="23"/>
      <c r="M4" s="23"/>
      <c r="N4" s="23"/>
      <c r="O4" s="23"/>
      <c r="P4" s="23"/>
      <c r="Q4" s="23"/>
      <c r="R4" s="18"/>
      <c r="S4" s="4"/>
      <c r="T4" s="4"/>
      <c r="U4" s="4"/>
    </row>
    <row r="5" spans="1:21" ht="15" x14ac:dyDescent="0.2">
      <c r="A5" t="s">
        <v>53</v>
      </c>
      <c r="B5">
        <v>740</v>
      </c>
      <c r="C5" s="23">
        <v>1202</v>
      </c>
      <c r="D5" s="23">
        <v>1497</v>
      </c>
      <c r="E5" s="23">
        <v>1794</v>
      </c>
      <c r="F5" s="23"/>
      <c r="G5" s="18"/>
      <c r="H5" s="23"/>
      <c r="I5" s="23"/>
      <c r="J5" s="23"/>
      <c r="K5" s="23"/>
      <c r="L5" s="23"/>
      <c r="M5" s="23"/>
      <c r="N5" s="23"/>
      <c r="O5" s="23"/>
      <c r="P5" s="23"/>
      <c r="Q5" s="23"/>
      <c r="R5" s="18"/>
      <c r="S5" s="4"/>
      <c r="T5" s="4"/>
      <c r="U5" s="4"/>
    </row>
    <row r="6" spans="1:21" ht="15" x14ac:dyDescent="0.2">
      <c r="A6" t="s">
        <v>54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s="4"/>
      <c r="T6" s="4"/>
      <c r="U6" s="4"/>
    </row>
    <row r="7" spans="1:21" ht="15" x14ac:dyDescent="0.2">
      <c r="A7" t="s">
        <v>134</v>
      </c>
      <c r="B7">
        <v>561</v>
      </c>
      <c r="C7">
        <v>387</v>
      </c>
      <c r="D7">
        <v>360</v>
      </c>
      <c r="E7">
        <v>405</v>
      </c>
      <c r="F7"/>
      <c r="G7" s="18"/>
      <c r="H7"/>
      <c r="I7"/>
      <c r="J7"/>
      <c r="K7"/>
      <c r="L7"/>
      <c r="M7"/>
      <c r="N7"/>
      <c r="O7"/>
      <c r="P7"/>
      <c r="Q7"/>
      <c r="R7" s="18"/>
      <c r="S7" s="4"/>
      <c r="T7" s="4"/>
      <c r="U7" s="4"/>
    </row>
    <row r="8" spans="1:21" ht="15" x14ac:dyDescent="0.2">
      <c r="A8" t="s">
        <v>55</v>
      </c>
      <c r="B8" s="23">
        <v>1353</v>
      </c>
      <c r="C8" s="23">
        <v>1226</v>
      </c>
      <c r="D8" s="23">
        <v>1299</v>
      </c>
      <c r="E8" s="23">
        <v>1269</v>
      </c>
      <c r="F8" s="23"/>
      <c r="G8" s="18"/>
      <c r="H8"/>
      <c r="I8"/>
      <c r="J8"/>
      <c r="K8"/>
      <c r="L8" s="23"/>
      <c r="M8" s="23"/>
      <c r="N8" s="23"/>
      <c r="O8" s="23"/>
      <c r="P8" s="23"/>
      <c r="Q8"/>
      <c r="R8" s="18"/>
      <c r="S8" s="5"/>
      <c r="T8" s="5"/>
      <c r="U8" s="5"/>
    </row>
    <row r="9" spans="1:21" ht="15" x14ac:dyDescent="0.2">
      <c r="A9" t="s">
        <v>54</v>
      </c>
      <c r="B9" s="23">
        <v>1914</v>
      </c>
      <c r="C9" s="23">
        <v>1614</v>
      </c>
      <c r="D9" s="23">
        <v>1659</v>
      </c>
      <c r="E9" s="23">
        <v>1674</v>
      </c>
      <c r="F9" s="23"/>
      <c r="G9" s="18"/>
      <c r="H9"/>
      <c r="I9"/>
      <c r="J9"/>
      <c r="K9"/>
      <c r="L9"/>
      <c r="M9"/>
      <c r="N9"/>
      <c r="O9"/>
      <c r="P9"/>
      <c r="Q9" s="23"/>
      <c r="R9" s="18"/>
      <c r="S9" s="4"/>
      <c r="T9" s="4"/>
      <c r="U9" s="4"/>
    </row>
    <row r="10" spans="1:21" ht="15" x14ac:dyDescent="0.2">
      <c r="A10" t="s">
        <v>57</v>
      </c>
      <c r="B10" s="23">
        <v>-1174</v>
      </c>
      <c r="C10">
        <v>-411</v>
      </c>
      <c r="D10">
        <v>-161</v>
      </c>
      <c r="E10">
        <v>120</v>
      </c>
      <c r="F10"/>
      <c r="G10" s="18"/>
      <c r="H10"/>
      <c r="I10"/>
      <c r="J10" s="23"/>
      <c r="K10" s="23"/>
      <c r="L10" s="23"/>
      <c r="M10" s="23"/>
      <c r="N10" s="23"/>
      <c r="O10" s="23"/>
      <c r="P10" s="23"/>
      <c r="Q10" s="23"/>
      <c r="R10" s="18"/>
      <c r="S10" s="4"/>
      <c r="T10" s="4"/>
      <c r="U10" s="4"/>
    </row>
    <row r="11" spans="1:21" ht="15" x14ac:dyDescent="0.2">
      <c r="A11" t="s">
        <v>135</v>
      </c>
      <c r="B11">
        <v>14</v>
      </c>
      <c r="C11">
        <v>4</v>
      </c>
      <c r="D11">
        <v>4</v>
      </c>
      <c r="E11">
        <v>3</v>
      </c>
      <c r="F11"/>
      <c r="G11"/>
      <c r="H11"/>
      <c r="I11"/>
      <c r="J11"/>
      <c r="K11"/>
      <c r="L11"/>
      <c r="M11"/>
      <c r="N11"/>
      <c r="O11"/>
      <c r="P11"/>
      <c r="Q11"/>
      <c r="R11" s="18"/>
      <c r="S11" s="4"/>
      <c r="T11" s="4"/>
      <c r="U11" s="4"/>
    </row>
    <row r="12" spans="1:21" ht="15" x14ac:dyDescent="0.2">
      <c r="A12" t="s">
        <v>58</v>
      </c>
      <c r="B12">
        <v>4</v>
      </c>
      <c r="C12">
        <v>-75</v>
      </c>
      <c r="D12">
        <v>-216</v>
      </c>
      <c r="E12">
        <v>-12</v>
      </c>
      <c r="F12"/>
      <c r="G12"/>
      <c r="H12"/>
      <c r="I12"/>
      <c r="J12" s="23"/>
      <c r="K12" s="23"/>
      <c r="L12" s="23"/>
      <c r="M12" s="23"/>
      <c r="N12" s="23"/>
      <c r="O12" s="23"/>
      <c r="P12" s="23"/>
      <c r="Q12" s="23"/>
      <c r="R12" s="18"/>
      <c r="S12" s="4"/>
      <c r="T12" s="4"/>
      <c r="U12" s="4"/>
    </row>
    <row r="13" spans="1:21" ht="15" x14ac:dyDescent="0.2">
      <c r="A13" t="s">
        <v>59</v>
      </c>
      <c r="B13" s="23">
        <v>-1179</v>
      </c>
      <c r="C13">
        <v>-488</v>
      </c>
      <c r="D13">
        <v>-361</v>
      </c>
      <c r="E13">
        <v>237</v>
      </c>
      <c r="F13"/>
      <c r="G13" s="18"/>
      <c r="H13"/>
      <c r="I13"/>
      <c r="J13"/>
      <c r="K13"/>
      <c r="L13"/>
      <c r="M13"/>
      <c r="N13"/>
      <c r="O13"/>
      <c r="P13"/>
      <c r="Q13"/>
      <c r="R13" s="18"/>
      <c r="S13" s="4"/>
      <c r="T13" s="4"/>
      <c r="U13" s="4"/>
    </row>
    <row r="14" spans="1:21" ht="15" x14ac:dyDescent="0.2">
      <c r="A14" t="s">
        <v>60</v>
      </c>
      <c r="B14">
        <v>-13</v>
      </c>
      <c r="C14">
        <v>32</v>
      </c>
      <c r="D14">
        <v>10</v>
      </c>
      <c r="E14">
        <v>20</v>
      </c>
      <c r="F14"/>
      <c r="G14" s="18"/>
      <c r="H14"/>
      <c r="I14"/>
      <c r="J14"/>
      <c r="K14" s="23"/>
      <c r="L14" s="23"/>
      <c r="M14" s="23"/>
      <c r="N14" s="23"/>
      <c r="O14" s="23"/>
      <c r="P14" s="23"/>
      <c r="Q14" s="23"/>
      <c r="R14" s="18"/>
      <c r="S14" s="4"/>
      <c r="T14" s="4"/>
      <c r="U14" s="4"/>
    </row>
    <row r="15" spans="1:21" ht="15" x14ac:dyDescent="0.2">
      <c r="A15" t="s">
        <v>61</v>
      </c>
      <c r="B15" s="23">
        <v>-1166</v>
      </c>
      <c r="C15">
        <v>-520</v>
      </c>
      <c r="D15">
        <v>-371</v>
      </c>
      <c r="E15">
        <v>217</v>
      </c>
      <c r="F15"/>
      <c r="G15" s="18"/>
      <c r="H15"/>
      <c r="I15"/>
      <c r="J15"/>
      <c r="K15" s="23"/>
      <c r="L15" s="23"/>
      <c r="M15" s="23"/>
      <c r="N15" s="23"/>
      <c r="O15" s="23"/>
      <c r="P15" s="23"/>
      <c r="Q15" s="23"/>
      <c r="R15" s="18"/>
      <c r="S15" s="4"/>
      <c r="T15" s="4"/>
      <c r="U15" s="4"/>
    </row>
    <row r="16" spans="1:21" ht="15" x14ac:dyDescent="0.2">
      <c r="A16" t="s">
        <v>62</v>
      </c>
      <c r="B16" s="23">
        <v>-1166</v>
      </c>
      <c r="C16">
        <v>-520</v>
      </c>
      <c r="D16">
        <v>-374</v>
      </c>
      <c r="E16">
        <v>210</v>
      </c>
      <c r="F16"/>
      <c r="G16" s="18"/>
      <c r="H16"/>
      <c r="I16"/>
      <c r="J16"/>
      <c r="K16" s="23"/>
      <c r="L16" s="23"/>
      <c r="M16" s="23"/>
      <c r="N16" s="23"/>
      <c r="O16" s="23"/>
      <c r="P16" s="23"/>
      <c r="Q16" s="23"/>
      <c r="R16" s="18"/>
      <c r="S16" s="4"/>
      <c r="T16" s="4"/>
      <c r="U16" s="4"/>
    </row>
    <row r="17" spans="1:21" ht="15" x14ac:dyDescent="0.2">
      <c r="A17" t="s">
        <v>63</v>
      </c>
      <c r="B17" s="23">
        <v>-1166</v>
      </c>
      <c r="C17">
        <v>-520</v>
      </c>
      <c r="D17">
        <v>-374</v>
      </c>
      <c r="E17">
        <v>210</v>
      </c>
      <c r="F17"/>
      <c r="G17" s="18"/>
      <c r="H17"/>
      <c r="I17"/>
      <c r="J17"/>
      <c r="K17"/>
      <c r="L17"/>
      <c r="M17"/>
      <c r="N17"/>
      <c r="O17"/>
      <c r="P17"/>
      <c r="Q17"/>
      <c r="R17"/>
      <c r="S17" s="4"/>
      <c r="T17" s="4"/>
      <c r="U17" s="4"/>
    </row>
    <row r="18" spans="1:21" ht="15" x14ac:dyDescent="0.2">
      <c r="A18" t="s">
        <v>64</v>
      </c>
      <c r="B18"/>
      <c r="C18"/>
      <c r="D18"/>
      <c r="E18"/>
      <c r="F18"/>
      <c r="G18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18"/>
      <c r="S18" s="4"/>
      <c r="T18" s="4"/>
      <c r="U18" s="4"/>
    </row>
    <row r="19" spans="1:21" ht="15" x14ac:dyDescent="0.2">
      <c r="A19" t="s">
        <v>65</v>
      </c>
      <c r="B19" s="24">
        <v>-1.19</v>
      </c>
      <c r="C19" s="24">
        <v>-0.27</v>
      </c>
      <c r="D19" s="24">
        <v>-0.18</v>
      </c>
      <c r="E19" s="24">
        <v>0.1</v>
      </c>
      <c r="F19" s="24"/>
      <c r="G19" s="18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18"/>
      <c r="S19" s="4"/>
      <c r="T19" s="4"/>
      <c r="U19" s="4"/>
    </row>
    <row r="20" spans="1:21" ht="15" x14ac:dyDescent="0.2">
      <c r="A20" t="s">
        <v>66</v>
      </c>
      <c r="B20" s="24">
        <v>-1.2</v>
      </c>
      <c r="C20" s="24">
        <v>-0.27</v>
      </c>
      <c r="D20" s="24">
        <v>-0.18</v>
      </c>
      <c r="E20" s="24">
        <v>0.09</v>
      </c>
      <c r="F20" s="24"/>
      <c r="G20" s="18"/>
      <c r="H20"/>
      <c r="I20"/>
      <c r="J20"/>
      <c r="K20"/>
      <c r="L20"/>
      <c r="M20"/>
      <c r="N20"/>
      <c r="O20"/>
      <c r="P20"/>
      <c r="Q20"/>
      <c r="R20"/>
      <c r="S20" s="4"/>
      <c r="T20" s="4"/>
      <c r="U20" s="4"/>
    </row>
    <row r="21" spans="1:21" ht="15" x14ac:dyDescent="0.2">
      <c r="A21" t="s">
        <v>67</v>
      </c>
      <c r="B21"/>
      <c r="C21"/>
      <c r="D21"/>
      <c r="E21"/>
      <c r="F21"/>
      <c r="G21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18"/>
      <c r="S21" s="4"/>
      <c r="T21" s="4"/>
      <c r="U21" s="4"/>
    </row>
    <row r="22" spans="1:21" ht="15" x14ac:dyDescent="0.2">
      <c r="A22" t="s">
        <v>65</v>
      </c>
      <c r="B22" s="23">
        <v>1792</v>
      </c>
      <c r="C22" s="23">
        <v>1924</v>
      </c>
      <c r="D22" s="23">
        <v>2064</v>
      </c>
      <c r="E22" s="23">
        <v>2147</v>
      </c>
      <c r="F22" s="23"/>
      <c r="G22" s="18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18"/>
      <c r="S22" s="4"/>
      <c r="T22" s="4"/>
      <c r="U22" s="4"/>
    </row>
    <row r="23" spans="1:21" ht="15" x14ac:dyDescent="0.2">
      <c r="A23" t="s">
        <v>66</v>
      </c>
      <c r="B23" s="23">
        <v>1792</v>
      </c>
      <c r="C23" s="23">
        <v>1924</v>
      </c>
      <c r="D23" s="23">
        <v>2064</v>
      </c>
      <c r="E23" s="23">
        <v>2298</v>
      </c>
      <c r="F23" s="23"/>
      <c r="G23" s="18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18"/>
      <c r="S23" s="4"/>
      <c r="T23" s="4"/>
      <c r="U23" s="4"/>
    </row>
    <row r="24" spans="1:21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</sheetData>
  <dataConsolidate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268F-B9A1-F14C-8CBF-5C399FE21281}">
  <dimension ref="A1:E10"/>
  <sheetViews>
    <sheetView workbookViewId="0">
      <selection activeCell="D6" sqref="D6"/>
    </sheetView>
  </sheetViews>
  <sheetFormatPr baseColWidth="10" defaultRowHeight="15" x14ac:dyDescent="0.2"/>
  <sheetData>
    <row r="1" spans="1:5" ht="21" x14ac:dyDescent="0.25">
      <c r="A1" s="25" t="s">
        <v>145</v>
      </c>
    </row>
    <row r="2" spans="1:5" x14ac:dyDescent="0.2">
      <c r="A2" s="6" t="s">
        <v>49</v>
      </c>
      <c r="B2" s="6">
        <v>2024</v>
      </c>
      <c r="C2" s="6">
        <v>2025</v>
      </c>
      <c r="D2" s="6">
        <v>2026</v>
      </c>
      <c r="E2" s="6"/>
    </row>
    <row r="3" spans="1:5" x14ac:dyDescent="0.2">
      <c r="A3" t="s">
        <v>146</v>
      </c>
      <c r="B3" s="23">
        <v>2810</v>
      </c>
      <c r="C3" s="23">
        <v>3513</v>
      </c>
      <c r="D3" s="23">
        <v>4216</v>
      </c>
      <c r="E3" s="23"/>
    </row>
    <row r="4" spans="1:5" x14ac:dyDescent="0.2">
      <c r="A4" t="s">
        <v>147</v>
      </c>
      <c r="B4">
        <v>513</v>
      </c>
      <c r="C4">
        <v>608</v>
      </c>
      <c r="D4">
        <v>722</v>
      </c>
    </row>
    <row r="5" spans="1:5" x14ac:dyDescent="0.2">
      <c r="A5" t="s">
        <v>148</v>
      </c>
      <c r="B5">
        <v>2119</v>
      </c>
      <c r="C5" s="23">
        <v>2671</v>
      </c>
      <c r="D5" s="23">
        <v>3486</v>
      </c>
      <c r="E5" s="23"/>
    </row>
    <row r="6" spans="1:5" x14ac:dyDescent="0.2">
      <c r="A6" t="s">
        <v>149</v>
      </c>
      <c r="B6">
        <v>1075</v>
      </c>
      <c r="C6">
        <v>1350</v>
      </c>
      <c r="D6">
        <v>1625</v>
      </c>
    </row>
    <row r="7" spans="1:5" x14ac:dyDescent="0.2">
      <c r="A7" t="s">
        <v>57</v>
      </c>
      <c r="B7">
        <v>1062</v>
      </c>
      <c r="C7">
        <v>1354</v>
      </c>
      <c r="D7">
        <v>1654</v>
      </c>
    </row>
    <row r="8" spans="1:5" x14ac:dyDescent="0.2">
      <c r="A8" t="s">
        <v>150</v>
      </c>
      <c r="B8" s="23">
        <v>1161</v>
      </c>
      <c r="C8" s="23">
        <v>1419</v>
      </c>
      <c r="D8" s="23">
        <v>1781</v>
      </c>
      <c r="E8" s="23"/>
    </row>
    <row r="9" spans="1:5" x14ac:dyDescent="0.2">
      <c r="A9" t="s">
        <v>151</v>
      </c>
      <c r="B9" s="23">
        <v>218</v>
      </c>
      <c r="C9" s="23">
        <v>314</v>
      </c>
      <c r="D9" s="23">
        <v>328</v>
      </c>
      <c r="E9" s="23"/>
    </row>
    <row r="10" spans="1:5" x14ac:dyDescent="0.2">
      <c r="A10" t="s">
        <v>152</v>
      </c>
      <c r="B10" s="23">
        <v>932</v>
      </c>
      <c r="C10">
        <v>1202</v>
      </c>
      <c r="D10">
        <v>1477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5D06-3823-4EAE-87BD-784CCE72EA00}">
  <sheetPr codeName="Sheet6"/>
  <dimension ref="A1:M60"/>
  <sheetViews>
    <sheetView zoomScale="101" workbookViewId="0">
      <selection activeCell="F10" sqref="F10"/>
    </sheetView>
  </sheetViews>
  <sheetFormatPr baseColWidth="10" defaultColWidth="8.83203125" defaultRowHeight="15" x14ac:dyDescent="0.2"/>
  <cols>
    <col min="1" max="1" width="39" customWidth="1"/>
    <col min="2" max="6" width="9.33203125" style="13" bestFit="1" customWidth="1"/>
    <col min="7" max="8" width="10.6640625" style="13" bestFit="1" customWidth="1"/>
    <col min="9" max="10" width="10" style="13" bestFit="1" customWidth="1"/>
    <col min="11" max="11" width="11" style="13" bestFit="1" customWidth="1"/>
  </cols>
  <sheetData>
    <row r="1" spans="1:13" ht="21" x14ac:dyDescent="0.25">
      <c r="A1" s="25" t="s">
        <v>136</v>
      </c>
      <c r="B1"/>
      <c r="C1"/>
      <c r="D1"/>
      <c r="E1"/>
      <c r="F1"/>
      <c r="G1"/>
      <c r="H1"/>
      <c r="I1"/>
      <c r="J1"/>
      <c r="K1"/>
    </row>
    <row r="2" spans="1:13" x14ac:dyDescent="0.2">
      <c r="A2" s="6" t="s">
        <v>49</v>
      </c>
      <c r="B2" s="6">
        <v>2020</v>
      </c>
      <c r="C2" s="6">
        <v>2021</v>
      </c>
      <c r="D2" s="6">
        <v>2022</v>
      </c>
      <c r="E2" s="6">
        <v>2023</v>
      </c>
      <c r="F2" s="6" t="s">
        <v>50</v>
      </c>
      <c r="G2" s="6" t="s">
        <v>51</v>
      </c>
      <c r="H2" s="6"/>
      <c r="I2" s="6"/>
      <c r="J2" s="6"/>
      <c r="K2" s="6"/>
      <c r="L2" s="6"/>
      <c r="M2" s="6"/>
    </row>
    <row r="3" spans="1:13" x14ac:dyDescent="0.2">
      <c r="A3" t="s">
        <v>68</v>
      </c>
      <c r="B3"/>
      <c r="C3"/>
      <c r="D3"/>
      <c r="E3"/>
      <c r="F3"/>
      <c r="G3"/>
      <c r="H3"/>
      <c r="I3"/>
      <c r="J3"/>
      <c r="K3"/>
    </row>
    <row r="4" spans="1:13" x14ac:dyDescent="0.2">
      <c r="A4" t="s">
        <v>62</v>
      </c>
      <c r="B4" s="23">
        <v>-1166</v>
      </c>
      <c r="C4">
        <v>-520</v>
      </c>
      <c r="D4">
        <v>-374</v>
      </c>
      <c r="E4">
        <v>210</v>
      </c>
      <c r="F4">
        <v>477</v>
      </c>
      <c r="G4" s="18">
        <v>1.4179999999999999</v>
      </c>
      <c r="H4"/>
      <c r="I4"/>
      <c r="J4"/>
      <c r="K4" s="23"/>
      <c r="L4" s="23"/>
      <c r="M4" s="18"/>
    </row>
    <row r="5" spans="1:13" x14ac:dyDescent="0.2">
      <c r="A5" t="s">
        <v>56</v>
      </c>
      <c r="B5">
        <v>14</v>
      </c>
      <c r="C5">
        <v>15</v>
      </c>
      <c r="D5">
        <v>23</v>
      </c>
      <c r="E5">
        <v>33</v>
      </c>
      <c r="F5">
        <v>33</v>
      </c>
      <c r="G5" s="18">
        <v>0.24199999999999999</v>
      </c>
      <c r="H5"/>
      <c r="I5"/>
      <c r="J5"/>
      <c r="K5"/>
      <c r="M5" s="18"/>
    </row>
    <row r="6" spans="1:13" x14ac:dyDescent="0.2">
      <c r="A6" t="s">
        <v>69</v>
      </c>
      <c r="B6">
        <v>1</v>
      </c>
      <c r="C6">
        <v>0</v>
      </c>
      <c r="D6">
        <v>0</v>
      </c>
      <c r="E6">
        <v>0</v>
      </c>
      <c r="F6">
        <v>0</v>
      </c>
      <c r="G6" t="s">
        <v>71</v>
      </c>
      <c r="H6"/>
      <c r="I6"/>
      <c r="J6"/>
      <c r="K6"/>
      <c r="M6" s="18"/>
    </row>
    <row r="7" spans="1:13" x14ac:dyDescent="0.2">
      <c r="A7" t="s">
        <v>137</v>
      </c>
      <c r="B7">
        <v>-1</v>
      </c>
      <c r="C7">
        <v>0</v>
      </c>
      <c r="D7">
        <v>0</v>
      </c>
      <c r="E7">
        <v>0</v>
      </c>
      <c r="F7">
        <v>0</v>
      </c>
      <c r="G7" t="s">
        <v>71</v>
      </c>
      <c r="H7"/>
      <c r="I7"/>
      <c r="J7"/>
      <c r="K7"/>
    </row>
    <row r="8" spans="1:13" s="6" customFormat="1" x14ac:dyDescent="0.2">
      <c r="A8" t="s">
        <v>70</v>
      </c>
      <c r="B8">
        <v>-20</v>
      </c>
      <c r="C8">
        <v>43</v>
      </c>
      <c r="D8">
        <v>0</v>
      </c>
      <c r="E8">
        <v>-5</v>
      </c>
      <c r="F8">
        <v>0</v>
      </c>
      <c r="G8" t="s">
        <v>71</v>
      </c>
      <c r="H8"/>
      <c r="I8"/>
      <c r="J8"/>
      <c r="K8"/>
      <c r="L8"/>
      <c r="M8" s="18"/>
    </row>
    <row r="9" spans="1:13" s="6" customFormat="1" x14ac:dyDescent="0.2">
      <c r="A9" t="s">
        <v>72</v>
      </c>
      <c r="B9" s="23">
        <v>1271</v>
      </c>
      <c r="C9">
        <v>778</v>
      </c>
      <c r="D9">
        <v>565</v>
      </c>
      <c r="E9">
        <v>476</v>
      </c>
      <c r="F9">
        <v>542</v>
      </c>
      <c r="G9" s="18">
        <v>-0.19500000000000001</v>
      </c>
      <c r="H9" s="26"/>
      <c r="I9" s="26"/>
      <c r="J9" s="26"/>
      <c r="K9" s="26"/>
      <c r="L9" s="26"/>
      <c r="M9" s="26"/>
    </row>
    <row r="10" spans="1:13" s="6" customFormat="1" x14ac:dyDescent="0.2">
      <c r="A10" t="s">
        <v>100</v>
      </c>
      <c r="B10" s="23">
        <v>-454.1</v>
      </c>
      <c r="C10">
        <v>-92.1</v>
      </c>
      <c r="D10">
        <v>-267.10000000000002</v>
      </c>
      <c r="E10">
        <v>6.2</v>
      </c>
      <c r="F10"/>
      <c r="G10" s="18"/>
      <c r="H10" s="26"/>
      <c r="I10" s="26"/>
      <c r="J10" s="26"/>
      <c r="K10" s="26"/>
      <c r="L10" s="26"/>
      <c r="M10" s="26"/>
    </row>
    <row r="11" spans="1:13" s="6" customFormat="1" x14ac:dyDescent="0.2">
      <c r="A11" t="s">
        <v>10</v>
      </c>
      <c r="B11">
        <v>-108</v>
      </c>
      <c r="C11">
        <v>-35</v>
      </c>
      <c r="D11">
        <v>-73</v>
      </c>
      <c r="E11">
        <v>-106</v>
      </c>
      <c r="F11">
        <v>-258</v>
      </c>
      <c r="G11" s="18">
        <v>0.247</v>
      </c>
      <c r="H11"/>
      <c r="I11"/>
      <c r="J11"/>
      <c r="K11"/>
      <c r="L11"/>
      <c r="M11"/>
    </row>
    <row r="12" spans="1:13" x14ac:dyDescent="0.2">
      <c r="A12" t="s">
        <v>73</v>
      </c>
      <c r="B12">
        <v>-19</v>
      </c>
      <c r="C12">
        <v>-11</v>
      </c>
      <c r="D12">
        <v>-25</v>
      </c>
      <c r="E12">
        <v>-6</v>
      </c>
      <c r="F12">
        <v>-26</v>
      </c>
      <c r="G12" s="18">
        <v>8.5999999999999993E-2</v>
      </c>
      <c r="H12"/>
      <c r="I12"/>
      <c r="J12"/>
      <c r="K12"/>
      <c r="M12" s="18"/>
    </row>
    <row r="13" spans="1:13" x14ac:dyDescent="0.2">
      <c r="A13" t="s">
        <v>74</v>
      </c>
      <c r="B13">
        <v>-35</v>
      </c>
      <c r="C13">
        <v>58</v>
      </c>
      <c r="D13">
        <v>-30</v>
      </c>
      <c r="E13">
        <v>-32</v>
      </c>
      <c r="F13">
        <v>8</v>
      </c>
      <c r="G13" s="18">
        <v>-0.48499999999999999</v>
      </c>
      <c r="H13"/>
      <c r="I13"/>
      <c r="J13"/>
      <c r="K13"/>
      <c r="M13" s="18"/>
    </row>
    <row r="14" spans="1:13" x14ac:dyDescent="0.2">
      <c r="A14" t="s">
        <v>75</v>
      </c>
      <c r="B14">
        <v>39</v>
      </c>
      <c r="C14">
        <v>15</v>
      </c>
      <c r="D14">
        <v>6</v>
      </c>
      <c r="E14">
        <v>53</v>
      </c>
      <c r="F14">
        <v>92</v>
      </c>
      <c r="G14" s="18">
        <v>0.25</v>
      </c>
      <c r="H14"/>
      <c r="I14"/>
      <c r="J14"/>
      <c r="K14"/>
      <c r="M14" s="18"/>
    </row>
    <row r="15" spans="1:13" x14ac:dyDescent="0.2">
      <c r="A15" t="s">
        <v>76</v>
      </c>
      <c r="B15">
        <v>-262</v>
      </c>
      <c r="C15">
        <v>-80</v>
      </c>
      <c r="D15">
        <v>-111</v>
      </c>
      <c r="E15">
        <v>144</v>
      </c>
      <c r="F15">
        <v>127</v>
      </c>
      <c r="G15" s="18">
        <v>-0.122</v>
      </c>
      <c r="H15"/>
      <c r="I15"/>
      <c r="J15"/>
      <c r="K15"/>
      <c r="M15" s="18"/>
    </row>
    <row r="16" spans="1:13" s="6" customFormat="1" x14ac:dyDescent="0.2">
      <c r="A16" t="s">
        <v>77</v>
      </c>
      <c r="B16">
        <v>39</v>
      </c>
      <c r="C16">
        <v>37</v>
      </c>
      <c r="D16">
        <v>-3</v>
      </c>
      <c r="E16">
        <v>-29</v>
      </c>
      <c r="F16">
        <v>1</v>
      </c>
      <c r="G16" s="18">
        <v>-0.64</v>
      </c>
      <c r="H16"/>
      <c r="I16"/>
      <c r="J16"/>
      <c r="K16"/>
      <c r="L16"/>
      <c r="M16"/>
    </row>
    <row r="17" spans="1:13" x14ac:dyDescent="0.2">
      <c r="A17" t="s">
        <v>78</v>
      </c>
      <c r="B17">
        <v>-48</v>
      </c>
      <c r="C17">
        <v>35</v>
      </c>
      <c r="D17">
        <v>246</v>
      </c>
      <c r="E17">
        <v>-26</v>
      </c>
      <c r="F17">
        <v>-2</v>
      </c>
      <c r="G17" t="s">
        <v>71</v>
      </c>
      <c r="H17"/>
      <c r="I17"/>
      <c r="J17"/>
      <c r="K17"/>
      <c r="M17" s="18"/>
    </row>
    <row r="18" spans="1:13" x14ac:dyDescent="0.2">
      <c r="A18" t="s">
        <v>79</v>
      </c>
      <c r="B18">
        <v>-297</v>
      </c>
      <c r="C18">
        <v>334</v>
      </c>
      <c r="D18">
        <v>224</v>
      </c>
      <c r="E18">
        <v>712</v>
      </c>
      <c r="F18">
        <v>995</v>
      </c>
      <c r="G18" s="18">
        <v>0.45200000000000001</v>
      </c>
      <c r="H18"/>
      <c r="I18"/>
      <c r="J18"/>
      <c r="K18"/>
      <c r="M18" s="18"/>
    </row>
    <row r="19" spans="1:13" x14ac:dyDescent="0.2">
      <c r="A19" t="s">
        <v>80</v>
      </c>
      <c r="B19"/>
      <c r="C19"/>
      <c r="D19"/>
      <c r="E19"/>
      <c r="F19"/>
      <c r="G19"/>
      <c r="H19"/>
      <c r="I19" s="23"/>
      <c r="J19" s="23"/>
      <c r="K19" s="23"/>
      <c r="L19" s="23"/>
      <c r="M19" s="18"/>
    </row>
    <row r="20" spans="1:13" x14ac:dyDescent="0.2">
      <c r="A20" t="s">
        <v>81</v>
      </c>
      <c r="B20">
        <v>-12</v>
      </c>
      <c r="C20">
        <v>-13</v>
      </c>
      <c r="D20">
        <v>-40</v>
      </c>
      <c r="E20">
        <v>-15</v>
      </c>
      <c r="F20">
        <v>-14</v>
      </c>
      <c r="G20" s="18">
        <v>4.2000000000000003E-2</v>
      </c>
      <c r="H20"/>
      <c r="I20"/>
      <c r="J20"/>
      <c r="K20"/>
    </row>
    <row r="21" spans="1:13" s="6" customFormat="1" x14ac:dyDescent="0.2">
      <c r="A21" t="s">
        <v>82</v>
      </c>
      <c r="B21">
        <v>-3</v>
      </c>
      <c r="C21">
        <v>0</v>
      </c>
      <c r="D21">
        <v>67</v>
      </c>
      <c r="E21">
        <v>0</v>
      </c>
      <c r="F21">
        <v>0</v>
      </c>
      <c r="G21" t="s">
        <v>71</v>
      </c>
      <c r="H21"/>
      <c r="I21"/>
      <c r="J21"/>
      <c r="K21"/>
      <c r="L21"/>
      <c r="M21" s="18"/>
    </row>
    <row r="22" spans="1:13" x14ac:dyDescent="0.2">
      <c r="A22" t="s">
        <v>83</v>
      </c>
      <c r="B22">
        <v>0</v>
      </c>
      <c r="C22">
        <v>-382</v>
      </c>
      <c r="D22">
        <v>-124</v>
      </c>
      <c r="E22" s="23">
        <v>-5636</v>
      </c>
      <c r="F22" s="23">
        <v>-4263</v>
      </c>
      <c r="G22" t="s">
        <v>71</v>
      </c>
      <c r="H22"/>
      <c r="I22"/>
      <c r="J22"/>
      <c r="K22"/>
    </row>
    <row r="23" spans="1:13" x14ac:dyDescent="0.2">
      <c r="A23" t="s">
        <v>84</v>
      </c>
      <c r="B23">
        <v>0</v>
      </c>
      <c r="C23">
        <v>1</v>
      </c>
      <c r="D23">
        <v>52</v>
      </c>
      <c r="E23" s="23">
        <v>2940</v>
      </c>
      <c r="F23" s="23">
        <v>2732</v>
      </c>
      <c r="G23" s="18">
        <v>14.747</v>
      </c>
      <c r="H23"/>
      <c r="I23"/>
      <c r="J23"/>
      <c r="K23"/>
    </row>
    <row r="24" spans="1:13" x14ac:dyDescent="0.2">
      <c r="A24" t="s">
        <v>138</v>
      </c>
      <c r="B24">
        <v>0</v>
      </c>
      <c r="C24">
        <v>-4</v>
      </c>
      <c r="D24">
        <v>0</v>
      </c>
      <c r="E24">
        <v>0</v>
      </c>
      <c r="F24">
        <v>0</v>
      </c>
      <c r="G24" t="s">
        <v>71</v>
      </c>
      <c r="H24"/>
      <c r="I24"/>
      <c r="J24"/>
      <c r="K24" s="23"/>
      <c r="L24" s="23"/>
    </row>
    <row r="25" spans="1:13" x14ac:dyDescent="0.2">
      <c r="A25" t="s">
        <v>85</v>
      </c>
      <c r="B25">
        <v>-15</v>
      </c>
      <c r="C25">
        <v>-398</v>
      </c>
      <c r="D25">
        <v>-45</v>
      </c>
      <c r="E25" s="23">
        <v>-2711</v>
      </c>
      <c r="F25" s="23">
        <v>-1550</v>
      </c>
      <c r="G25" s="18">
        <v>2.2599999999999998</v>
      </c>
      <c r="H25"/>
      <c r="I25"/>
      <c r="J25"/>
      <c r="K25"/>
      <c r="M25" s="18"/>
    </row>
    <row r="26" spans="1:13" x14ac:dyDescent="0.2">
      <c r="A26" t="s">
        <v>86</v>
      </c>
      <c r="B26"/>
      <c r="C26"/>
      <c r="D26"/>
      <c r="E26"/>
      <c r="F26"/>
      <c r="G26"/>
      <c r="H26"/>
      <c r="I26"/>
      <c r="J26"/>
      <c r="K26"/>
    </row>
    <row r="27" spans="1:13" x14ac:dyDescent="0.2">
      <c r="A27" t="s">
        <v>139</v>
      </c>
      <c r="B27">
        <v>199</v>
      </c>
      <c r="C27">
        <v>0</v>
      </c>
      <c r="D27">
        <v>0</v>
      </c>
      <c r="E27">
        <v>0</v>
      </c>
      <c r="F27">
        <v>0</v>
      </c>
      <c r="G27" t="s">
        <v>71</v>
      </c>
      <c r="H27"/>
      <c r="I27"/>
      <c r="J27"/>
      <c r="K27"/>
    </row>
    <row r="28" spans="1:13" x14ac:dyDescent="0.2">
      <c r="A28" t="s">
        <v>140</v>
      </c>
      <c r="B28">
        <v>-400</v>
      </c>
      <c r="C28">
        <v>-200</v>
      </c>
      <c r="D28">
        <v>0</v>
      </c>
      <c r="E28">
        <v>0</v>
      </c>
      <c r="F28">
        <v>0</v>
      </c>
      <c r="G28" t="s">
        <v>71</v>
      </c>
      <c r="H28"/>
      <c r="I28"/>
      <c r="J28"/>
      <c r="K28"/>
    </row>
    <row r="29" spans="1:13" x14ac:dyDescent="0.2">
      <c r="A29" t="s">
        <v>141</v>
      </c>
      <c r="B29">
        <v>199</v>
      </c>
      <c r="C29">
        <v>0</v>
      </c>
      <c r="D29">
        <v>0</v>
      </c>
      <c r="E29">
        <v>0</v>
      </c>
      <c r="F29">
        <v>0</v>
      </c>
      <c r="G29" t="s">
        <v>71</v>
      </c>
      <c r="H29"/>
      <c r="I29"/>
      <c r="J29"/>
      <c r="K29"/>
      <c r="M29" s="18"/>
    </row>
    <row r="30" spans="1:13" x14ac:dyDescent="0.2">
      <c r="A30" t="s">
        <v>142</v>
      </c>
      <c r="B30">
        <v>-400</v>
      </c>
      <c r="C30">
        <v>-200</v>
      </c>
      <c r="D30">
        <v>0</v>
      </c>
      <c r="E30">
        <v>0</v>
      </c>
      <c r="F30">
        <v>0</v>
      </c>
      <c r="G30" t="s">
        <v>71</v>
      </c>
      <c r="H30"/>
      <c r="I30"/>
      <c r="J30"/>
      <c r="K30"/>
    </row>
    <row r="31" spans="1:13" s="6" customFormat="1" x14ac:dyDescent="0.2">
      <c r="A31" t="s">
        <v>143</v>
      </c>
      <c r="B31">
        <v>943</v>
      </c>
      <c r="C31">
        <v>0</v>
      </c>
      <c r="D31">
        <v>0</v>
      </c>
      <c r="E31">
        <v>0</v>
      </c>
      <c r="F31">
        <v>0</v>
      </c>
      <c r="G31" t="s">
        <v>71</v>
      </c>
      <c r="H31"/>
      <c r="I31"/>
      <c r="J31"/>
      <c r="K31"/>
      <c r="L31"/>
      <c r="M31"/>
    </row>
    <row r="32" spans="1:13" x14ac:dyDescent="0.2">
      <c r="A32" t="s">
        <v>87</v>
      </c>
      <c r="B32">
        <v>-4</v>
      </c>
      <c r="C32">
        <v>0</v>
      </c>
      <c r="D32">
        <v>0</v>
      </c>
      <c r="E32">
        <v>0</v>
      </c>
      <c r="F32">
        <v>0</v>
      </c>
      <c r="G32" t="s">
        <v>71</v>
      </c>
      <c r="H32"/>
      <c r="I32"/>
      <c r="J32"/>
      <c r="K32"/>
      <c r="M32" s="18"/>
    </row>
    <row r="33" spans="1:13" s="6" customFormat="1" x14ac:dyDescent="0.2">
      <c r="A33" t="s">
        <v>88</v>
      </c>
      <c r="B33">
        <v>0</v>
      </c>
      <c r="C33">
        <v>-1</v>
      </c>
      <c r="D33">
        <v>0</v>
      </c>
      <c r="E33">
        <v>1</v>
      </c>
      <c r="F33">
        <v>0</v>
      </c>
      <c r="G33" t="s">
        <v>71</v>
      </c>
      <c r="H33"/>
      <c r="I33"/>
      <c r="J33"/>
      <c r="K33"/>
      <c r="L33"/>
      <c r="M33"/>
    </row>
    <row r="34" spans="1:13" x14ac:dyDescent="0.2">
      <c r="A34" t="s">
        <v>89</v>
      </c>
      <c r="B34">
        <v>499</v>
      </c>
      <c r="C34">
        <v>707</v>
      </c>
      <c r="D34">
        <v>86</v>
      </c>
      <c r="E34">
        <v>218</v>
      </c>
      <c r="F34">
        <v>276</v>
      </c>
      <c r="G34" s="18">
        <v>-0.24099999999999999</v>
      </c>
      <c r="H34"/>
      <c r="I34"/>
      <c r="J34"/>
      <c r="K34"/>
      <c r="M34" s="18"/>
    </row>
    <row r="35" spans="1:13" x14ac:dyDescent="0.2">
      <c r="A35" t="s">
        <v>90</v>
      </c>
      <c r="B35" s="23">
        <v>1036</v>
      </c>
      <c r="C35">
        <v>307</v>
      </c>
      <c r="D35">
        <v>86</v>
      </c>
      <c r="E35">
        <v>219</v>
      </c>
      <c r="F35">
        <v>276</v>
      </c>
      <c r="G35" s="18">
        <v>-0.28599999999999998</v>
      </c>
      <c r="H35"/>
      <c r="I35"/>
      <c r="J35"/>
      <c r="K35"/>
      <c r="M35" s="18"/>
    </row>
    <row r="36" spans="1:13" s="6" customFormat="1" x14ac:dyDescent="0.2">
      <c r="A36" t="s">
        <v>91</v>
      </c>
      <c r="B36">
        <v>1</v>
      </c>
      <c r="C36">
        <v>-4</v>
      </c>
      <c r="D36">
        <v>-4</v>
      </c>
      <c r="E36">
        <v>3</v>
      </c>
      <c r="F36">
        <v>6</v>
      </c>
      <c r="G36" s="18">
        <v>0.48799999999999999</v>
      </c>
      <c r="H36"/>
      <c r="I36"/>
      <c r="J36"/>
      <c r="K36"/>
      <c r="L36"/>
      <c r="M36" s="18"/>
    </row>
    <row r="37" spans="1:13" x14ac:dyDescent="0.2">
      <c r="A37" t="s">
        <v>92</v>
      </c>
      <c r="B37">
        <v>725</v>
      </c>
      <c r="C37">
        <v>243</v>
      </c>
      <c r="D37">
        <v>264</v>
      </c>
      <c r="E37" s="23">
        <v>-1780</v>
      </c>
      <c r="F37">
        <v>-279</v>
      </c>
      <c r="G37" t="s">
        <v>71</v>
      </c>
      <c r="H37"/>
      <c r="I37"/>
      <c r="J37"/>
      <c r="K37"/>
    </row>
    <row r="38" spans="1:13" s="6" customFormat="1" x14ac:dyDescent="0.2">
      <c r="A38" t="s">
        <v>93</v>
      </c>
      <c r="B38" s="23">
        <v>1402</v>
      </c>
      <c r="C38" s="23">
        <v>2128</v>
      </c>
      <c r="D38" s="23">
        <v>2367</v>
      </c>
      <c r="E38" s="23">
        <v>2627</v>
      </c>
      <c r="F38" s="23">
        <v>1062</v>
      </c>
      <c r="G38" s="18">
        <v>-6.8000000000000005E-2</v>
      </c>
      <c r="H38"/>
      <c r="I38" s="23"/>
      <c r="J38" s="23"/>
      <c r="K38" s="23"/>
      <c r="L38" s="23"/>
      <c r="M38" s="18"/>
    </row>
    <row r="39" spans="1:13" x14ac:dyDescent="0.2">
      <c r="A39" t="s">
        <v>94</v>
      </c>
      <c r="B39" s="23">
        <v>2128</v>
      </c>
      <c r="C39" s="23">
        <v>2367</v>
      </c>
      <c r="D39" s="23">
        <v>2627</v>
      </c>
      <c r="E39">
        <v>850</v>
      </c>
      <c r="F39">
        <v>782</v>
      </c>
      <c r="G39" s="18">
        <v>-0.22500000000000001</v>
      </c>
      <c r="H39"/>
      <c r="I39"/>
      <c r="J39"/>
      <c r="K39"/>
      <c r="M39" s="18"/>
    </row>
    <row r="40" spans="1:13" x14ac:dyDescent="0.2">
      <c r="A40" t="s">
        <v>95</v>
      </c>
      <c r="B40"/>
      <c r="C40"/>
      <c r="D40"/>
      <c r="E40"/>
      <c r="F40"/>
      <c r="G40"/>
      <c r="H40"/>
      <c r="I40"/>
      <c r="J40"/>
      <c r="K40" s="23"/>
      <c r="L40" s="23"/>
      <c r="M40" s="18"/>
    </row>
    <row r="41" spans="1:13" x14ac:dyDescent="0.2">
      <c r="A41" t="s">
        <v>96</v>
      </c>
      <c r="B41">
        <v>-297</v>
      </c>
      <c r="C41">
        <v>334</v>
      </c>
      <c r="D41">
        <v>224</v>
      </c>
      <c r="E41">
        <v>712</v>
      </c>
      <c r="F41">
        <v>995</v>
      </c>
      <c r="G41" s="18">
        <v>0.45200000000000001</v>
      </c>
      <c r="H41" s="15"/>
      <c r="I41" s="15"/>
      <c r="J41" s="15"/>
      <c r="K41" s="15"/>
      <c r="L41" s="2"/>
    </row>
    <row r="42" spans="1:13" x14ac:dyDescent="0.2">
      <c r="A42" t="s">
        <v>97</v>
      </c>
      <c r="B42">
        <v>-12</v>
      </c>
      <c r="C42">
        <v>-13</v>
      </c>
      <c r="D42">
        <v>-40</v>
      </c>
      <c r="E42">
        <v>-15</v>
      </c>
      <c r="F42">
        <v>-14</v>
      </c>
      <c r="G42" s="18">
        <v>4.2000000000000003E-2</v>
      </c>
      <c r="H42" s="15"/>
      <c r="I42" s="15"/>
      <c r="J42" s="15"/>
      <c r="K42" s="15"/>
      <c r="L42" s="2"/>
    </row>
    <row r="43" spans="1:13" s="6" customFormat="1" x14ac:dyDescent="0.2">
      <c r="A43" t="s">
        <v>98</v>
      </c>
      <c r="B43">
        <v>-309</v>
      </c>
      <c r="C43">
        <v>321</v>
      </c>
      <c r="D43">
        <v>184</v>
      </c>
      <c r="E43">
        <v>697</v>
      </c>
      <c r="F43">
        <v>980</v>
      </c>
      <c r="G43" s="18">
        <v>0.46400000000000002</v>
      </c>
      <c r="H43" s="14"/>
      <c r="I43" s="14"/>
      <c r="J43" s="14"/>
      <c r="K43" s="14"/>
      <c r="L43" s="12"/>
    </row>
    <row r="44" spans="1:13" x14ac:dyDescent="0.2">
      <c r="A44" s="1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"/>
    </row>
    <row r="45" spans="1:13" x14ac:dyDescent="0.2">
      <c r="A45" s="1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2"/>
    </row>
    <row r="46" spans="1:13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2"/>
    </row>
    <row r="47" spans="1:13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2"/>
    </row>
    <row r="48" spans="1:13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2"/>
    </row>
    <row r="49" spans="1:12" s="6" customFormat="1" x14ac:dyDescent="0.2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2"/>
    </row>
    <row r="50" spans="1:12" x14ac:dyDescent="0.2">
      <c r="A50" s="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2"/>
    </row>
    <row r="51" spans="1:12" x14ac:dyDescent="0.2">
      <c r="A51" s="9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2"/>
    </row>
    <row r="52" spans="1:12" s="6" customFormat="1" x14ac:dyDescent="0.2">
      <c r="A52" s="1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2"/>
    </row>
    <row r="53" spans="1:12" x14ac:dyDescent="0.2">
      <c r="A53" s="7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2"/>
    </row>
    <row r="54" spans="1:12" x14ac:dyDescent="0.2">
      <c r="A54" s="7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2"/>
    </row>
    <row r="55" spans="1:12" x14ac:dyDescent="0.2">
      <c r="A55" s="7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2"/>
    </row>
    <row r="56" spans="1:12" x14ac:dyDescent="0.2">
      <c r="A56" s="7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2"/>
    </row>
    <row r="57" spans="1:12" x14ac:dyDescent="0.2">
      <c r="A57" s="7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2"/>
    </row>
    <row r="58" spans="1:12" x14ac:dyDescent="0.2">
      <c r="A58" s="7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2"/>
    </row>
    <row r="59" spans="1:12" x14ac:dyDescent="0.2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2"/>
    </row>
    <row r="60" spans="1:12" x14ac:dyDescent="0.2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620-CA7A-4721-B230-B63E42271BB1}">
  <sheetPr codeName="Sheet3"/>
  <dimension ref="A2:F22"/>
  <sheetViews>
    <sheetView showGridLines="0" zoomScale="133" workbookViewId="0">
      <selection activeCell="L24" sqref="L24"/>
    </sheetView>
  </sheetViews>
  <sheetFormatPr baseColWidth="10" defaultColWidth="8.83203125" defaultRowHeight="15" x14ac:dyDescent="0.2"/>
  <cols>
    <col min="1" max="1" width="4.1640625" customWidth="1"/>
    <col min="2" max="2" width="8" bestFit="1" customWidth="1"/>
    <col min="3" max="3" width="6.6640625" bestFit="1" customWidth="1"/>
    <col min="6" max="6" width="21.33203125" style="18" customWidth="1"/>
  </cols>
  <sheetData>
    <row r="2" spans="1:6" s="17" customFormat="1" x14ac:dyDescent="0.2">
      <c r="B2" s="60" t="s">
        <v>29</v>
      </c>
      <c r="F2" s="19"/>
    </row>
    <row r="4" spans="1:6" x14ac:dyDescent="0.2">
      <c r="B4" t="s">
        <v>34</v>
      </c>
    </row>
    <row r="5" spans="1:6" x14ac:dyDescent="0.2">
      <c r="B5" t="s">
        <v>35</v>
      </c>
    </row>
    <row r="7" spans="1:6" x14ac:dyDescent="0.2">
      <c r="A7" t="s">
        <v>0</v>
      </c>
      <c r="B7" s="85" t="s">
        <v>29</v>
      </c>
      <c r="C7" s="85"/>
      <c r="D7" s="85"/>
      <c r="E7" s="85"/>
      <c r="F7" s="86"/>
    </row>
    <row r="8" spans="1:6" x14ac:dyDescent="0.2">
      <c r="B8" t="s">
        <v>36</v>
      </c>
      <c r="F8" s="1">
        <v>181300</v>
      </c>
    </row>
    <row r="9" spans="1:6" x14ac:dyDescent="0.2">
      <c r="B9" t="s">
        <v>37</v>
      </c>
      <c r="F9" s="80">
        <f>F8/$F$20</f>
        <v>1</v>
      </c>
    </row>
    <row r="10" spans="1:6" x14ac:dyDescent="0.2">
      <c r="B10" t="s">
        <v>38</v>
      </c>
      <c r="F10" s="18">
        <f>F11+F12*F13</f>
        <v>0.14421</v>
      </c>
    </row>
    <row r="11" spans="1:6" x14ac:dyDescent="0.2">
      <c r="B11" t="s">
        <v>39</v>
      </c>
      <c r="F11" s="81">
        <v>4.1799999999999997E-2</v>
      </c>
    </row>
    <row r="12" spans="1:6" x14ac:dyDescent="0.2">
      <c r="B12" t="s">
        <v>40</v>
      </c>
      <c r="F12" s="82">
        <v>2.66</v>
      </c>
    </row>
    <row r="13" spans="1:6" x14ac:dyDescent="0.2">
      <c r="B13" t="s">
        <v>41</v>
      </c>
      <c r="F13" s="81">
        <v>3.85E-2</v>
      </c>
    </row>
    <row r="15" spans="1:6" x14ac:dyDescent="0.2">
      <c r="B15" t="s">
        <v>42</v>
      </c>
      <c r="F15" s="82">
        <v>0</v>
      </c>
    </row>
    <row r="16" spans="1:6" x14ac:dyDescent="0.2">
      <c r="B16" t="s">
        <v>43</v>
      </c>
      <c r="F16" s="18">
        <f>F15/F20</f>
        <v>0</v>
      </c>
    </row>
    <row r="17" spans="1:6" x14ac:dyDescent="0.2">
      <c r="B17" t="s">
        <v>44</v>
      </c>
      <c r="F17" s="81">
        <v>0</v>
      </c>
    </row>
    <row r="18" spans="1:6" x14ac:dyDescent="0.2">
      <c r="B18" t="s">
        <v>45</v>
      </c>
      <c r="F18" s="81">
        <f>DCF!H53</f>
        <v>0.01</v>
      </c>
    </row>
    <row r="19" spans="1:6" x14ac:dyDescent="0.2">
      <c r="F19" s="18" t="s">
        <v>33</v>
      </c>
    </row>
    <row r="20" spans="1:6" x14ac:dyDescent="0.2">
      <c r="B20" t="s">
        <v>46</v>
      </c>
      <c r="F20" s="1">
        <f>F8+F15</f>
        <v>181300</v>
      </c>
    </row>
    <row r="22" spans="1:6" x14ac:dyDescent="0.2">
      <c r="A22" t="s">
        <v>0</v>
      </c>
      <c r="B22" s="20" t="s">
        <v>29</v>
      </c>
      <c r="C22" s="21"/>
      <c r="D22" s="21"/>
      <c r="E22" s="21"/>
      <c r="F22" s="22">
        <f>(F9*F10)+(F16*F17)</f>
        <v>0.14421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93F7-480F-D54C-9AF3-231DD06A39F0}">
  <dimension ref="A1:P30"/>
  <sheetViews>
    <sheetView showGridLines="0" zoomScale="125" workbookViewId="0">
      <selection activeCell="D37" sqref="D37"/>
    </sheetView>
  </sheetViews>
  <sheetFormatPr baseColWidth="10" defaultRowHeight="15" x14ac:dyDescent="0.2"/>
  <cols>
    <col min="1" max="1" width="2.5" style="62" customWidth="1"/>
    <col min="2" max="2" width="24" style="30" customWidth="1"/>
    <col min="3" max="5" width="12.83203125" style="30" customWidth="1"/>
    <col min="6" max="16384" width="10.83203125" style="30"/>
  </cols>
  <sheetData>
    <row r="1" spans="1:5" x14ac:dyDescent="0.2">
      <c r="E1" s="63"/>
    </row>
    <row r="2" spans="1:5" s="58" customFormat="1" x14ac:dyDescent="0.2">
      <c r="A2" s="64"/>
      <c r="B2" s="65" t="s">
        <v>108</v>
      </c>
      <c r="E2" s="66"/>
    </row>
    <row r="3" spans="1:5" x14ac:dyDescent="0.2">
      <c r="E3" s="63"/>
    </row>
    <row r="4" spans="1:5" x14ac:dyDescent="0.2">
      <c r="B4" s="30" t="s">
        <v>34</v>
      </c>
      <c r="E4" s="63"/>
    </row>
    <row r="5" spans="1:5" x14ac:dyDescent="0.2">
      <c r="B5" s="30" t="s">
        <v>35</v>
      </c>
      <c r="E5" s="63"/>
    </row>
    <row r="6" spans="1:5" x14ac:dyDescent="0.2">
      <c r="E6" s="63"/>
    </row>
    <row r="7" spans="1:5" x14ac:dyDescent="0.2">
      <c r="A7" s="62" t="s">
        <v>0</v>
      </c>
      <c r="B7" s="84" t="s">
        <v>109</v>
      </c>
      <c r="C7" s="84"/>
      <c r="D7" s="84"/>
      <c r="E7" s="87"/>
    </row>
    <row r="8" spans="1:5" x14ac:dyDescent="0.2">
      <c r="B8" s="30" t="s">
        <v>112</v>
      </c>
      <c r="E8" s="71">
        <v>76.34</v>
      </c>
    </row>
    <row r="9" spans="1:5" x14ac:dyDescent="0.2">
      <c r="B9" s="30" t="s">
        <v>124</v>
      </c>
      <c r="E9" s="76">
        <f>2180.64+96.37+1</f>
        <v>2278.0099999999998</v>
      </c>
    </row>
    <row r="10" spans="1:5" x14ac:dyDescent="0.2">
      <c r="B10" s="30" t="s">
        <v>110</v>
      </c>
      <c r="E10" s="76">
        <f>E30</f>
        <v>281.31</v>
      </c>
    </row>
    <row r="11" spans="1:5" x14ac:dyDescent="0.2">
      <c r="B11" s="30" t="s">
        <v>111</v>
      </c>
      <c r="E11" s="76">
        <f>SUMPRODUCT(E22:E29,D22:D29)</f>
        <v>4557.9345999999996</v>
      </c>
    </row>
    <row r="12" spans="1:5" x14ac:dyDescent="0.2">
      <c r="B12" s="30" t="s">
        <v>114</v>
      </c>
      <c r="E12" s="76">
        <f>E11/E8</f>
        <v>59.70571915116583</v>
      </c>
    </row>
    <row r="13" spans="1:5" x14ac:dyDescent="0.2">
      <c r="B13" s="30" t="s">
        <v>113</v>
      </c>
      <c r="E13" s="76">
        <f>E10-E12</f>
        <v>221.60428084883418</v>
      </c>
    </row>
    <row r="14" spans="1:5" x14ac:dyDescent="0.2">
      <c r="E14" s="67"/>
    </row>
    <row r="15" spans="1:5" x14ac:dyDescent="0.2">
      <c r="B15" s="30" t="s">
        <v>128</v>
      </c>
      <c r="E15" s="76">
        <v>72.2</v>
      </c>
    </row>
    <row r="16" spans="1:5" s="75" customFormat="1" x14ac:dyDescent="0.2">
      <c r="B16" s="75" t="s">
        <v>129</v>
      </c>
      <c r="E16" s="76">
        <v>0.86</v>
      </c>
    </row>
    <row r="17" spans="1:16" x14ac:dyDescent="0.2">
      <c r="E17" s="68"/>
    </row>
    <row r="18" spans="1:16" s="37" customFormat="1" x14ac:dyDescent="0.2">
      <c r="A18" s="69"/>
      <c r="B18" s="37" t="s">
        <v>115</v>
      </c>
      <c r="E18" s="79">
        <f>E9+E13+E15+E16</f>
        <v>2572.6742808488339</v>
      </c>
    </row>
    <row r="19" spans="1:16" x14ac:dyDescent="0.2">
      <c r="E19" s="70"/>
    </row>
    <row r="20" spans="1:16" x14ac:dyDescent="0.2">
      <c r="A20" s="62" t="s">
        <v>0</v>
      </c>
      <c r="B20" s="84" t="s">
        <v>116</v>
      </c>
      <c r="C20" s="84"/>
      <c r="D20" s="84"/>
      <c r="E20" s="87"/>
    </row>
    <row r="21" spans="1:16" x14ac:dyDescent="0.2">
      <c r="C21" s="72" t="s">
        <v>125</v>
      </c>
      <c r="D21" s="72" t="s">
        <v>126</v>
      </c>
      <c r="E21" s="72" t="s">
        <v>127</v>
      </c>
    </row>
    <row r="22" spans="1:16" x14ac:dyDescent="0.2">
      <c r="B22" s="30" t="s">
        <v>117</v>
      </c>
      <c r="C22" s="73">
        <v>233.35</v>
      </c>
      <c r="D22" s="73">
        <v>9.1</v>
      </c>
      <c r="E22" s="74">
        <f>IF(D22&lt;$E$8,C22)</f>
        <v>233.35</v>
      </c>
    </row>
    <row r="23" spans="1:16" x14ac:dyDescent="0.2">
      <c r="B23" s="30" t="s">
        <v>118</v>
      </c>
      <c r="C23" s="73">
        <v>47.96</v>
      </c>
      <c r="D23" s="73">
        <v>50.76</v>
      </c>
      <c r="E23" s="74">
        <f t="shared" ref="E23:E28" si="0">IF(D23&lt;$E$8,C23)</f>
        <v>47.96</v>
      </c>
    </row>
    <row r="24" spans="1:16" x14ac:dyDescent="0.2">
      <c r="B24" s="30" t="s">
        <v>119</v>
      </c>
      <c r="C24" s="73"/>
      <c r="D24" s="73"/>
      <c r="E24" s="74">
        <f t="shared" si="0"/>
        <v>0</v>
      </c>
    </row>
    <row r="25" spans="1:16" x14ac:dyDescent="0.2">
      <c r="B25" s="30" t="s">
        <v>120</v>
      </c>
      <c r="C25" s="73"/>
      <c r="D25" s="73"/>
      <c r="E25" s="74">
        <f t="shared" si="0"/>
        <v>0</v>
      </c>
    </row>
    <row r="26" spans="1:16" x14ac:dyDescent="0.2">
      <c r="B26" s="30" t="s">
        <v>121</v>
      </c>
      <c r="C26" s="73"/>
      <c r="D26" s="73"/>
      <c r="E26" s="74">
        <f t="shared" si="0"/>
        <v>0</v>
      </c>
    </row>
    <row r="27" spans="1:16" x14ac:dyDescent="0.2">
      <c r="B27" s="30" t="s">
        <v>122</v>
      </c>
      <c r="C27" s="73"/>
      <c r="D27" s="73"/>
      <c r="E27" s="74">
        <f t="shared" si="0"/>
        <v>0</v>
      </c>
    </row>
    <row r="28" spans="1:16" x14ac:dyDescent="0.2">
      <c r="B28" s="30" t="s">
        <v>123</v>
      </c>
      <c r="C28" s="73"/>
      <c r="D28" s="73"/>
      <c r="E28" s="74">
        <f t="shared" si="0"/>
        <v>0</v>
      </c>
    </row>
    <row r="29" spans="1:16" x14ac:dyDescent="0.2">
      <c r="C29" s="73"/>
      <c r="D29" s="73"/>
      <c r="E29" s="73"/>
    </row>
    <row r="30" spans="1:16" x14ac:dyDescent="0.2">
      <c r="A30" s="62" t="s">
        <v>0</v>
      </c>
      <c r="B30" s="61" t="s">
        <v>46</v>
      </c>
      <c r="C30" s="77"/>
      <c r="D30" s="77"/>
      <c r="E30" s="78">
        <f>SUM(E22:E29)</f>
        <v>281.31</v>
      </c>
      <c r="K30" s="56"/>
      <c r="L30" s="56"/>
      <c r="M30" s="56"/>
      <c r="N30" s="56"/>
      <c r="O30" s="56"/>
      <c r="P30" s="56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A8BDE2-E659-4016-93A8-234705697C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DCF</vt:lpstr>
      <vt:lpstr>IS_Historicals</vt:lpstr>
      <vt:lpstr>IS_Est.</vt:lpstr>
      <vt:lpstr>CFS_Historicals</vt:lpstr>
      <vt:lpstr>WACC</vt:lpstr>
      <vt:lpstr>Diluted Shrs</vt:lpstr>
      <vt:lpstr>dr</vt:lpstr>
      <vt:lpstr>tg</vt:lpstr>
      <vt:lpstr>tgr</vt:lpstr>
      <vt:lpstr>wacc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</cp:lastModifiedBy>
  <cp:lastPrinted>2023-01-20T07:14:04Z</cp:lastPrinted>
  <dcterms:created xsi:type="dcterms:W3CDTF">2023-01-19T06:21:05Z</dcterms:created>
  <dcterms:modified xsi:type="dcterms:W3CDTF">2024-12-08T05:20:26Z</dcterms:modified>
  <cp:category/>
</cp:coreProperties>
</file>