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13_ncr:1_{D37E89C3-915E-5F49-B65D-065C92C5620C}" xr6:coauthVersionLast="47" xr6:coauthVersionMax="47" xr10:uidLastSave="{00000000-0000-0000-0000-000000000000}"/>
  <bookViews>
    <workbookView xWindow="-20" yWindow="500" windowWidth="33600" windowHeight="18880" xr2:uid="{145AF836-EC8B-4EF8-AAD4-F4A7FC792BEF}"/>
  </bookViews>
  <sheets>
    <sheet name="DCF" sheetId="2" r:id="rId1"/>
    <sheet name="IS estimates" sheetId="8" r:id="rId2"/>
    <sheet name="CFS Historicals" sheetId="6" r:id="rId3"/>
    <sheet name="WACC" sheetId="4" r:id="rId4"/>
  </sheets>
  <definedNames>
    <definedName name="tgr">DCF!$D$15</definedName>
    <definedName name="wacc">DCF!$D$14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5" i="2" l="1"/>
  <c r="H69" i="2"/>
  <c r="I68" i="2" s="1"/>
  <c r="J68" i="2" s="1"/>
  <c r="K68" i="2" s="1"/>
  <c r="L68" i="2" s="1"/>
  <c r="G10" i="4"/>
  <c r="L48" i="2"/>
  <c r="L49" i="2" s="1"/>
  <c r="D21" i="2"/>
  <c r="D45" i="2" s="1"/>
  <c r="L42" i="2"/>
  <c r="L40" i="2" s="1"/>
  <c r="I37" i="2"/>
  <c r="J37" i="2" s="1"/>
  <c r="K37" i="2" s="1"/>
  <c r="L37" i="2" s="1"/>
  <c r="E34" i="2"/>
  <c r="E62" i="2" s="1"/>
  <c r="F34" i="2"/>
  <c r="F62" i="2" s="1"/>
  <c r="G34" i="2"/>
  <c r="G62" i="2" s="1"/>
  <c r="E31" i="2"/>
  <c r="E59" i="2" s="1"/>
  <c r="F31" i="2"/>
  <c r="F59" i="2" s="1"/>
  <c r="G31" i="2"/>
  <c r="D34" i="2"/>
  <c r="D62" i="2" s="1"/>
  <c r="D31" i="2"/>
  <c r="D59" i="2" s="1"/>
  <c r="E28" i="2"/>
  <c r="E56" i="2" s="1"/>
  <c r="F28" i="2"/>
  <c r="F56" i="2" s="1"/>
  <c r="G28" i="2"/>
  <c r="G56" i="2" s="1"/>
  <c r="D27" i="2"/>
  <c r="D38" i="2" s="1"/>
  <c r="D28" i="2"/>
  <c r="D56" i="2" s="1"/>
  <c r="E25" i="2"/>
  <c r="E52" i="2" s="1"/>
  <c r="F25" i="2"/>
  <c r="F52" i="2" s="1"/>
  <c r="G25" i="2"/>
  <c r="G52" i="2" s="1"/>
  <c r="H25" i="2"/>
  <c r="H52" i="2" s="1"/>
  <c r="G18" i="4" s="1"/>
  <c r="I25" i="2"/>
  <c r="I52" i="2" s="1"/>
  <c r="J25" i="2"/>
  <c r="J52" i="2" s="1"/>
  <c r="K25" i="2"/>
  <c r="K52" i="2" s="1"/>
  <c r="L52" i="2" s="1"/>
  <c r="D25" i="2"/>
  <c r="D52" i="2" s="1"/>
  <c r="D24" i="2"/>
  <c r="E24" i="2"/>
  <c r="E51" i="2" s="1"/>
  <c r="F24" i="2"/>
  <c r="F51" i="2" s="1"/>
  <c r="G24" i="2"/>
  <c r="G51" i="2" s="1"/>
  <c r="H24" i="2"/>
  <c r="I24" i="2"/>
  <c r="J24" i="2"/>
  <c r="K24" i="2"/>
  <c r="D51" i="2"/>
  <c r="E21" i="2"/>
  <c r="E45" i="2" s="1"/>
  <c r="E46" i="2" s="1"/>
  <c r="F21" i="2"/>
  <c r="G21" i="2"/>
  <c r="G45" i="2" s="1"/>
  <c r="H21" i="2"/>
  <c r="I21" i="2"/>
  <c r="J21" i="2"/>
  <c r="K21" i="2"/>
  <c r="E18" i="2"/>
  <c r="E39" i="2" s="1"/>
  <c r="F18" i="2"/>
  <c r="F39" i="2" s="1"/>
  <c r="G18" i="2"/>
  <c r="H18" i="2"/>
  <c r="I18" i="2"/>
  <c r="J18" i="2"/>
  <c r="K18" i="2"/>
  <c r="D18" i="2"/>
  <c r="D39" i="2" s="1"/>
  <c r="E17" i="2"/>
  <c r="F17" i="2" s="1"/>
  <c r="D15" i="2"/>
  <c r="G20" i="4"/>
  <c r="G16" i="4" s="1"/>
  <c r="G59" i="2"/>
  <c r="H68" i="2" l="1"/>
  <c r="D63" i="2"/>
  <c r="G22" i="2"/>
  <c r="F22" i="2"/>
  <c r="L41" i="2"/>
  <c r="L43" i="2"/>
  <c r="D46" i="2"/>
  <c r="G9" i="4"/>
  <c r="G22" i="4"/>
  <c r="L13" i="2" s="1"/>
  <c r="G39" i="2"/>
  <c r="G46" i="2" s="1"/>
  <c r="L47" i="2"/>
  <c r="L46" i="2" s="1"/>
  <c r="K22" i="2"/>
  <c r="G32" i="2"/>
  <c r="J22" i="2"/>
  <c r="H22" i="2"/>
  <c r="H48" i="2" s="1"/>
  <c r="F45" i="2"/>
  <c r="F46" i="2" s="1"/>
  <c r="G17" i="2"/>
  <c r="F27" i="2"/>
  <c r="F38" i="2" s="1"/>
  <c r="F32" i="2"/>
  <c r="E22" i="2"/>
  <c r="E32" i="2"/>
  <c r="E27" i="2"/>
  <c r="E38" i="2" s="1"/>
  <c r="I22" i="2"/>
  <c r="I48" i="2" s="1"/>
  <c r="D32" i="2"/>
  <c r="D60" i="2"/>
  <c r="F63" i="2"/>
  <c r="E63" i="2"/>
  <c r="F60" i="2"/>
  <c r="E57" i="2"/>
  <c r="E60" i="2"/>
  <c r="F57" i="2"/>
  <c r="D57" i="2"/>
  <c r="D29" i="2"/>
  <c r="G29" i="2"/>
  <c r="F36" i="2"/>
  <c r="G36" i="2"/>
  <c r="F29" i="2"/>
  <c r="E29" i="2"/>
  <c r="D35" i="2"/>
  <c r="G35" i="2"/>
  <c r="E36" i="2"/>
  <c r="F35" i="2"/>
  <c r="E35" i="2"/>
  <c r="D22" i="2"/>
  <c r="F19" i="2"/>
  <c r="F40" i="2" s="1"/>
  <c r="E19" i="2"/>
  <c r="E40" i="2" s="1"/>
  <c r="I19" i="2"/>
  <c r="I42" i="2" s="1"/>
  <c r="G19" i="2"/>
  <c r="G40" i="2" s="1"/>
  <c r="J19" i="2"/>
  <c r="H19" i="2"/>
  <c r="H42" i="2" s="1"/>
  <c r="K19" i="2"/>
  <c r="G63" i="2" l="1"/>
  <c r="G57" i="2"/>
  <c r="G60" i="2"/>
  <c r="P13" i="2"/>
  <c r="H13" i="2"/>
  <c r="D14" i="2" s="1"/>
  <c r="H41" i="2"/>
  <c r="H43" i="2"/>
  <c r="H40" i="2"/>
  <c r="H39" i="2" s="1"/>
  <c r="H63" i="2"/>
  <c r="H49" i="2"/>
  <c r="H47" i="2"/>
  <c r="I40" i="2"/>
  <c r="H57" i="2"/>
  <c r="H60" i="2"/>
  <c r="H17" i="2"/>
  <c r="G27" i="2"/>
  <c r="G38" i="2" s="1"/>
  <c r="I39" i="2" l="1"/>
  <c r="H62" i="2"/>
  <c r="I60" i="2"/>
  <c r="H59" i="2"/>
  <c r="H46" i="2"/>
  <c r="H45" i="2" s="1"/>
  <c r="H51" i="2" s="1"/>
  <c r="H54" i="2" s="1"/>
  <c r="H56" i="2"/>
  <c r="I57" i="2"/>
  <c r="J57" i="2" s="1"/>
  <c r="I63" i="2"/>
  <c r="I17" i="2"/>
  <c r="H27" i="2"/>
  <c r="H38" i="2" s="1"/>
  <c r="I38" i="2" s="1"/>
  <c r="J38" i="2" s="1"/>
  <c r="K38" i="2" s="1"/>
  <c r="L38" i="2" s="1"/>
  <c r="K57" i="2" l="1"/>
  <c r="L57" i="2" s="1"/>
  <c r="I62" i="2"/>
  <c r="I56" i="2"/>
  <c r="H65" i="2"/>
  <c r="J42" i="2"/>
  <c r="J48" i="2"/>
  <c r="K48" i="2" s="1"/>
  <c r="I49" i="2"/>
  <c r="J49" i="2" s="1"/>
  <c r="K49" i="2" s="1"/>
  <c r="I47" i="2"/>
  <c r="J63" i="2"/>
  <c r="K63" i="2" s="1"/>
  <c r="I43" i="2"/>
  <c r="J43" i="2" s="1"/>
  <c r="K43" i="2" s="1"/>
  <c r="I41" i="2"/>
  <c r="J41" i="2" s="1"/>
  <c r="K41" i="2" s="1"/>
  <c r="J60" i="2"/>
  <c r="I59" i="2"/>
  <c r="J17" i="2"/>
  <c r="I27" i="2"/>
  <c r="H66" i="2" l="1"/>
  <c r="J47" i="2"/>
  <c r="I46" i="2"/>
  <c r="I45" i="2" s="1"/>
  <c r="I51" i="2" s="1"/>
  <c r="I54" i="2" s="1"/>
  <c r="I65" i="2" s="1"/>
  <c r="I66" i="2" s="1"/>
  <c r="L63" i="2"/>
  <c r="K60" i="2"/>
  <c r="K42" i="2"/>
  <c r="K40" i="2" s="1"/>
  <c r="J40" i="2"/>
  <c r="J39" i="2" s="1"/>
  <c r="J59" i="2" s="1"/>
  <c r="K17" i="2"/>
  <c r="K27" i="2" s="1"/>
  <c r="J27" i="2"/>
  <c r="L60" i="2" l="1"/>
  <c r="J62" i="2"/>
  <c r="K39" i="2"/>
  <c r="J56" i="2"/>
  <c r="K47" i="2"/>
  <c r="K46" i="2" s="1"/>
  <c r="J46" i="2"/>
  <c r="J45" i="2" s="1"/>
  <c r="J51" i="2" s="1"/>
  <c r="J54" i="2" s="1"/>
  <c r="K45" i="2" l="1"/>
  <c r="K51" i="2" s="1"/>
  <c r="K54" i="2" s="1"/>
  <c r="J65" i="2"/>
  <c r="K62" i="2"/>
  <c r="L39" i="2"/>
  <c r="L59" i="2" s="1"/>
  <c r="K56" i="2"/>
  <c r="K59" i="2"/>
  <c r="J66" i="2" l="1"/>
  <c r="K65" i="2"/>
  <c r="K66" i="2" s="1"/>
  <c r="L62" i="2"/>
  <c r="L45" i="2"/>
  <c r="L56" i="2"/>
  <c r="L51" i="2" l="1"/>
  <c r="L54" i="2" s="1"/>
  <c r="L65" i="2" s="1"/>
  <c r="L71" i="2" s="1"/>
  <c r="L66" i="2" l="1"/>
  <c r="L72" i="2"/>
  <c r="L74" i="2" l="1"/>
  <c r="L77" i="2" s="1"/>
  <c r="L79" i="2" s="1"/>
  <c r="H5" i="2" s="1"/>
  <c r="M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7A7626-5709-4562-B26E-E4F5890E5D2E}" keepAlive="1" name="Query - Document" description="Connection to the 'Document' query in the workbook." type="5" refreshedVersion="0" background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<sst xmlns="http://schemas.openxmlformats.org/spreadsheetml/2006/main" count="199" uniqueCount="128">
  <si>
    <t>x</t>
  </si>
  <si>
    <t>Ticker</t>
  </si>
  <si>
    <t>Date</t>
  </si>
  <si>
    <t>Assumpitions</t>
  </si>
  <si>
    <t>Income Statement</t>
  </si>
  <si>
    <t>Revenue</t>
  </si>
  <si>
    <t>% growth</t>
  </si>
  <si>
    <t>EBIT</t>
  </si>
  <si>
    <t>% of Sales</t>
  </si>
  <si>
    <t>Tax</t>
  </si>
  <si>
    <t>% of EBIT</t>
  </si>
  <si>
    <t>Cash Flow Items</t>
  </si>
  <si>
    <t>DCF</t>
  </si>
  <si>
    <t>Income Statement (M)</t>
  </si>
  <si>
    <t>Interest Expense</t>
  </si>
  <si>
    <t>D&amp;A</t>
  </si>
  <si>
    <t>Capital Expenditures</t>
  </si>
  <si>
    <t>Change in NWC</t>
  </si>
  <si>
    <t>% of Change in Sales</t>
  </si>
  <si>
    <t>Conservative Case</t>
  </si>
  <si>
    <t>Base / Street case</t>
  </si>
  <si>
    <t>Optimistic Case</t>
  </si>
  <si>
    <t>Taxes</t>
  </si>
  <si>
    <t>EBIAT</t>
  </si>
  <si>
    <t>CapEx</t>
  </si>
  <si>
    <t>Unlevered FCF</t>
  </si>
  <si>
    <t>Present FCF</t>
  </si>
  <si>
    <t>Terminal Value</t>
  </si>
  <si>
    <t>Present Value of Terminal Value</t>
  </si>
  <si>
    <t>Enterprise Value</t>
  </si>
  <si>
    <t>(-) Debt</t>
  </si>
  <si>
    <t>(+) Cash</t>
  </si>
  <si>
    <t>Equity Valule</t>
  </si>
  <si>
    <t>Diluted Share Count</t>
  </si>
  <si>
    <t>Implied Share Price</t>
  </si>
  <si>
    <t>Switches</t>
  </si>
  <si>
    <t>WACC</t>
  </si>
  <si>
    <t>Tgt</t>
  </si>
  <si>
    <t>Conservative</t>
  </si>
  <si>
    <t>Base / Street</t>
  </si>
  <si>
    <t>Optimistic</t>
  </si>
  <si>
    <t xml:space="preserve"> </t>
  </si>
  <si>
    <t>WACC = % of equity x cost of equity + &amp; of debt x cost of debt x (1-tax rate)</t>
  </si>
  <si>
    <t>Cost of Equity = Risk free rate + Beta x Market Risk Premium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</si>
  <si>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</si>
  <si>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</si>
  <si>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</si>
  <si>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</si>
  <si>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</si>
  <si>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</si>
  <si>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</si>
  <si>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</si>
  <si>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</si>
  <si>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Tax Rate</t>
  </si>
  <si>
    <t>Total</t>
  </si>
  <si>
    <t>Current Price</t>
  </si>
  <si>
    <t xml:space="preserve">Implied upside / Downside </t>
  </si>
  <si>
    <t>ABNB</t>
  </si>
  <si>
    <t>USD in Millions</t>
  </si>
  <si>
    <t>TTM</t>
  </si>
  <si>
    <t>CAGR</t>
  </si>
  <si>
    <t>Cost of revenue</t>
  </si>
  <si>
    <t>Gross profit</t>
  </si>
  <si>
    <t>Operating Expenses</t>
  </si>
  <si>
    <t>Research and development</t>
  </si>
  <si>
    <t>Sales, general and administrative</t>
  </si>
  <si>
    <t>Restructuring, merger and acquisition</t>
  </si>
  <si>
    <t>- </t>
  </si>
  <si>
    <t>Other Operating Expenses</t>
  </si>
  <si>
    <t>Operating income</t>
  </si>
  <si>
    <t>Other income (expense)</t>
  </si>
  <si>
    <t>Income before taxes</t>
  </si>
  <si>
    <t>Provision for income taxes</t>
  </si>
  <si>
    <t>Net income from continuing operations</t>
  </si>
  <si>
    <t>Net income</t>
  </si>
  <si>
    <t>Net income available to common shareholders</t>
  </si>
  <si>
    <t>Earnings per share</t>
  </si>
  <si>
    <t>Basic</t>
  </si>
  <si>
    <t>Diluted</t>
  </si>
  <si>
    <t>Cash Flow Statement for ABNB</t>
  </si>
  <si>
    <t>Cash Flows From Operating Activities</t>
  </si>
  <si>
    <t>Depreciation and amortization</t>
  </si>
  <si>
    <t>Investment/Asset impairment charges</t>
  </si>
  <si>
    <t>Investments losses (gains)</t>
  </si>
  <si>
    <t>Deferred income taxes</t>
  </si>
  <si>
    <t>Stock based compensation</t>
  </si>
  <si>
    <t>Prepaid expenses</t>
  </si>
  <si>
    <t>Accounts payable</t>
  </si>
  <si>
    <t>Accrued liabilities</t>
  </si>
  <si>
    <t>Other working capital</t>
  </si>
  <si>
    <t>Other non-cash items</t>
  </si>
  <si>
    <t>Other Cash Flows From Operating Activities</t>
  </si>
  <si>
    <t>Net cash provided by operating activities</t>
  </si>
  <si>
    <t>Cash Flows From Investing Activities</t>
  </si>
  <si>
    <t>Investments in property, plant and equipment</t>
  </si>
  <si>
    <t>Purchases of investments</t>
  </si>
  <si>
    <t>Sales/Maturities of investments</t>
  </si>
  <si>
    <t>Other investing activities</t>
  </si>
  <si>
    <t>Other Cash Flows From Investing Activities</t>
  </si>
  <si>
    <t>Net cash used for investing activities</t>
  </si>
  <si>
    <t>Cash Flows From Financing Activities</t>
  </si>
  <si>
    <t>Debt issued</t>
  </si>
  <si>
    <t>Debt repayment</t>
  </si>
  <si>
    <t>Long-term debt issued</t>
  </si>
  <si>
    <t>Long-term debt repayment</t>
  </si>
  <si>
    <t>Common stock issued</t>
  </si>
  <si>
    <t>Repurchases of treasury stock</t>
  </si>
  <si>
    <t>Other financing activities</t>
  </si>
  <si>
    <t>Other Cash Flows From Financing Activities</t>
  </si>
  <si>
    <t>Net cash provided by (used for) financing activities</t>
  </si>
  <si>
    <t>Effect of exchange rate changes</t>
  </si>
  <si>
    <t>Net change in cash</t>
  </si>
  <si>
    <t>Cash at beginning of period</t>
  </si>
  <si>
    <t>Cash at end of period</t>
  </si>
  <si>
    <t>Free Cash Flow</t>
  </si>
  <si>
    <t>Operating cash flow</t>
  </si>
  <si>
    <t>Capital expenditure</t>
  </si>
  <si>
    <t>Free cash flow</t>
  </si>
  <si>
    <t>--</t>
  </si>
  <si>
    <t>Changes in Working Capital</t>
  </si>
  <si>
    <t>Revenue 24</t>
  </si>
  <si>
    <t>Revenue 28</t>
  </si>
  <si>
    <t>EBIT 24</t>
  </si>
  <si>
    <t>EBIT 28</t>
  </si>
  <si>
    <t>Revenue 2028</t>
  </si>
  <si>
    <t>EBIT 2028</t>
  </si>
  <si>
    <t>Discount Period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</si>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</sst>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[$$-409]* #,##0.00_);_([$$-409]* \(#,##0.00\);_([$$-409]* &quot;-&quot;??_);_(@_)"/>
    <numFmt numFmtId="167" formatCode="General&quot; E&quot;"/>
    <numFmt numFmtId="173" formatCode="General&quot;A&quot;"/>
    <numFmt numFmtId="174" formatCode="General&quot;E&quot;"/>
    <numFmt numFmtId="178" formatCode="0%;\(0%\)"/>
    <numFmt numFmtId="179" formatCode="0.0%;\(0.0%\)"/>
    <numFmt numFmtId="192" formatCode="0.0&quot;x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23254D"/>
        <bgColor indexed="64"/>
      </patternFill>
    </fill>
    <fill>
      <patternFill patternType="solid">
        <fgColor rgb="FFF2F5F7"/>
        <bgColor indexed="64"/>
      </patternFill>
    </fill>
    <fill>
      <patternFill patternType="solid">
        <fgColor rgb="FFF2F5F8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ashed">
        <color theme="0" tint="-0.249977111117893"/>
      </left>
      <right style="dashed">
        <color theme="0" tint="-0.249977111117893"/>
      </right>
      <top style="dashed">
        <color theme="0" tint="-0.249977111117893"/>
      </top>
      <bottom style="dashed">
        <color theme="0" tint="-0.249977111117893"/>
      </bottom>
      <diagonal/>
    </border>
    <border>
      <left/>
      <right style="dashed">
        <color theme="0" tint="-0.249977111117893"/>
      </right>
      <top style="dashed">
        <color theme="0" tint="-0.249977111117893"/>
      </top>
      <bottom style="dashed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7">
    <xf numFmtId="0" fontId="0" fillId="0" borderId="0" xfId="0"/>
    <xf numFmtId="0" fontId="4" fillId="0" borderId="0" xfId="0" applyFont="1"/>
    <xf numFmtId="43" fontId="0" fillId="0" borderId="0" xfId="1" applyFont="1"/>
    <xf numFmtId="164" fontId="0" fillId="0" borderId="0" xfId="1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5" fontId="8" fillId="0" borderId="0" xfId="1" applyNumberFormat="1" applyFont="1"/>
    <xf numFmtId="0" fontId="2" fillId="0" borderId="0" xfId="0" applyFont="1"/>
    <xf numFmtId="165" fontId="8" fillId="0" borderId="0" xfId="1" applyNumberFormat="1" applyFont="1" applyFill="1"/>
    <xf numFmtId="0" fontId="3" fillId="0" borderId="0" xfId="0" applyFont="1"/>
    <xf numFmtId="0" fontId="0" fillId="0" borderId="0" xfId="0" applyAlignment="1">
      <alignment horizontal="left" indent="4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3" fillId="0" borderId="0" xfId="0" applyFont="1" applyAlignment="1">
      <alignment horizontal="left" indent="4"/>
    </xf>
    <xf numFmtId="0" fontId="0" fillId="0" borderId="0" xfId="0" applyAlignment="1">
      <alignment horizontal="left" indent="6"/>
    </xf>
    <xf numFmtId="164" fontId="3" fillId="0" borderId="0" xfId="1" applyNumberFormat="1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3" fontId="0" fillId="0" borderId="0" xfId="1" applyFont="1" applyAlignment="1">
      <alignment horizontal="right"/>
    </xf>
    <xf numFmtId="165" fontId="9" fillId="0" borderId="0" xfId="0" applyNumberFormat="1" applyFont="1"/>
    <xf numFmtId="0" fontId="10" fillId="0" borderId="0" xfId="0" applyFont="1"/>
    <xf numFmtId="165" fontId="11" fillId="0" borderId="0" xfId="0" applyNumberFormat="1" applyFont="1"/>
    <xf numFmtId="0" fontId="0" fillId="0" borderId="6" xfId="0" applyBorder="1"/>
    <xf numFmtId="0" fontId="2" fillId="2" borderId="0" xfId="0" applyFont="1" applyFill="1"/>
    <xf numFmtId="10" fontId="0" fillId="0" borderId="0" xfId="0" applyNumberFormat="1"/>
    <xf numFmtId="10" fontId="0" fillId="0" borderId="6" xfId="0" applyNumberFormat="1" applyBorder="1"/>
    <xf numFmtId="10" fontId="2" fillId="2" borderId="0" xfId="0" applyNumberFormat="1" applyFont="1" applyFill="1"/>
    <xf numFmtId="10" fontId="0" fillId="0" borderId="0" xfId="2" applyNumberFormat="1" applyFont="1"/>
    <xf numFmtId="0" fontId="0" fillId="0" borderId="7" xfId="0" applyBorder="1"/>
    <xf numFmtId="0" fontId="0" fillId="0" borderId="8" xfId="0" applyBorder="1"/>
    <xf numFmtId="10" fontId="0" fillId="0" borderId="9" xfId="0" applyNumberFormat="1" applyBorder="1"/>
    <xf numFmtId="0" fontId="13" fillId="0" borderId="1" xfId="0" applyFont="1" applyBorder="1"/>
    <xf numFmtId="0" fontId="13" fillId="0" borderId="0" xfId="0" applyFont="1"/>
    <xf numFmtId="0" fontId="14" fillId="0" borderId="0" xfId="0" applyFont="1"/>
    <xf numFmtId="0" fontId="2" fillId="3" borderId="0" xfId="0" applyFont="1" applyFill="1"/>
    <xf numFmtId="3" fontId="0" fillId="0" borderId="0" xfId="0" applyNumberFormat="1"/>
    <xf numFmtId="8" fontId="0" fillId="0" borderId="0" xfId="0" applyNumberFormat="1"/>
    <xf numFmtId="0" fontId="15" fillId="0" borderId="0" xfId="0" applyFont="1"/>
    <xf numFmtId="173" fontId="2" fillId="3" borderId="0" xfId="0" applyNumberFormat="1" applyFont="1" applyFill="1"/>
    <xf numFmtId="174" fontId="2" fillId="3" borderId="0" xfId="0" applyNumberFormat="1" applyFont="1" applyFill="1"/>
    <xf numFmtId="0" fontId="2" fillId="0" borderId="0" xfId="0" applyFont="1" applyFill="1"/>
    <xf numFmtId="174" fontId="16" fillId="0" borderId="0" xfId="0" applyNumberFormat="1" applyFont="1" applyFill="1"/>
    <xf numFmtId="165" fontId="11" fillId="0" borderId="0" xfId="1" applyNumberFormat="1" applyFont="1" applyFill="1"/>
    <xf numFmtId="165" fontId="11" fillId="0" borderId="0" xfId="1" applyNumberFormat="1" applyFont="1" applyFill="1" applyBorder="1"/>
    <xf numFmtId="0" fontId="11" fillId="0" borderId="0" xfId="0" applyFont="1" applyFill="1"/>
    <xf numFmtId="0" fontId="16" fillId="0" borderId="0" xfId="0" applyFont="1" applyFill="1"/>
    <xf numFmtId="0" fontId="3" fillId="0" borderId="1" xfId="0" applyFont="1" applyBorder="1"/>
    <xf numFmtId="0" fontId="0" fillId="0" borderId="1" xfId="0" applyFont="1" applyBorder="1"/>
    <xf numFmtId="0" fontId="0" fillId="0" borderId="0" xfId="0" applyFont="1"/>
    <xf numFmtId="0" fontId="0" fillId="4" borderId="0" xfId="0" applyFont="1" applyFill="1" applyAlignment="1">
      <alignment horizontal="center" vertical="center"/>
    </xf>
    <xf numFmtId="166" fontId="0" fillId="0" borderId="0" xfId="0" applyNumberFormat="1" applyFont="1"/>
    <xf numFmtId="14" fontId="0" fillId="4" borderId="0" xfId="0" applyNumberFormat="1" applyFont="1" applyFill="1" applyAlignment="1">
      <alignment horizontal="center" vertical="center"/>
    </xf>
    <xf numFmtId="0" fontId="0" fillId="4" borderId="2" xfId="0" applyFont="1" applyFill="1" applyBorder="1"/>
    <xf numFmtId="10" fontId="0" fillId="4" borderId="2" xfId="0" applyNumberFormat="1" applyFont="1" applyFill="1" applyBorder="1"/>
    <xf numFmtId="0" fontId="0" fillId="0" borderId="4" xfId="0" applyFont="1" applyBorder="1"/>
    <xf numFmtId="0" fontId="0" fillId="0" borderId="5" xfId="0" applyFont="1" applyBorder="1"/>
    <xf numFmtId="165" fontId="0" fillId="0" borderId="5" xfId="0" applyNumberFormat="1" applyFont="1" applyBorder="1"/>
    <xf numFmtId="165" fontId="0" fillId="0" borderId="0" xfId="0" applyNumberFormat="1" applyFont="1"/>
    <xf numFmtId="9" fontId="12" fillId="0" borderId="0" xfId="2" applyFont="1" applyFill="1"/>
    <xf numFmtId="9" fontId="12" fillId="0" borderId="0" xfId="2" applyFont="1" applyFill="1" applyBorder="1"/>
    <xf numFmtId="0" fontId="0" fillId="0" borderId="0" xfId="0" applyNumberFormat="1"/>
    <xf numFmtId="178" fontId="4" fillId="0" borderId="0" xfId="2" applyNumberFormat="1" applyFont="1"/>
    <xf numFmtId="178" fontId="4" fillId="0" borderId="0" xfId="2" applyNumberFormat="1" applyFont="1" applyAlignment="1">
      <alignment horizontal="right"/>
    </xf>
    <xf numFmtId="0" fontId="0" fillId="0" borderId="0" xfId="0" applyFont="1" applyFill="1"/>
    <xf numFmtId="0" fontId="4" fillId="0" borderId="0" xfId="0" applyFont="1" applyFill="1"/>
    <xf numFmtId="166" fontId="0" fillId="0" borderId="0" xfId="0" applyNumberFormat="1" applyFont="1" applyFill="1"/>
    <xf numFmtId="0" fontId="4" fillId="0" borderId="0" xfId="0" applyFont="1" applyBorder="1"/>
    <xf numFmtId="0" fontId="11" fillId="0" borderId="0" xfId="0" applyFont="1" applyFill="1" applyBorder="1"/>
    <xf numFmtId="0" fontId="0" fillId="0" borderId="0" xfId="0" applyFont="1" applyBorder="1"/>
    <xf numFmtId="0" fontId="16" fillId="0" borderId="0" xfId="0" applyFont="1" applyFill="1" applyBorder="1"/>
    <xf numFmtId="167" fontId="16" fillId="0" borderId="0" xfId="0" applyNumberFormat="1" applyFont="1" applyFill="1" applyBorder="1"/>
    <xf numFmtId="173" fontId="16" fillId="0" borderId="0" xfId="0" applyNumberFormat="1" applyFont="1" applyFill="1" applyBorder="1"/>
    <xf numFmtId="165" fontId="11" fillId="0" borderId="0" xfId="0" applyNumberFormat="1" applyFont="1" applyFill="1" applyBorder="1"/>
    <xf numFmtId="9" fontId="12" fillId="0" borderId="0" xfId="0" applyNumberFormat="1" applyFont="1" applyFill="1" applyBorder="1"/>
    <xf numFmtId="0" fontId="12" fillId="0" borderId="0" xfId="0" applyFont="1" applyFill="1" applyBorder="1"/>
    <xf numFmtId="43" fontId="11" fillId="0" borderId="0" xfId="0" applyNumberFormat="1" applyFont="1" applyFill="1" applyBorder="1"/>
    <xf numFmtId="166" fontId="11" fillId="0" borderId="0" xfId="0" applyNumberFormat="1" applyFont="1" applyFill="1" applyBorder="1"/>
    <xf numFmtId="178" fontId="0" fillId="4" borderId="2" xfId="0" applyNumberFormat="1" applyFont="1" applyFill="1" applyBorder="1"/>
    <xf numFmtId="178" fontId="17" fillId="0" borderId="0" xfId="2" applyNumberFormat="1" applyFont="1"/>
    <xf numFmtId="10" fontId="12" fillId="5" borderId="3" xfId="0" applyNumberFormat="1" applyFont="1" applyFill="1" applyBorder="1"/>
    <xf numFmtId="2" fontId="12" fillId="5" borderId="3" xfId="2" applyNumberFormat="1" applyFont="1" applyFill="1" applyBorder="1"/>
    <xf numFmtId="165" fontId="12" fillId="5" borderId="3" xfId="1" applyNumberFormat="1" applyFont="1" applyFill="1" applyBorder="1"/>
    <xf numFmtId="10" fontId="11" fillId="0" borderId="0" xfId="2" applyNumberFormat="1" applyFont="1" applyFill="1"/>
    <xf numFmtId="0" fontId="0" fillId="0" borderId="1" xfId="0" applyFont="1" applyFill="1" applyBorder="1"/>
    <xf numFmtId="0" fontId="3" fillId="0" borderId="0" xfId="0" applyFont="1" applyFill="1"/>
    <xf numFmtId="14" fontId="0" fillId="0" borderId="0" xfId="0" applyNumberFormat="1" applyFont="1" applyFill="1"/>
    <xf numFmtId="0" fontId="4" fillId="0" borderId="0" xfId="0" applyFont="1" applyFill="1" applyBorder="1"/>
    <xf numFmtId="0" fontId="0" fillId="0" borderId="0" xfId="0" applyFont="1" applyFill="1" applyBorder="1"/>
    <xf numFmtId="0" fontId="2" fillId="0" borderId="0" xfId="0" applyFont="1" applyFill="1" applyBorder="1"/>
    <xf numFmtId="2" fontId="0" fillId="0" borderId="0" xfId="0" applyNumberFormat="1" applyFont="1"/>
    <xf numFmtId="165" fontId="0" fillId="0" borderId="10" xfId="0" applyNumberFormat="1" applyFont="1" applyBorder="1"/>
    <xf numFmtId="165" fontId="0" fillId="0" borderId="11" xfId="0" applyNumberFormat="1" applyFont="1" applyBorder="1"/>
    <xf numFmtId="165" fontId="0" fillId="0" borderId="12" xfId="0" applyNumberFormat="1" applyFont="1" applyBorder="1"/>
    <xf numFmtId="165" fontId="0" fillId="0" borderId="13" xfId="0" applyNumberFormat="1" applyFont="1" applyBorder="1"/>
    <xf numFmtId="0" fontId="0" fillId="0" borderId="14" xfId="0" applyFont="1" applyBorder="1"/>
    <xf numFmtId="0" fontId="0" fillId="0" borderId="10" xfId="0" applyFont="1" applyBorder="1"/>
    <xf numFmtId="0" fontId="0" fillId="0" borderId="15" xfId="0" applyFont="1" applyBorder="1"/>
    <xf numFmtId="0" fontId="0" fillId="0" borderId="11" xfId="0" applyFont="1" applyBorder="1"/>
    <xf numFmtId="44" fontId="0" fillId="0" borderId="0" xfId="3" applyFont="1"/>
    <xf numFmtId="14" fontId="13" fillId="0" borderId="0" xfId="0" applyNumberFormat="1" applyFont="1" applyFill="1" applyAlignment="1">
      <alignment horizontal="center" vertical="center"/>
    </xf>
    <xf numFmtId="179" fontId="0" fillId="4" borderId="2" xfId="0" applyNumberFormat="1" applyFont="1" applyFill="1" applyBorder="1"/>
    <xf numFmtId="179" fontId="4" fillId="0" borderId="0" xfId="0" applyNumberFormat="1" applyFont="1" applyFill="1" applyBorder="1"/>
    <xf numFmtId="192" fontId="12" fillId="0" borderId="0" xfId="0" applyNumberFormat="1" applyFont="1" applyFill="1" applyBorder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2F5F8"/>
      <color rgb="FF279C9C"/>
      <color rgb="FFF2F5F7"/>
      <color rgb="FF2325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98A5F-A577-42C3-97EF-6781D4C74E68}">
  <dimension ref="A2:X81"/>
  <sheetViews>
    <sheetView showGridLines="0" tabSelected="1" zoomScale="112" zoomScaleNormal="100" workbookViewId="0">
      <selection activeCell="J13" sqref="J13"/>
    </sheetView>
  </sheetViews>
  <sheetFormatPr baseColWidth="10" defaultColWidth="8.83203125" defaultRowHeight="15" outlineLevelRow="1" x14ac:dyDescent="0.2"/>
  <cols>
    <col min="1" max="1" width="3.6640625" style="36" customWidth="1"/>
    <col min="2" max="16" width="10.83203125" style="52" customWidth="1"/>
    <col min="17" max="23" width="11.5" style="67" customWidth="1"/>
    <col min="24" max="16384" width="8.83203125" style="52"/>
  </cols>
  <sheetData>
    <row r="2" spans="1:23" s="51" customFormat="1" ht="16" thickBot="1" x14ac:dyDescent="0.25">
      <c r="A2" s="35"/>
      <c r="B2" s="50" t="s">
        <v>57</v>
      </c>
      <c r="Q2" s="87"/>
      <c r="R2" s="87"/>
      <c r="S2" s="87"/>
      <c r="T2" s="87"/>
      <c r="U2" s="87"/>
      <c r="V2" s="87"/>
      <c r="W2" s="87"/>
    </row>
    <row r="4" spans="1:23" x14ac:dyDescent="0.2">
      <c r="A4" s="36" t="s">
        <v>0</v>
      </c>
      <c r="B4" s="52" t="s">
        <v>1</v>
      </c>
      <c r="C4" s="53" t="s">
        <v>57</v>
      </c>
      <c r="E4" s="52" t="s">
        <v>55</v>
      </c>
      <c r="H4" s="54">
        <v>159.72</v>
      </c>
      <c r="J4" s="52" t="s">
        <v>56</v>
      </c>
      <c r="M4" s="105">
        <f ca="1">H5/H4-1</f>
        <v>-0.4075324706720912</v>
      </c>
    </row>
    <row r="5" spans="1:23" x14ac:dyDescent="0.2">
      <c r="B5" s="52" t="s">
        <v>2</v>
      </c>
      <c r="C5" s="55">
        <v>45324</v>
      </c>
      <c r="E5" s="52" t="s">
        <v>34</v>
      </c>
      <c r="H5" s="54">
        <f ca="1">L79</f>
        <v>94.628913784253598</v>
      </c>
      <c r="Q5" s="69"/>
    </row>
    <row r="6" spans="1:23" x14ac:dyDescent="0.2">
      <c r="C6" s="103">
        <v>45657</v>
      </c>
    </row>
    <row r="7" spans="1:23" x14ac:dyDescent="0.2">
      <c r="A7" s="36" t="s">
        <v>0</v>
      </c>
      <c r="B7" s="38" t="s">
        <v>3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44"/>
      <c r="R7" s="44"/>
      <c r="S7" s="44"/>
      <c r="T7" s="44"/>
      <c r="U7" s="44"/>
      <c r="V7" s="44"/>
      <c r="W7" s="44"/>
    </row>
    <row r="8" spans="1:23" s="10" customFormat="1" x14ac:dyDescent="0.2">
      <c r="A8" s="8"/>
      <c r="B8" s="24" t="s">
        <v>35</v>
      </c>
      <c r="F8" s="24" t="s">
        <v>38</v>
      </c>
      <c r="J8" s="24" t="s">
        <v>39</v>
      </c>
      <c r="N8" s="24" t="s">
        <v>40</v>
      </c>
      <c r="Q8" s="88"/>
      <c r="R8" s="88"/>
      <c r="S8" s="88"/>
      <c r="T8" s="88"/>
      <c r="U8" s="88"/>
      <c r="V8" s="88"/>
      <c r="W8" s="88"/>
    </row>
    <row r="9" spans="1:23" x14ac:dyDescent="0.2">
      <c r="B9" s="52" t="s">
        <v>5</v>
      </c>
      <c r="D9" s="56">
        <v>2</v>
      </c>
      <c r="F9" s="52" t="s">
        <v>120</v>
      </c>
      <c r="H9" s="81">
        <v>0.9</v>
      </c>
      <c r="N9" s="52" t="s">
        <v>120</v>
      </c>
      <c r="P9" s="81">
        <v>1.1000000000000001</v>
      </c>
    </row>
    <row r="10" spans="1:23" x14ac:dyDescent="0.2">
      <c r="B10" s="52" t="s">
        <v>7</v>
      </c>
      <c r="D10" s="56">
        <v>2</v>
      </c>
      <c r="F10" s="52" t="s">
        <v>121</v>
      </c>
      <c r="H10" s="81">
        <v>0.85</v>
      </c>
      <c r="J10" s="52" t="s">
        <v>124</v>
      </c>
      <c r="L10" s="81">
        <v>0.09</v>
      </c>
      <c r="N10" s="52" t="s">
        <v>121</v>
      </c>
      <c r="P10" s="81">
        <v>1.2</v>
      </c>
    </row>
    <row r="11" spans="1:23" x14ac:dyDescent="0.2">
      <c r="B11" s="52" t="s">
        <v>36</v>
      </c>
      <c r="D11" s="56">
        <v>3</v>
      </c>
      <c r="F11" s="52" t="s">
        <v>122</v>
      </c>
      <c r="H11" s="81">
        <v>0.95</v>
      </c>
      <c r="N11" s="52" t="s">
        <v>122</v>
      </c>
      <c r="P11" s="81">
        <v>1.05</v>
      </c>
      <c r="R11" s="89"/>
    </row>
    <row r="12" spans="1:23" x14ac:dyDescent="0.2">
      <c r="B12" s="52" t="s">
        <v>37</v>
      </c>
      <c r="D12" s="56">
        <v>2</v>
      </c>
      <c r="F12" s="52" t="s">
        <v>123</v>
      </c>
      <c r="H12" s="81">
        <v>0.9</v>
      </c>
      <c r="J12" s="52" t="s">
        <v>125</v>
      </c>
      <c r="L12" s="81">
        <v>0.3</v>
      </c>
      <c r="N12" s="52" t="s">
        <v>123</v>
      </c>
      <c r="P12" s="81">
        <v>1.1000000000000001</v>
      </c>
    </row>
    <row r="13" spans="1:23" x14ac:dyDescent="0.2">
      <c r="F13" s="52" t="s">
        <v>36</v>
      </c>
      <c r="H13" s="104">
        <f>L13+0.5%</f>
        <v>0.1150233078517869</v>
      </c>
      <c r="I13" s="31"/>
      <c r="J13" s="31" t="s">
        <v>36</v>
      </c>
      <c r="K13" s="31"/>
      <c r="L13" s="104">
        <f>WACC!G22</f>
        <v>0.11002330785178689</v>
      </c>
      <c r="M13" s="31"/>
      <c r="N13" s="52" t="s">
        <v>36</v>
      </c>
      <c r="O13" s="31"/>
      <c r="P13" s="104">
        <f>L13-0.5%</f>
        <v>0.10502330785178689</v>
      </c>
    </row>
    <row r="14" spans="1:23" x14ac:dyDescent="0.2">
      <c r="B14" s="52" t="s">
        <v>36</v>
      </c>
      <c r="D14" s="57">
        <f>CHOOSE(D11,H13,L13,P13)</f>
        <v>0.10502330785178689</v>
      </c>
      <c r="F14" s="52" t="s">
        <v>37</v>
      </c>
      <c r="H14" s="81">
        <v>0.02</v>
      </c>
      <c r="J14" s="52" t="s">
        <v>37</v>
      </c>
      <c r="L14" s="81">
        <v>2.5000000000000001E-2</v>
      </c>
      <c r="N14" s="52" t="s">
        <v>37</v>
      </c>
      <c r="P14" s="81">
        <v>0.03</v>
      </c>
    </row>
    <row r="15" spans="1:23" x14ac:dyDescent="0.2">
      <c r="B15" s="52" t="s">
        <v>37</v>
      </c>
      <c r="D15" s="57">
        <f>CHOOSE(D12,H14,L14,P14)</f>
        <v>2.5000000000000001E-2</v>
      </c>
    </row>
    <row r="17" spans="1:24" outlineLevel="1" x14ac:dyDescent="0.2">
      <c r="A17" s="36" t="s">
        <v>0</v>
      </c>
      <c r="B17" s="38" t="s">
        <v>4</v>
      </c>
      <c r="C17" s="38"/>
      <c r="D17" s="42">
        <v>2020</v>
      </c>
      <c r="E17" s="42">
        <f>D17+1</f>
        <v>2021</v>
      </c>
      <c r="F17" s="42">
        <f t="shared" ref="F17:H17" si="0">E17+1</f>
        <v>2022</v>
      </c>
      <c r="G17" s="42">
        <f t="shared" si="0"/>
        <v>2023</v>
      </c>
      <c r="H17" s="43">
        <f t="shared" si="0"/>
        <v>2024</v>
      </c>
      <c r="I17" s="43">
        <f>H17+1</f>
        <v>2025</v>
      </c>
      <c r="J17" s="43">
        <f t="shared" ref="J17:K17" si="1">I17+1</f>
        <v>2026</v>
      </c>
      <c r="K17" s="43">
        <f t="shared" si="1"/>
        <v>2027</v>
      </c>
      <c r="L17" s="45"/>
      <c r="M17" s="45"/>
      <c r="N17" s="45"/>
      <c r="O17" s="45"/>
      <c r="P17" s="45"/>
      <c r="Q17" s="45"/>
      <c r="R17" s="45"/>
      <c r="S17" s="44"/>
      <c r="T17" s="44"/>
      <c r="U17" s="44"/>
      <c r="V17" s="44"/>
      <c r="W17" s="44"/>
    </row>
    <row r="18" spans="1:24" outlineLevel="1" x14ac:dyDescent="0.2">
      <c r="B18" s="52" t="s">
        <v>5</v>
      </c>
      <c r="D18" s="7">
        <f>'IS estimates'!B4</f>
        <v>3378</v>
      </c>
      <c r="E18" s="7">
        <f>'IS estimates'!C4</f>
        <v>5992</v>
      </c>
      <c r="F18" s="7">
        <f>'IS estimates'!D4</f>
        <v>8399</v>
      </c>
      <c r="G18" s="7">
        <f>'IS estimates'!E4</f>
        <v>9917</v>
      </c>
      <c r="H18" s="7">
        <f>'IS estimates'!F4</f>
        <v>11078</v>
      </c>
      <c r="I18" s="7">
        <f>'IS estimates'!G4</f>
        <v>12391</v>
      </c>
      <c r="J18" s="7">
        <f>'IS estimates'!H4</f>
        <v>13847</v>
      </c>
      <c r="K18" s="7">
        <f>'IS estimates'!I4</f>
        <v>15196</v>
      </c>
      <c r="L18" s="46"/>
      <c r="M18" s="47"/>
      <c r="N18" s="46"/>
      <c r="O18" s="86"/>
      <c r="P18" s="46"/>
      <c r="Q18" s="46"/>
      <c r="R18" s="46"/>
      <c r="S18" s="9"/>
      <c r="T18" s="9"/>
      <c r="U18" s="9"/>
      <c r="V18" s="9"/>
      <c r="W18" s="9"/>
    </row>
    <row r="19" spans="1:24" s="1" customFormat="1" outlineLevel="1" x14ac:dyDescent="0.2">
      <c r="A19" s="37"/>
      <c r="B19" s="1" t="s">
        <v>6</v>
      </c>
      <c r="D19" s="66" t="s">
        <v>118</v>
      </c>
      <c r="E19" s="65">
        <f>E18/D18-1</f>
        <v>0.77383066903493192</v>
      </c>
      <c r="F19" s="65">
        <f t="shared" ref="F19:K19" si="2">F18/E18-1</f>
        <v>0.401702269692924</v>
      </c>
      <c r="G19" s="65">
        <f t="shared" si="2"/>
        <v>0.18073580188117644</v>
      </c>
      <c r="H19" s="65">
        <f t="shared" si="2"/>
        <v>0.11707169506907333</v>
      </c>
      <c r="I19" s="65">
        <f t="shared" si="2"/>
        <v>0.11852319913341769</v>
      </c>
      <c r="J19" s="65">
        <f t="shared" si="2"/>
        <v>0.11750464046485343</v>
      </c>
      <c r="K19" s="65">
        <f t="shared" si="2"/>
        <v>9.7421824221853193E-2</v>
      </c>
      <c r="L19" s="62"/>
      <c r="M19" s="63"/>
      <c r="N19" s="62"/>
      <c r="O19" s="62"/>
      <c r="P19" s="62"/>
      <c r="Q19" s="62"/>
      <c r="R19" s="62"/>
      <c r="S19" s="68"/>
      <c r="T19" s="68"/>
      <c r="U19" s="68"/>
      <c r="V19" s="68"/>
      <c r="W19" s="68"/>
    </row>
    <row r="20" spans="1:24" outlineLevel="1" x14ac:dyDescent="0.2">
      <c r="L20" s="48"/>
      <c r="M20" s="48"/>
      <c r="N20" s="48"/>
      <c r="O20" s="48"/>
      <c r="P20" s="48"/>
      <c r="Q20" s="48"/>
      <c r="R20" s="48"/>
    </row>
    <row r="21" spans="1:24" outlineLevel="1" x14ac:dyDescent="0.2">
      <c r="B21" s="52" t="s">
        <v>7</v>
      </c>
      <c r="D21" s="7">
        <f>'IS estimates'!B13</f>
        <v>-3439</v>
      </c>
      <c r="E21" s="7">
        <f>'IS estimates'!C13</f>
        <v>542</v>
      </c>
      <c r="F21" s="7">
        <f>'IS estimates'!D13</f>
        <v>1891</v>
      </c>
      <c r="G21" s="7">
        <f>'IS estimates'!E13</f>
        <v>1518</v>
      </c>
      <c r="H21" s="7">
        <f>'IS estimates'!F13</f>
        <v>2661</v>
      </c>
      <c r="I21" s="7">
        <f>'IS estimates'!G13</f>
        <v>3154</v>
      </c>
      <c r="J21" s="7">
        <f>'IS estimates'!H13</f>
        <v>3764</v>
      </c>
      <c r="K21" s="7">
        <f>'IS estimates'!I13</f>
        <v>4548</v>
      </c>
      <c r="L21" s="46"/>
      <c r="M21" s="47"/>
      <c r="N21" s="46"/>
      <c r="O21" s="46"/>
      <c r="P21" s="46"/>
      <c r="Q21" s="46"/>
      <c r="R21" s="46"/>
      <c r="S21" s="9"/>
      <c r="T21" s="9"/>
      <c r="U21" s="9"/>
      <c r="V21" s="9"/>
      <c r="W21" s="9"/>
    </row>
    <row r="22" spans="1:24" s="1" customFormat="1" outlineLevel="1" x14ac:dyDescent="0.2">
      <c r="A22" s="37"/>
      <c r="B22" s="1" t="s">
        <v>8</v>
      </c>
      <c r="D22" s="65">
        <f>D21/D18</f>
        <v>-1.0180580224985198</v>
      </c>
      <c r="E22" s="65">
        <f t="shared" ref="E22:K22" si="3">E21/E18</f>
        <v>9.0453938584779708E-2</v>
      </c>
      <c r="F22" s="65">
        <f t="shared" si="3"/>
        <v>0.2251458506965115</v>
      </c>
      <c r="G22" s="65">
        <f t="shared" si="3"/>
        <v>0.15307048502571341</v>
      </c>
      <c r="H22" s="65">
        <f t="shared" si="3"/>
        <v>0.24020581332370464</v>
      </c>
      <c r="I22" s="65">
        <f t="shared" si="3"/>
        <v>0.25453958518279396</v>
      </c>
      <c r="J22" s="65">
        <f t="shared" si="3"/>
        <v>0.27182783274355454</v>
      </c>
      <c r="K22" s="65">
        <f t="shared" si="3"/>
        <v>0.29928928665438276</v>
      </c>
      <c r="L22" s="62"/>
      <c r="M22" s="63"/>
      <c r="N22" s="63"/>
      <c r="O22" s="63"/>
      <c r="P22" s="63"/>
      <c r="Q22" s="63"/>
      <c r="R22" s="63"/>
      <c r="S22" s="90"/>
      <c r="T22" s="90"/>
      <c r="U22" s="90"/>
      <c r="V22" s="90"/>
      <c r="W22" s="90"/>
      <c r="X22" s="70"/>
    </row>
    <row r="23" spans="1:24" outlineLevel="1" x14ac:dyDescent="0.2">
      <c r="L23" s="48"/>
      <c r="M23" s="71"/>
      <c r="N23" s="71"/>
      <c r="O23" s="71"/>
      <c r="P23" s="71"/>
      <c r="Q23" s="71"/>
      <c r="R23" s="71"/>
      <c r="S23" s="91"/>
      <c r="T23" s="91"/>
      <c r="U23" s="91"/>
      <c r="V23" s="91"/>
      <c r="W23" s="91"/>
      <c r="X23" s="72"/>
    </row>
    <row r="24" spans="1:24" outlineLevel="1" x14ac:dyDescent="0.2">
      <c r="B24" s="52" t="s">
        <v>9</v>
      </c>
      <c r="D24" s="7">
        <f>'IS estimates'!B17</f>
        <v>-97</v>
      </c>
      <c r="E24" s="7">
        <f>'IS estimates'!C17</f>
        <v>52</v>
      </c>
      <c r="F24" s="7">
        <f>'IS estimates'!D17</f>
        <v>96</v>
      </c>
      <c r="G24" s="7">
        <f>'IS estimates'!E17</f>
        <v>-2690</v>
      </c>
      <c r="H24" s="7">
        <f>'IS estimates'!F17</f>
        <v>512</v>
      </c>
      <c r="I24" s="7">
        <f>'IS estimates'!G17</f>
        <v>638</v>
      </c>
      <c r="J24" s="7">
        <f>'IS estimates'!H17</f>
        <v>791</v>
      </c>
      <c r="K24" s="7">
        <f>'IS estimates'!I17</f>
        <v>1001</v>
      </c>
      <c r="L24" s="46"/>
      <c r="M24" s="47"/>
      <c r="N24" s="47"/>
      <c r="O24" s="47"/>
      <c r="P24" s="47"/>
      <c r="Q24" s="47"/>
      <c r="R24" s="47"/>
      <c r="S24" s="91"/>
      <c r="T24" s="91"/>
      <c r="U24" s="91"/>
      <c r="V24" s="91"/>
      <c r="W24" s="91"/>
      <c r="X24" s="72"/>
    </row>
    <row r="25" spans="1:24" s="1" customFormat="1" outlineLevel="1" x14ac:dyDescent="0.2">
      <c r="A25" s="37"/>
      <c r="B25" s="1" t="s">
        <v>10</v>
      </c>
      <c r="D25" s="65">
        <f>'IS estimates'!B17/'IS estimates'!B16</f>
        <v>2.0717642033319095E-2</v>
      </c>
      <c r="E25" s="65">
        <f>'IS estimates'!C17/'IS estimates'!C16</f>
        <v>-0.17333333333333334</v>
      </c>
      <c r="F25" s="65">
        <f>'IS estimates'!D17/'IS estimates'!D16</f>
        <v>4.8265460030165915E-2</v>
      </c>
      <c r="G25" s="65">
        <f>'IS estimates'!E17/'IS estimates'!E16</f>
        <v>-1.2797335870599429</v>
      </c>
      <c r="H25" s="65">
        <f>'IS estimates'!F17/'IS estimates'!F16</f>
        <v>0.15449607724803863</v>
      </c>
      <c r="I25" s="65">
        <f>'IS estimates'!G17/'IS estimates'!G16</f>
        <v>0.16541353383458646</v>
      </c>
      <c r="J25" s="65">
        <f>'IS estimates'!H17/'IS estimates'!H16</f>
        <v>0.17640499553969671</v>
      </c>
      <c r="K25" s="65">
        <f>'IS estimates'!I17/'IS estimates'!I16</f>
        <v>0.18805185046026676</v>
      </c>
      <c r="L25" s="62"/>
      <c r="M25" s="63"/>
      <c r="N25" s="63"/>
      <c r="O25" s="63"/>
      <c r="P25" s="63"/>
      <c r="Q25" s="63"/>
      <c r="R25" s="63"/>
      <c r="S25" s="90"/>
      <c r="T25" s="90"/>
      <c r="U25" s="90"/>
      <c r="V25" s="90"/>
      <c r="W25" s="90"/>
      <c r="X25" s="70"/>
    </row>
    <row r="26" spans="1:24" outlineLevel="1" x14ac:dyDescent="0.2">
      <c r="L26" s="48"/>
      <c r="M26" s="71"/>
      <c r="N26" s="71"/>
      <c r="O26" s="71"/>
      <c r="P26" s="71"/>
      <c r="Q26" s="71"/>
      <c r="R26" s="71"/>
      <c r="S26" s="91"/>
      <c r="T26" s="91"/>
      <c r="U26" s="91"/>
      <c r="V26" s="91"/>
      <c r="W26" s="91"/>
      <c r="X26" s="72"/>
    </row>
    <row r="27" spans="1:24" outlineLevel="1" x14ac:dyDescent="0.2">
      <c r="A27" s="36" t="s">
        <v>0</v>
      </c>
      <c r="B27" s="38" t="s">
        <v>11</v>
      </c>
      <c r="C27" s="38"/>
      <c r="D27" s="42">
        <f>D17</f>
        <v>2020</v>
      </c>
      <c r="E27" s="42">
        <f t="shared" ref="E27:K27" si="4">E17</f>
        <v>2021</v>
      </c>
      <c r="F27" s="42">
        <f t="shared" si="4"/>
        <v>2022</v>
      </c>
      <c r="G27" s="42">
        <f t="shared" si="4"/>
        <v>2023</v>
      </c>
      <c r="H27" s="43">
        <f t="shared" si="4"/>
        <v>2024</v>
      </c>
      <c r="I27" s="43">
        <f t="shared" si="4"/>
        <v>2025</v>
      </c>
      <c r="J27" s="43">
        <f t="shared" si="4"/>
        <v>2026</v>
      </c>
      <c r="K27" s="43">
        <f t="shared" si="4"/>
        <v>2027</v>
      </c>
      <c r="L27" s="49"/>
      <c r="M27" s="73"/>
      <c r="N27" s="74"/>
      <c r="O27" s="74"/>
      <c r="P27" s="74"/>
      <c r="Q27" s="74"/>
      <c r="R27" s="74"/>
      <c r="S27" s="92"/>
      <c r="T27" s="92"/>
      <c r="U27" s="92"/>
      <c r="V27" s="92"/>
      <c r="W27" s="92"/>
      <c r="X27" s="72"/>
    </row>
    <row r="28" spans="1:24" outlineLevel="1" x14ac:dyDescent="0.2">
      <c r="B28" s="52" t="s">
        <v>15</v>
      </c>
      <c r="D28" s="7">
        <f>'CFS Historicals'!B5</f>
        <v>126</v>
      </c>
      <c r="E28" s="7">
        <f>'CFS Historicals'!C5</f>
        <v>138</v>
      </c>
      <c r="F28" s="7">
        <f>'CFS Historicals'!D5</f>
        <v>81</v>
      </c>
      <c r="G28" s="7">
        <f>'CFS Historicals'!E5</f>
        <v>44</v>
      </c>
      <c r="H28" s="7"/>
      <c r="I28" s="7"/>
      <c r="J28" s="7"/>
      <c r="K28" s="7"/>
      <c r="L28" s="46"/>
      <c r="M28" s="47"/>
      <c r="N28" s="47"/>
      <c r="O28" s="47"/>
      <c r="P28" s="47"/>
      <c r="Q28" s="47"/>
      <c r="R28" s="47"/>
      <c r="S28" s="91"/>
      <c r="T28" s="91"/>
      <c r="U28" s="91"/>
      <c r="V28" s="91"/>
      <c r="W28" s="91"/>
      <c r="X28" s="72"/>
    </row>
    <row r="29" spans="1:24" s="1" customFormat="1" outlineLevel="1" x14ac:dyDescent="0.2">
      <c r="A29" s="37"/>
      <c r="B29" s="1" t="s">
        <v>8</v>
      </c>
      <c r="D29" s="65">
        <f>D28/D18</f>
        <v>3.7300177619893425E-2</v>
      </c>
      <c r="E29" s="65">
        <f t="shared" ref="E29:G29" si="5">E28/E18</f>
        <v>2.3030707610146861E-2</v>
      </c>
      <c r="F29" s="65">
        <f t="shared" si="5"/>
        <v>9.6440052387188942E-3</v>
      </c>
      <c r="G29" s="65">
        <f t="shared" si="5"/>
        <v>4.4368256529192292E-3</v>
      </c>
      <c r="H29" s="65"/>
      <c r="I29" s="65"/>
      <c r="J29" s="65"/>
      <c r="K29" s="65"/>
      <c r="L29" s="62"/>
      <c r="M29" s="63"/>
      <c r="N29" s="63"/>
      <c r="O29" s="63"/>
      <c r="P29" s="63"/>
      <c r="Q29" s="63"/>
      <c r="R29" s="63"/>
      <c r="S29" s="90"/>
      <c r="T29" s="90"/>
      <c r="U29" s="90"/>
      <c r="V29" s="90"/>
      <c r="W29" s="90"/>
      <c r="X29" s="70"/>
    </row>
    <row r="30" spans="1:24" outlineLevel="1" x14ac:dyDescent="0.2">
      <c r="B30" s="1"/>
      <c r="L30" s="48"/>
      <c r="M30" s="71"/>
      <c r="N30" s="71"/>
      <c r="O30" s="71"/>
      <c r="P30" s="71"/>
      <c r="Q30" s="71"/>
      <c r="R30" s="71"/>
      <c r="S30" s="91"/>
      <c r="T30" s="91"/>
      <c r="U30" s="91"/>
      <c r="V30" s="91"/>
      <c r="W30" s="91"/>
      <c r="X30" s="72"/>
    </row>
    <row r="31" spans="1:24" outlineLevel="1" x14ac:dyDescent="0.2">
      <c r="B31" s="52" t="s">
        <v>16</v>
      </c>
      <c r="D31" s="7">
        <f>-'CFS Historicals'!B19</f>
        <v>37</v>
      </c>
      <c r="E31" s="7">
        <f>-'CFS Historicals'!C19</f>
        <v>25</v>
      </c>
      <c r="F31" s="7">
        <f>-'CFS Historicals'!D19</f>
        <v>25</v>
      </c>
      <c r="G31" s="7">
        <f>-'CFS Historicals'!E19</f>
        <v>0</v>
      </c>
      <c r="H31" s="7"/>
      <c r="I31" s="7"/>
      <c r="J31" s="7"/>
      <c r="K31" s="7"/>
      <c r="L31" s="46"/>
      <c r="M31" s="47"/>
      <c r="N31" s="47"/>
      <c r="O31" s="47"/>
      <c r="P31" s="47"/>
      <c r="Q31" s="47"/>
      <c r="R31" s="47"/>
      <c r="S31" s="91"/>
      <c r="T31" s="91"/>
      <c r="U31" s="91"/>
      <c r="V31" s="91"/>
      <c r="W31" s="91"/>
      <c r="X31" s="72"/>
    </row>
    <row r="32" spans="1:24" s="1" customFormat="1" outlineLevel="1" x14ac:dyDescent="0.2">
      <c r="A32" s="37"/>
      <c r="B32" s="1" t="s">
        <v>8</v>
      </c>
      <c r="D32" s="65">
        <f>D31/D$18</f>
        <v>1.0953226761397277E-2</v>
      </c>
      <c r="E32" s="65">
        <f t="shared" ref="E32:G32" si="6">E31/E$18</f>
        <v>4.1722296395193589E-3</v>
      </c>
      <c r="F32" s="65">
        <f t="shared" si="6"/>
        <v>2.9765448267650911E-3</v>
      </c>
      <c r="G32" s="65">
        <f t="shared" si="6"/>
        <v>0</v>
      </c>
      <c r="H32" s="65"/>
      <c r="I32" s="65"/>
      <c r="J32" s="65"/>
      <c r="K32" s="65"/>
      <c r="L32" s="62"/>
      <c r="M32" s="63"/>
      <c r="N32" s="63"/>
      <c r="O32" s="63" t="s">
        <v>41</v>
      </c>
      <c r="P32" s="63"/>
      <c r="Q32" s="63"/>
      <c r="R32" s="63"/>
      <c r="S32" s="90"/>
      <c r="T32" s="90"/>
      <c r="U32" s="90"/>
      <c r="V32" s="90"/>
      <c r="W32" s="90"/>
      <c r="X32" s="70"/>
    </row>
    <row r="33" spans="1:24" outlineLevel="1" x14ac:dyDescent="0.2">
      <c r="B33" s="1"/>
      <c r="L33" s="48" t="s">
        <v>41</v>
      </c>
      <c r="M33" s="71"/>
      <c r="N33" s="71"/>
      <c r="O33" s="71"/>
      <c r="P33" s="71"/>
      <c r="Q33" s="71"/>
      <c r="R33" s="71"/>
      <c r="S33" s="91"/>
      <c r="T33" s="91"/>
      <c r="U33" s="91"/>
      <c r="V33" s="91"/>
      <c r="W33" s="91"/>
      <c r="X33" s="72"/>
    </row>
    <row r="34" spans="1:24" outlineLevel="1" x14ac:dyDescent="0.2">
      <c r="B34" s="52" t="s">
        <v>17</v>
      </c>
      <c r="D34" s="7">
        <f>-'CFS Historicals'!B11</f>
        <v>284.60000000000002</v>
      </c>
      <c r="E34" s="7">
        <f>-'CFS Historicals'!C11</f>
        <v>-637.9</v>
      </c>
      <c r="F34" s="7">
        <f>-'CFS Historicals'!D11</f>
        <v>-313</v>
      </c>
      <c r="G34" s="7">
        <f>-'CFS Historicals'!E11</f>
        <v>-720</v>
      </c>
      <c r="H34" s="7"/>
      <c r="I34" s="7"/>
      <c r="J34" s="7"/>
      <c r="K34" s="7"/>
      <c r="L34" s="46"/>
      <c r="M34" s="47"/>
      <c r="N34" s="47"/>
      <c r="O34" s="47"/>
      <c r="P34" s="47"/>
      <c r="Q34" s="47"/>
      <c r="R34" s="47"/>
      <c r="S34" s="91"/>
      <c r="T34" s="91"/>
      <c r="U34" s="91"/>
      <c r="V34" s="91"/>
      <c r="W34" s="91"/>
      <c r="X34" s="72"/>
    </row>
    <row r="35" spans="1:24" s="1" customFormat="1" outlineLevel="1" x14ac:dyDescent="0.2">
      <c r="A35" s="37"/>
      <c r="B35" s="1" t="s">
        <v>8</v>
      </c>
      <c r="D35" s="65">
        <f>D34/D18</f>
        <v>8.4251036116045008E-2</v>
      </c>
      <c r="E35" s="65">
        <f>E34/E18</f>
        <v>-0.10645861148197597</v>
      </c>
      <c r="F35" s="65">
        <f>F34/F18</f>
        <v>-3.726634123109894E-2</v>
      </c>
      <c r="G35" s="65">
        <f>G34/G18</f>
        <v>-7.2602601593223751E-2</v>
      </c>
      <c r="H35" s="65"/>
      <c r="I35" s="65"/>
      <c r="J35" s="65"/>
      <c r="K35" s="65"/>
      <c r="L35" s="62"/>
      <c r="M35" s="63"/>
      <c r="N35" s="63"/>
      <c r="O35" s="63"/>
      <c r="P35" s="63"/>
      <c r="Q35" s="63"/>
      <c r="R35" s="63"/>
      <c r="S35" s="90"/>
      <c r="T35" s="90"/>
      <c r="U35" s="90"/>
      <c r="V35" s="90"/>
      <c r="W35" s="90"/>
      <c r="X35" s="70"/>
    </row>
    <row r="36" spans="1:24" s="1" customFormat="1" outlineLevel="1" x14ac:dyDescent="0.2">
      <c r="A36" s="37"/>
      <c r="B36" s="1" t="s">
        <v>18</v>
      </c>
      <c r="D36" s="66" t="s">
        <v>118</v>
      </c>
      <c r="E36" s="65">
        <f>E34/(E18-D18)</f>
        <v>-0.24403213465952561</v>
      </c>
      <c r="F36" s="65">
        <f>F34/(F18-E18)</f>
        <v>-0.13003739094308267</v>
      </c>
      <c r="G36" s="65">
        <f>G34/(G18-F18)</f>
        <v>-0.4743083003952569</v>
      </c>
      <c r="H36" s="65"/>
      <c r="I36" s="65"/>
      <c r="J36" s="65"/>
      <c r="K36" s="65"/>
      <c r="L36" s="62"/>
      <c r="M36" s="63"/>
      <c r="N36" s="63"/>
      <c r="O36" s="63"/>
      <c r="P36" s="63"/>
      <c r="Q36" s="63"/>
      <c r="R36" s="63"/>
      <c r="S36" s="90"/>
      <c r="T36" s="90"/>
      <c r="U36" s="90"/>
      <c r="V36" s="90"/>
      <c r="W36" s="90"/>
      <c r="X36" s="70"/>
    </row>
    <row r="37" spans="1:24" x14ac:dyDescent="0.2">
      <c r="H37" s="52">
        <v>1</v>
      </c>
      <c r="I37" s="52">
        <f>H37+1</f>
        <v>2</v>
      </c>
      <c r="J37" s="52">
        <f t="shared" ref="J37:L37" si="7">I37+1</f>
        <v>3</v>
      </c>
      <c r="K37" s="52">
        <f t="shared" si="7"/>
        <v>4</v>
      </c>
      <c r="L37" s="52">
        <f t="shared" si="7"/>
        <v>5</v>
      </c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</row>
    <row r="38" spans="1:24" x14ac:dyDescent="0.2">
      <c r="A38" s="36" t="s">
        <v>0</v>
      </c>
      <c r="B38" s="38" t="s">
        <v>12</v>
      </c>
      <c r="C38" s="38"/>
      <c r="D38" s="42">
        <f>D27</f>
        <v>2020</v>
      </c>
      <c r="E38" s="42">
        <f t="shared" ref="E38:H38" si="8">E27</f>
        <v>2021</v>
      </c>
      <c r="F38" s="42">
        <f t="shared" si="8"/>
        <v>2022</v>
      </c>
      <c r="G38" s="42">
        <f t="shared" si="8"/>
        <v>2023</v>
      </c>
      <c r="H38" s="43">
        <f t="shared" si="8"/>
        <v>2024</v>
      </c>
      <c r="I38" s="43">
        <f>H38+1</f>
        <v>2025</v>
      </c>
      <c r="J38" s="43">
        <f t="shared" ref="J38:L38" si="9">I38+1</f>
        <v>2026</v>
      </c>
      <c r="K38" s="43">
        <f t="shared" si="9"/>
        <v>2027</v>
      </c>
      <c r="L38" s="43">
        <f t="shared" si="9"/>
        <v>2028</v>
      </c>
      <c r="M38" s="75"/>
      <c r="N38" s="75"/>
      <c r="O38" s="75"/>
      <c r="P38" s="75"/>
      <c r="Q38" s="75"/>
      <c r="R38" s="73"/>
      <c r="S38" s="73"/>
      <c r="T38" s="73"/>
      <c r="U38" s="73"/>
      <c r="V38" s="73"/>
      <c r="W38" s="73"/>
      <c r="X38" s="71"/>
    </row>
    <row r="39" spans="1:24" x14ac:dyDescent="0.2">
      <c r="B39" s="52" t="s">
        <v>5</v>
      </c>
      <c r="D39" s="23">
        <f>D18</f>
        <v>3378</v>
      </c>
      <c r="E39" s="23">
        <f>E18</f>
        <v>5992</v>
      </c>
      <c r="F39" s="23">
        <f>F18</f>
        <v>8399</v>
      </c>
      <c r="G39" s="23">
        <f>G18</f>
        <v>9917</v>
      </c>
      <c r="H39" s="23">
        <f ca="1">G39*(1+H40)</f>
        <v>11078</v>
      </c>
      <c r="I39" s="23">
        <f t="shared" ref="I39:L39" ca="1" si="10">H39*(1+I40)</f>
        <v>12391.000000000002</v>
      </c>
      <c r="J39" s="23">
        <f t="shared" ca="1" si="10"/>
        <v>13741.81064030812</v>
      </c>
      <c r="K39" s="23">
        <f t="shared" ca="1" si="10"/>
        <v>15109.227065051591</v>
      </c>
      <c r="L39" s="23">
        <f t="shared" ca="1" si="10"/>
        <v>16469.057500906234</v>
      </c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1"/>
    </row>
    <row r="40" spans="1:24" s="1" customFormat="1" x14ac:dyDescent="0.2">
      <c r="A40" s="37"/>
      <c r="B40" s="1" t="s">
        <v>6</v>
      </c>
      <c r="E40" s="65">
        <f>E19</f>
        <v>0.77383066903493192</v>
      </c>
      <c r="F40" s="65">
        <f>F19</f>
        <v>0.401702269692924</v>
      </c>
      <c r="G40" s="65">
        <f>G19</f>
        <v>0.18073580188117644</v>
      </c>
      <c r="H40" s="65">
        <f ca="1">OFFSET(H40,$D$9,0)</f>
        <v>0.11707169506907333</v>
      </c>
      <c r="I40" s="65">
        <f t="shared" ref="I40:L40" ca="1" si="11">OFFSET(I40,$D$9,0)</f>
        <v>0.11852319913341769</v>
      </c>
      <c r="J40" s="65">
        <f t="shared" ca="1" si="11"/>
        <v>0.10901546608894512</v>
      </c>
      <c r="K40" s="65">
        <f t="shared" ca="1" si="11"/>
        <v>9.9507733044472552E-2</v>
      </c>
      <c r="L40" s="65">
        <f t="shared" ca="1" si="11"/>
        <v>0.09</v>
      </c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8"/>
    </row>
    <row r="41" spans="1:24" x14ac:dyDescent="0.2">
      <c r="B41" s="52" t="s">
        <v>19</v>
      </c>
      <c r="H41" s="81">
        <f>H42*H9</f>
        <v>0.10536452556216601</v>
      </c>
      <c r="I41" s="81">
        <f>H41-($H41-$L41)/($L$38-$H$38)</f>
        <v>9.8148394171624506E-2</v>
      </c>
      <c r="J41" s="81">
        <f t="shared" ref="J41:K43" si="12">I41-($H41-$L41)/($L$38-$H$38)</f>
        <v>9.0932262781083004E-2</v>
      </c>
      <c r="K41" s="81">
        <f t="shared" si="12"/>
        <v>8.3716131390541501E-2</v>
      </c>
      <c r="L41" s="81">
        <f>L42*H10</f>
        <v>7.6499999999999999E-2</v>
      </c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1"/>
    </row>
    <row r="42" spans="1:24" x14ac:dyDescent="0.2">
      <c r="B42" s="52" t="s">
        <v>20</v>
      </c>
      <c r="H42" s="81">
        <f>H19</f>
        <v>0.11707169506907333</v>
      </c>
      <c r="I42" s="81">
        <f>I19</f>
        <v>0.11852319913341769</v>
      </c>
      <c r="J42" s="81">
        <f>I42-($I42-$L42)/($L$38-$I$38)</f>
        <v>0.10901546608894512</v>
      </c>
      <c r="K42" s="81">
        <f>J42-($I42-$L42)/($L$38-$I$38)</f>
        <v>9.9507733044472552E-2</v>
      </c>
      <c r="L42" s="81">
        <f>L10</f>
        <v>0.09</v>
      </c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1"/>
    </row>
    <row r="43" spans="1:24" x14ac:dyDescent="0.2">
      <c r="B43" s="52" t="s">
        <v>21</v>
      </c>
      <c r="H43" s="81">
        <f>H42*P9</f>
        <v>0.12877886457598067</v>
      </c>
      <c r="I43" s="81">
        <f>H43-($H43-$L43)/($L$38-$H$38)</f>
        <v>0.12358414843198551</v>
      </c>
      <c r="J43" s="81">
        <f t="shared" si="12"/>
        <v>0.11838943228799034</v>
      </c>
      <c r="K43" s="81">
        <f t="shared" si="12"/>
        <v>0.11319471614399518</v>
      </c>
      <c r="L43" s="81">
        <f>L42*P10</f>
        <v>0.108</v>
      </c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1"/>
    </row>
    <row r="44" spans="1:24" x14ac:dyDescent="0.2"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</row>
    <row r="45" spans="1:24" x14ac:dyDescent="0.2">
      <c r="B45" s="52" t="s">
        <v>7</v>
      </c>
      <c r="D45" s="23">
        <f>D21</f>
        <v>-3439</v>
      </c>
      <c r="E45" s="23">
        <f t="shared" ref="E45:G45" si="13">E21</f>
        <v>542</v>
      </c>
      <c r="F45" s="23">
        <f t="shared" si="13"/>
        <v>1891</v>
      </c>
      <c r="G45" s="23">
        <f t="shared" si="13"/>
        <v>1518</v>
      </c>
      <c r="H45" s="23">
        <f ca="1">H46*H39</f>
        <v>2661</v>
      </c>
      <c r="I45" s="23">
        <f t="shared" ref="I45:L45" ca="1" si="14">I46*I39</f>
        <v>3154.0000000000005</v>
      </c>
      <c r="J45" s="23">
        <f t="shared" ca="1" si="14"/>
        <v>3706.070917393834</v>
      </c>
      <c r="K45" s="23">
        <f t="shared" ca="1" si="14"/>
        <v>4303.8108762006095</v>
      </c>
      <c r="L45" s="23">
        <f t="shared" ca="1" si="14"/>
        <v>4940.7172502718704</v>
      </c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1"/>
    </row>
    <row r="46" spans="1:24" x14ac:dyDescent="0.2">
      <c r="B46" s="1" t="s">
        <v>8</v>
      </c>
      <c r="D46" s="65">
        <f>D45/D39</f>
        <v>-1.0180580224985198</v>
      </c>
      <c r="E46" s="65">
        <f t="shared" ref="E46:G46" si="15">E45/E39</f>
        <v>9.0453938584779708E-2</v>
      </c>
      <c r="F46" s="65">
        <f t="shared" si="15"/>
        <v>0.2251458506965115</v>
      </c>
      <c r="G46" s="65">
        <f t="shared" si="15"/>
        <v>0.15307048502571341</v>
      </c>
      <c r="H46" s="65">
        <f ca="1">OFFSET(H46,$D$10,0)</f>
        <v>0.24020581332370464</v>
      </c>
      <c r="I46" s="65">
        <f t="shared" ref="I46:L46" ca="1" si="16">OFFSET(I46,$D$10,0)</f>
        <v>0.25453958518279396</v>
      </c>
      <c r="J46" s="65">
        <f t="shared" ca="1" si="16"/>
        <v>0.26969305678852928</v>
      </c>
      <c r="K46" s="65">
        <f t="shared" ca="1" si="16"/>
        <v>0.28484652839426461</v>
      </c>
      <c r="L46" s="65">
        <f t="shared" ca="1" si="16"/>
        <v>0.3</v>
      </c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1"/>
    </row>
    <row r="47" spans="1:24" x14ac:dyDescent="0.2">
      <c r="B47" s="52" t="s">
        <v>19</v>
      </c>
      <c r="H47" s="81">
        <f>H48*H11</f>
        <v>0.22819552265751938</v>
      </c>
      <c r="I47" s="81">
        <f>H47+($L47-$H47)/($L$38-$H$38)</f>
        <v>0.23864664199313954</v>
      </c>
      <c r="J47" s="81">
        <f t="shared" ref="J47:K49" si="17">I47+($L47-$H47)/($L$38-$H$38)</f>
        <v>0.24909776132875969</v>
      </c>
      <c r="K47" s="81">
        <f t="shared" si="17"/>
        <v>0.25954888066437987</v>
      </c>
      <c r="L47" s="81">
        <f>L48*H12</f>
        <v>0.27</v>
      </c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1"/>
    </row>
    <row r="48" spans="1:24" x14ac:dyDescent="0.2">
      <c r="B48" s="52" t="s">
        <v>20</v>
      </c>
      <c r="H48" s="81">
        <f>H22</f>
        <v>0.24020581332370464</v>
      </c>
      <c r="I48" s="81">
        <f>I22</f>
        <v>0.25453958518279396</v>
      </c>
      <c r="J48" s="81">
        <f>I48+($L48-$I48)/($L$38-$I$38)</f>
        <v>0.26969305678852928</v>
      </c>
      <c r="K48" s="81">
        <f>J48+($L48-$I48)/($L$38-$I$38)</f>
        <v>0.28484652839426461</v>
      </c>
      <c r="L48" s="81">
        <f>L12</f>
        <v>0.3</v>
      </c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1"/>
    </row>
    <row r="49" spans="1:24" x14ac:dyDescent="0.2">
      <c r="B49" s="52" t="s">
        <v>21</v>
      </c>
      <c r="H49" s="81">
        <f>H48*P11</f>
        <v>0.25221610398988986</v>
      </c>
      <c r="I49" s="81">
        <f>H49+($L49-$H49)/($L$38-$H$38)</f>
        <v>0.27166207799241737</v>
      </c>
      <c r="J49" s="81">
        <f t="shared" si="17"/>
        <v>0.29110805199494494</v>
      </c>
      <c r="K49" s="81">
        <f t="shared" si="17"/>
        <v>0.3105540259974725</v>
      </c>
      <c r="L49" s="81">
        <f>L48*P12</f>
        <v>0.33</v>
      </c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1"/>
    </row>
    <row r="50" spans="1:24" x14ac:dyDescent="0.2"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</row>
    <row r="51" spans="1:24" x14ac:dyDescent="0.2">
      <c r="B51" s="52" t="s">
        <v>22</v>
      </c>
      <c r="D51" s="23">
        <f>D24</f>
        <v>-97</v>
      </c>
      <c r="E51" s="23">
        <f>E24</f>
        <v>52</v>
      </c>
      <c r="F51" s="23">
        <f>F24</f>
        <v>96</v>
      </c>
      <c r="G51" s="23">
        <f>G24</f>
        <v>-2690</v>
      </c>
      <c r="H51" s="23">
        <f ca="1">H52*H45</f>
        <v>411.11406155703077</v>
      </c>
      <c r="I51" s="23">
        <f t="shared" ref="I51:L51" ca="1" si="18">I52*I45</f>
        <v>521.71428571428578</v>
      </c>
      <c r="J51" s="23">
        <f t="shared" ca="1" si="18"/>
        <v>653.76942365265893</v>
      </c>
      <c r="K51" s="23">
        <f t="shared" ca="1" si="18"/>
        <v>809.33959930054664</v>
      </c>
      <c r="L51" s="23">
        <f t="shared" ca="1" si="18"/>
        <v>929.11102151458613</v>
      </c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1"/>
    </row>
    <row r="52" spans="1:24" x14ac:dyDescent="0.2">
      <c r="B52" s="1" t="s">
        <v>10</v>
      </c>
      <c r="D52" s="65">
        <f>D25</f>
        <v>2.0717642033319095E-2</v>
      </c>
      <c r="E52" s="65">
        <f t="shared" ref="E52:K52" si="19">E25</f>
        <v>-0.17333333333333334</v>
      </c>
      <c r="F52" s="65">
        <f t="shared" si="19"/>
        <v>4.8265460030165915E-2</v>
      </c>
      <c r="G52" s="65">
        <f t="shared" si="19"/>
        <v>-1.2797335870599429</v>
      </c>
      <c r="H52" s="65">
        <f t="shared" si="19"/>
        <v>0.15449607724803863</v>
      </c>
      <c r="I52" s="65">
        <f t="shared" si="19"/>
        <v>0.16541353383458646</v>
      </c>
      <c r="J52" s="65">
        <f t="shared" si="19"/>
        <v>0.17640499553969671</v>
      </c>
      <c r="K52" s="65">
        <f t="shared" si="19"/>
        <v>0.18805185046026676</v>
      </c>
      <c r="L52" s="65">
        <f>K52</f>
        <v>0.18805185046026676</v>
      </c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1"/>
    </row>
    <row r="53" spans="1:24" x14ac:dyDescent="0.2"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</row>
    <row r="54" spans="1:24" x14ac:dyDescent="0.2">
      <c r="A54" s="36" t="s">
        <v>0</v>
      </c>
      <c r="B54" s="58" t="s">
        <v>23</v>
      </c>
      <c r="C54" s="59"/>
      <c r="D54" s="59"/>
      <c r="E54" s="59"/>
      <c r="F54" s="59"/>
      <c r="G54" s="59"/>
      <c r="H54" s="60">
        <f ca="1">H45-H51</f>
        <v>2249.8859384429693</v>
      </c>
      <c r="I54" s="60">
        <f t="shared" ref="I54:L54" ca="1" si="20">I45-I51</f>
        <v>2632.2857142857147</v>
      </c>
      <c r="J54" s="60">
        <f t="shared" ca="1" si="20"/>
        <v>3052.3014937411749</v>
      </c>
      <c r="K54" s="60">
        <f t="shared" ca="1" si="20"/>
        <v>3494.471276900063</v>
      </c>
      <c r="L54" s="60">
        <f t="shared" ca="1" si="20"/>
        <v>4011.606228757284</v>
      </c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1"/>
    </row>
    <row r="55" spans="1:24" x14ac:dyDescent="0.2"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</row>
    <row r="56" spans="1:24" x14ac:dyDescent="0.2">
      <c r="B56" s="52" t="s">
        <v>15</v>
      </c>
      <c r="D56" s="23">
        <f>D28</f>
        <v>126</v>
      </c>
      <c r="E56" s="23">
        <f>E28</f>
        <v>138</v>
      </c>
      <c r="F56" s="23">
        <f>F28</f>
        <v>81</v>
      </c>
      <c r="G56" s="23">
        <f>G28</f>
        <v>44</v>
      </c>
      <c r="H56" s="25">
        <f ca="1">H57*H$39</f>
        <v>77.99372230878356</v>
      </c>
      <c r="I56" s="25">
        <f ca="1">I57*I$39</f>
        <v>71.107247227233088</v>
      </c>
      <c r="J56" s="25">
        <f ca="1">J57*J$39</f>
        <v>87.803546405778889</v>
      </c>
      <c r="K56" s="25">
        <f ca="1">K57*K$39</f>
        <v>91.623399591236307</v>
      </c>
      <c r="L56" s="25">
        <f ca="1">L57*L$39</f>
        <v>102.54942242995006</v>
      </c>
      <c r="M56" s="76"/>
      <c r="N56" s="76"/>
      <c r="O56" s="76"/>
      <c r="P56" s="79"/>
      <c r="Q56" s="79"/>
      <c r="R56" s="79"/>
      <c r="S56" s="79"/>
      <c r="T56" s="79"/>
      <c r="U56" s="79"/>
      <c r="V56" s="79"/>
      <c r="W56" s="79"/>
      <c r="X56" s="71"/>
    </row>
    <row r="57" spans="1:24" x14ac:dyDescent="0.2">
      <c r="B57" s="1" t="s">
        <v>8</v>
      </c>
      <c r="D57" s="65">
        <f>D56/D$39</f>
        <v>3.7300177619893425E-2</v>
      </c>
      <c r="E57" s="65">
        <f>E56/E$39</f>
        <v>2.3030707610146861E-2</v>
      </c>
      <c r="F57" s="65">
        <f>F56/F$39</f>
        <v>9.6440052387188942E-3</v>
      </c>
      <c r="G57" s="65">
        <f t="shared" ref="G57" si="21">G56/G$39</f>
        <v>4.4368256529192292E-3</v>
      </c>
      <c r="H57" s="65">
        <f>AVERAGE(F57:G57)</f>
        <v>7.0404154458190617E-3</v>
      </c>
      <c r="I57" s="82">
        <f t="shared" ref="I57:L57" si="22">AVERAGE(G57:H57)</f>
        <v>5.7386205493691455E-3</v>
      </c>
      <c r="J57" s="82">
        <f t="shared" si="22"/>
        <v>6.3895179975941036E-3</v>
      </c>
      <c r="K57" s="82">
        <f t="shared" si="22"/>
        <v>6.0640692734816246E-3</v>
      </c>
      <c r="L57" s="82">
        <f t="shared" si="22"/>
        <v>6.2267936355378641E-3</v>
      </c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1"/>
    </row>
    <row r="58" spans="1:24" x14ac:dyDescent="0.2"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</row>
    <row r="59" spans="1:24" x14ac:dyDescent="0.2">
      <c r="B59" s="52" t="s">
        <v>24</v>
      </c>
      <c r="D59" s="23">
        <f>D31</f>
        <v>37</v>
      </c>
      <c r="E59" s="23">
        <f t="shared" ref="E59:G59" si="23">E31</f>
        <v>25</v>
      </c>
      <c r="F59" s="23">
        <f t="shared" si="23"/>
        <v>25</v>
      </c>
      <c r="G59" s="23">
        <f t="shared" si="23"/>
        <v>0</v>
      </c>
      <c r="H59" s="25">
        <f ca="1">H60*H$39</f>
        <v>16.487081795451839</v>
      </c>
      <c r="I59" s="25">
        <f t="shared" ref="I59" ca="1" si="24">I60*I$39</f>
        <v>9.2205917371115618</v>
      </c>
      <c r="J59" s="25">
        <f t="shared" ref="J59" ca="1" si="25">J60*J$39</f>
        <v>15.338668264422981</v>
      </c>
      <c r="K59" s="25">
        <f t="shared" ref="K59" ca="1" si="26">K60*K$39</f>
        <v>14.054153642780753</v>
      </c>
      <c r="L59" s="25">
        <f t="shared" ref="L59" ca="1" si="27">L60*L$39</f>
        <v>16.850930217694124</v>
      </c>
      <c r="M59" s="76"/>
      <c r="N59" s="76"/>
      <c r="O59" s="76"/>
      <c r="P59" s="79"/>
      <c r="Q59" s="79"/>
      <c r="R59" s="79"/>
      <c r="S59" s="79"/>
      <c r="T59" s="79"/>
      <c r="U59" s="79"/>
      <c r="V59" s="79"/>
      <c r="W59" s="79"/>
      <c r="X59" s="71"/>
    </row>
    <row r="60" spans="1:24" x14ac:dyDescent="0.2">
      <c r="B60" s="1" t="s">
        <v>8</v>
      </c>
      <c r="D60" s="65">
        <f>D59/D$39</f>
        <v>1.0953226761397277E-2</v>
      </c>
      <c r="E60" s="65">
        <f t="shared" ref="E60:G60" si="28">E59/E$39</f>
        <v>4.1722296395193589E-3</v>
      </c>
      <c r="F60" s="65">
        <f t="shared" si="28"/>
        <v>2.9765448267650911E-3</v>
      </c>
      <c r="G60" s="65">
        <f t="shared" si="28"/>
        <v>0</v>
      </c>
      <c r="H60" s="65">
        <f t="shared" ref="H60:L60" si="29">AVERAGE(F60:G60)</f>
        <v>1.4882724133825455E-3</v>
      </c>
      <c r="I60" s="65">
        <f t="shared" si="29"/>
        <v>7.4413620669127277E-4</v>
      </c>
      <c r="J60" s="65">
        <f t="shared" si="29"/>
        <v>1.1162043100369091E-3</v>
      </c>
      <c r="K60" s="65">
        <f t="shared" si="29"/>
        <v>9.3017025836409088E-4</v>
      </c>
      <c r="L60" s="65">
        <f t="shared" si="29"/>
        <v>1.0231872842005E-3</v>
      </c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1"/>
    </row>
    <row r="61" spans="1:24" x14ac:dyDescent="0.2"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</row>
    <row r="62" spans="1:24" x14ac:dyDescent="0.2">
      <c r="B62" s="52" t="s">
        <v>17</v>
      </c>
      <c r="D62" s="23">
        <f>D34</f>
        <v>284.60000000000002</v>
      </c>
      <c r="E62" s="23">
        <f t="shared" ref="E62:G62" si="30">E34</f>
        <v>-637.9</v>
      </c>
      <c r="F62" s="23">
        <f t="shared" si="30"/>
        <v>-313</v>
      </c>
      <c r="G62" s="23">
        <f t="shared" si="30"/>
        <v>-720</v>
      </c>
      <c r="H62" s="25">
        <f ca="1">H63*H$39</f>
        <v>-608.56407430392335</v>
      </c>
      <c r="I62" s="25">
        <f t="shared" ref="I62" ca="1" si="31">I63*I$39</f>
        <v>-790.15593580486336</v>
      </c>
      <c r="J62" s="25">
        <f t="shared" ref="J62" ca="1" si="32">J63*J$39</f>
        <v>-815.59712860045909</v>
      </c>
      <c r="K62" s="25">
        <f t="shared" ref="K62" ca="1" si="33">K63*K$39</f>
        <v>-930.12432378514211</v>
      </c>
      <c r="L62" s="25">
        <f t="shared" ref="L62" ca="1" si="34">L63*L$39</f>
        <v>-995.64942218296653</v>
      </c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1"/>
    </row>
    <row r="63" spans="1:24" x14ac:dyDescent="0.2">
      <c r="B63" s="1" t="s">
        <v>8</v>
      </c>
      <c r="D63" s="65">
        <f>D62/D$39</f>
        <v>8.4251036116045008E-2</v>
      </c>
      <c r="E63" s="65">
        <f t="shared" ref="E63:G63" si="35">E62/E$39</f>
        <v>-0.10645861148197597</v>
      </c>
      <c r="F63" s="65">
        <f t="shared" si="35"/>
        <v>-3.726634123109894E-2</v>
      </c>
      <c r="G63" s="65">
        <f t="shared" si="35"/>
        <v>-7.2602601593223751E-2</v>
      </c>
      <c r="H63" s="65">
        <f t="shared" ref="H63" si="36">AVERAGE(F63:G63)</f>
        <v>-5.4934471412161345E-2</v>
      </c>
      <c r="I63" s="65">
        <f t="shared" ref="I63" si="37">AVERAGE(G63:H63)</f>
        <v>-6.3768536502692541E-2</v>
      </c>
      <c r="J63" s="65">
        <f t="shared" ref="J63" si="38">AVERAGE(H63:I63)</f>
        <v>-5.9351503957426943E-2</v>
      </c>
      <c r="K63" s="65">
        <f t="shared" ref="K63" si="39">AVERAGE(I63:J63)</f>
        <v>-6.1560020230059742E-2</v>
      </c>
      <c r="L63" s="65">
        <f t="shared" ref="L63" si="40">AVERAGE(J63:K63)</f>
        <v>-6.0455762093743343E-2</v>
      </c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1"/>
    </row>
    <row r="64" spans="1:24" x14ac:dyDescent="0.2"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</row>
    <row r="65" spans="1:24" x14ac:dyDescent="0.2">
      <c r="A65" s="36" t="s">
        <v>0</v>
      </c>
      <c r="B65" s="98" t="s">
        <v>25</v>
      </c>
      <c r="C65" s="99"/>
      <c r="D65" s="99"/>
      <c r="E65" s="99"/>
      <c r="F65" s="99"/>
      <c r="G65" s="99"/>
      <c r="H65" s="94">
        <f ca="1">H54+H56+H59-H62</f>
        <v>2952.9308168511284</v>
      </c>
      <c r="I65" s="94">
        <f t="shared" ref="I65:L65" ca="1" si="41">I54+I56+I59-I62</f>
        <v>3502.7694890549228</v>
      </c>
      <c r="J65" s="94">
        <f t="shared" ca="1" si="41"/>
        <v>3971.0408370118362</v>
      </c>
      <c r="K65" s="94">
        <f t="shared" ca="1" si="41"/>
        <v>4530.2731539192218</v>
      </c>
      <c r="L65" s="96">
        <f t="shared" ca="1" si="41"/>
        <v>5126.6560035878947</v>
      </c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1"/>
    </row>
    <row r="66" spans="1:24" x14ac:dyDescent="0.2">
      <c r="B66" s="100" t="s">
        <v>26</v>
      </c>
      <c r="C66" s="101"/>
      <c r="D66" s="101"/>
      <c r="E66" s="101"/>
      <c r="F66" s="101"/>
      <c r="G66" s="101"/>
      <c r="H66" s="95">
        <f ca="1">H65/(1+wacc)^H68</f>
        <v>2821.2068799679691</v>
      </c>
      <c r="I66" s="95">
        <f ca="1">I65/(1+wacc)^I68</f>
        <v>3041.5094004665566</v>
      </c>
      <c r="J66" s="95">
        <f ca="1">J65/(1+wacc)^J68</f>
        <v>3120.4017994511896</v>
      </c>
      <c r="K66" s="95">
        <f ca="1">K65/(1+wacc)^K68</f>
        <v>3221.5072761891743</v>
      </c>
      <c r="L66" s="97">
        <f ca="1">L65/(1+wacc)^L68</f>
        <v>3299.1150944948517</v>
      </c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1"/>
    </row>
    <row r="67" spans="1:24" x14ac:dyDescent="0.2"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</row>
    <row r="68" spans="1:24" hidden="1" x14ac:dyDescent="0.2">
      <c r="A68" s="36" t="s">
        <v>0</v>
      </c>
      <c r="B68" s="91" t="s">
        <v>126</v>
      </c>
      <c r="H68" s="93">
        <f>H69/2</f>
        <v>0.45694444444444443</v>
      </c>
      <c r="I68" s="93">
        <f>H69+0.5</f>
        <v>1.4138888888888888</v>
      </c>
      <c r="J68" s="93">
        <f>I68+1</f>
        <v>2.4138888888888888</v>
      </c>
      <c r="K68" s="93">
        <f t="shared" ref="K68:L68" si="42">J68+1</f>
        <v>3.4138888888888888</v>
      </c>
      <c r="L68" s="93">
        <f t="shared" si="42"/>
        <v>4.4138888888888888</v>
      </c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</row>
    <row r="69" spans="1:24" hidden="1" x14ac:dyDescent="0.2">
      <c r="B69" s="91" t="s">
        <v>127</v>
      </c>
      <c r="H69" s="93">
        <f>YEARFRAC(C5,C6)</f>
        <v>0.91388888888888886</v>
      </c>
      <c r="I69" s="93"/>
      <c r="J69" s="93"/>
      <c r="K69" s="93"/>
      <c r="L69" s="93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</row>
    <row r="70" spans="1:24" hidden="1" x14ac:dyDescent="0.2">
      <c r="H70" s="93"/>
      <c r="I70" s="93"/>
      <c r="J70" s="93"/>
      <c r="K70" s="93"/>
      <c r="L70" s="93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</row>
    <row r="71" spans="1:24" x14ac:dyDescent="0.2">
      <c r="A71" s="36" t="s">
        <v>0</v>
      </c>
      <c r="B71" s="52" t="s">
        <v>27</v>
      </c>
      <c r="L71" s="25">
        <f ca="1">(L65*(1+tgr))/(wacc-tgr)</f>
        <v>65666.148335309714</v>
      </c>
      <c r="M71" s="71"/>
      <c r="N71" s="76"/>
      <c r="O71" s="71"/>
      <c r="P71" s="71"/>
      <c r="Q71" s="71"/>
      <c r="R71" s="71"/>
      <c r="S71" s="71"/>
      <c r="T71" s="71"/>
      <c r="U71" s="71"/>
      <c r="V71" s="71"/>
      <c r="W71" s="76"/>
      <c r="X71" s="71"/>
    </row>
    <row r="72" spans="1:24" x14ac:dyDescent="0.2">
      <c r="B72" s="52" t="s">
        <v>28</v>
      </c>
      <c r="L72" s="25">
        <f ca="1">L71/(1+wacc)^L68</f>
        <v>42257.600474606144</v>
      </c>
      <c r="M72" s="71"/>
      <c r="N72" s="106"/>
      <c r="O72" s="78"/>
      <c r="P72" s="71"/>
      <c r="Q72" s="71"/>
      <c r="R72" s="71"/>
      <c r="S72" s="71"/>
      <c r="T72" s="71"/>
      <c r="U72" s="71"/>
      <c r="V72" s="71"/>
      <c r="W72" s="76"/>
      <c r="X72" s="71"/>
    </row>
    <row r="73" spans="1:24" x14ac:dyDescent="0.2">
      <c r="M73" s="71"/>
      <c r="N73" s="79"/>
      <c r="O73" s="71"/>
      <c r="P73" s="71"/>
      <c r="Q73" s="71"/>
      <c r="R73" s="71"/>
      <c r="S73" s="71"/>
      <c r="T73" s="71"/>
      <c r="U73" s="71"/>
      <c r="V73" s="71"/>
      <c r="W73" s="71"/>
      <c r="X73" s="71"/>
    </row>
    <row r="74" spans="1:24" x14ac:dyDescent="0.2">
      <c r="B74" s="52" t="s">
        <v>29</v>
      </c>
      <c r="L74" s="61">
        <f ca="1">SUM(H66:L66,L72)</f>
        <v>57761.340925175886</v>
      </c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6"/>
      <c r="X74" s="71"/>
    </row>
    <row r="75" spans="1:24" x14ac:dyDescent="0.2">
      <c r="B75" s="52" t="s">
        <v>30</v>
      </c>
      <c r="L75" s="61">
        <f>WACC!G15</f>
        <v>1991</v>
      </c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6"/>
      <c r="X75" s="71"/>
    </row>
    <row r="76" spans="1:24" x14ac:dyDescent="0.2">
      <c r="B76" s="52" t="s">
        <v>31</v>
      </c>
      <c r="L76" s="61">
        <v>6874</v>
      </c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6"/>
      <c r="X76" s="71"/>
    </row>
    <row r="77" spans="1:24" x14ac:dyDescent="0.2">
      <c r="B77" s="52" t="s">
        <v>32</v>
      </c>
      <c r="L77" s="61">
        <f ca="1">L74+L76-L75</f>
        <v>62644.340925175886</v>
      </c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6"/>
      <c r="X77" s="71"/>
    </row>
    <row r="78" spans="1:24" x14ac:dyDescent="0.2">
      <c r="B78" s="52" t="s">
        <v>33</v>
      </c>
      <c r="L78" s="61">
        <v>662</v>
      </c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6"/>
      <c r="X78" s="71"/>
    </row>
    <row r="79" spans="1:24" x14ac:dyDescent="0.2">
      <c r="A79" s="36" t="s">
        <v>0</v>
      </c>
      <c r="B79" s="52" t="s">
        <v>34</v>
      </c>
      <c r="L79" s="102">
        <f ca="1">L77/L78</f>
        <v>94.628913784253598</v>
      </c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80"/>
      <c r="X79" s="71" t="s">
        <v>41</v>
      </c>
    </row>
    <row r="80" spans="1:24" x14ac:dyDescent="0.2"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</row>
    <row r="81" spans="13:24" x14ac:dyDescent="0.2"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</row>
  </sheetData>
  <pageMargins left="0.7" right="0.7" top="0.75" bottom="0.75" header="0.3" footer="0.3"/>
  <pageSetup orientation="portrait" r:id="rId1"/>
  <ignoredErrors>
    <ignoredError sqref="I42:K42 I48:K4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6B8B7-574F-0246-A5CA-DF58E1519169}">
  <dimension ref="A1:I23"/>
  <sheetViews>
    <sheetView workbookViewId="0">
      <selection activeCell="B13" sqref="B13"/>
    </sheetView>
  </sheetViews>
  <sheetFormatPr baseColWidth="10" defaultColWidth="9.1640625" defaultRowHeight="14" x14ac:dyDescent="0.2"/>
  <cols>
    <col min="1" max="1" width="27.6640625" style="4" bestFit="1" customWidth="1"/>
    <col min="2" max="16384" width="9.1640625" style="4"/>
  </cols>
  <sheetData>
    <row r="1" spans="1:9" x14ac:dyDescent="0.2">
      <c r="A1" s="5" t="s">
        <v>57</v>
      </c>
    </row>
    <row r="2" spans="1:9" x14ac:dyDescent="0.2">
      <c r="A2" s="6" t="s">
        <v>13</v>
      </c>
    </row>
    <row r="3" spans="1:9" ht="15" x14ac:dyDescent="0.2">
      <c r="A3" s="10" t="s">
        <v>58</v>
      </c>
      <c r="B3" s="10">
        <v>2020</v>
      </c>
      <c r="C3" s="10">
        <v>2021</v>
      </c>
      <c r="D3" s="10">
        <v>2022</v>
      </c>
      <c r="E3" s="10">
        <v>2023</v>
      </c>
      <c r="F3" s="10">
        <v>2024</v>
      </c>
      <c r="G3" s="10">
        <v>2025</v>
      </c>
      <c r="H3" s="10">
        <v>2026</v>
      </c>
      <c r="I3" s="10">
        <v>2027</v>
      </c>
    </row>
    <row r="4" spans="1:9" ht="15" x14ac:dyDescent="0.2">
      <c r="A4" t="s">
        <v>5</v>
      </c>
      <c r="B4" s="39">
        <v>3378</v>
      </c>
      <c r="C4" s="39">
        <v>5992</v>
      </c>
      <c r="D4" s="39">
        <v>8399</v>
      </c>
      <c r="E4" s="39">
        <v>9917</v>
      </c>
      <c r="F4" s="39">
        <v>11078</v>
      </c>
      <c r="G4" s="39">
        <v>12391</v>
      </c>
      <c r="H4" s="39">
        <v>13847</v>
      </c>
      <c r="I4" s="39">
        <v>15196</v>
      </c>
    </row>
    <row r="5" spans="1:9" ht="15" x14ac:dyDescent="0.2">
      <c r="A5" t="s">
        <v>61</v>
      </c>
      <c r="B5">
        <v>876</v>
      </c>
      <c r="C5" s="39">
        <v>1156</v>
      </c>
      <c r="D5" s="39">
        <v>1499</v>
      </c>
      <c r="E5" s="39">
        <v>1703</v>
      </c>
      <c r="F5" s="39">
        <v>1879</v>
      </c>
      <c r="G5" s="39">
        <v>2076</v>
      </c>
      <c r="H5" s="39">
        <v>2302</v>
      </c>
      <c r="I5" s="39">
        <v>2532</v>
      </c>
    </row>
    <row r="6" spans="1:9" ht="15" x14ac:dyDescent="0.2">
      <c r="A6" t="s">
        <v>62</v>
      </c>
      <c r="B6" s="39">
        <v>2502</v>
      </c>
      <c r="C6" s="39">
        <v>4836</v>
      </c>
      <c r="D6" s="39">
        <v>6900</v>
      </c>
      <c r="E6" s="39">
        <v>8214</v>
      </c>
      <c r="F6" s="39">
        <v>9163</v>
      </c>
      <c r="G6" s="39">
        <v>10192</v>
      </c>
      <c r="H6" s="39">
        <v>11329</v>
      </c>
      <c r="I6" s="39">
        <v>12632</v>
      </c>
    </row>
    <row r="7" spans="1:9" ht="15" x14ac:dyDescent="0.2">
      <c r="A7" t="s">
        <v>63</v>
      </c>
      <c r="B7"/>
      <c r="C7"/>
      <c r="D7"/>
      <c r="E7"/>
      <c r="F7"/>
      <c r="G7"/>
      <c r="H7"/>
      <c r="I7"/>
    </row>
    <row r="8" spans="1:9" ht="15" x14ac:dyDescent="0.2">
      <c r="A8" t="s">
        <v>64</v>
      </c>
      <c r="B8" s="39">
        <v>2753</v>
      </c>
      <c r="C8" s="39">
        <v>1425</v>
      </c>
      <c r="D8" s="39">
        <v>1502</v>
      </c>
      <c r="E8" s="39">
        <v>1722</v>
      </c>
      <c r="F8" s="39"/>
      <c r="G8" s="39"/>
      <c r="H8" s="39"/>
      <c r="I8" s="39"/>
    </row>
    <row r="9" spans="1:9" ht="15" x14ac:dyDescent="0.2">
      <c r="A9" t="s">
        <v>65</v>
      </c>
      <c r="B9" s="39">
        <v>2310</v>
      </c>
      <c r="C9" s="39">
        <v>2022</v>
      </c>
      <c r="D9" s="39">
        <v>2466</v>
      </c>
      <c r="E9" s="39">
        <v>3788</v>
      </c>
      <c r="F9" s="39"/>
      <c r="G9" s="39"/>
      <c r="H9" s="39"/>
      <c r="I9" s="39"/>
    </row>
    <row r="10" spans="1:9" ht="15" x14ac:dyDescent="0.2">
      <c r="A10" t="s">
        <v>66</v>
      </c>
      <c r="B10">
        <v>151</v>
      </c>
      <c r="C10">
        <v>113</v>
      </c>
      <c r="D10">
        <v>89</v>
      </c>
      <c r="E10">
        <v>0</v>
      </c>
      <c r="F10"/>
      <c r="G10"/>
      <c r="H10"/>
      <c r="I10"/>
    </row>
    <row r="11" spans="1:9" ht="15" x14ac:dyDescent="0.2">
      <c r="A11" t="s">
        <v>68</v>
      </c>
      <c r="B11">
        <v>727</v>
      </c>
      <c r="C11">
        <v>734</v>
      </c>
      <c r="D11">
        <v>952</v>
      </c>
      <c r="E11" s="39">
        <v>1186</v>
      </c>
      <c r="F11" s="39"/>
      <c r="G11" s="39"/>
      <c r="H11" s="39"/>
      <c r="I11" s="39"/>
    </row>
    <row r="12" spans="1:9" ht="15" x14ac:dyDescent="0.2">
      <c r="A12" t="s">
        <v>63</v>
      </c>
      <c r="B12" s="39">
        <v>5941</v>
      </c>
      <c r="C12" s="39">
        <v>4294</v>
      </c>
      <c r="D12" s="39">
        <v>5009</v>
      </c>
      <c r="E12" s="39">
        <v>6696</v>
      </c>
      <c r="F12" s="39"/>
      <c r="G12" s="39"/>
      <c r="H12" s="39"/>
      <c r="I12" s="39"/>
    </row>
    <row r="13" spans="1:9" ht="15" x14ac:dyDescent="0.2">
      <c r="A13" t="s">
        <v>69</v>
      </c>
      <c r="B13" s="39">
        <v>-3439</v>
      </c>
      <c r="C13">
        <v>542</v>
      </c>
      <c r="D13" s="39">
        <v>1891</v>
      </c>
      <c r="E13" s="39">
        <v>1518</v>
      </c>
      <c r="F13" s="39">
        <v>2661</v>
      </c>
      <c r="G13" s="39">
        <v>3154</v>
      </c>
      <c r="H13" s="39">
        <v>3764</v>
      </c>
      <c r="I13" s="39">
        <v>4548</v>
      </c>
    </row>
    <row r="14" spans="1:9" ht="15" x14ac:dyDescent="0.2">
      <c r="A14" t="s">
        <v>14</v>
      </c>
      <c r="B14">
        <v>172</v>
      </c>
      <c r="C14">
        <v>438</v>
      </c>
      <c r="D14">
        <v>24</v>
      </c>
      <c r="E14">
        <v>83</v>
      </c>
      <c r="F14"/>
      <c r="G14"/>
      <c r="H14"/>
      <c r="I14"/>
    </row>
    <row r="15" spans="1:9" ht="15" x14ac:dyDescent="0.2">
      <c r="A15" t="s">
        <v>70</v>
      </c>
      <c r="B15" s="39">
        <v>-1099</v>
      </c>
      <c r="C15">
        <v>-417</v>
      </c>
      <c r="D15">
        <v>-64</v>
      </c>
      <c r="E15">
        <v>-54</v>
      </c>
      <c r="F15"/>
      <c r="G15"/>
      <c r="H15"/>
      <c r="I15"/>
    </row>
    <row r="16" spans="1:9" ht="15" x14ac:dyDescent="0.2">
      <c r="A16" t="s">
        <v>71</v>
      </c>
      <c r="B16" s="39">
        <v>-4682</v>
      </c>
      <c r="C16">
        <v>-300</v>
      </c>
      <c r="D16" s="39">
        <v>1989</v>
      </c>
      <c r="E16" s="39">
        <v>2102</v>
      </c>
      <c r="F16" s="39">
        <v>3314</v>
      </c>
      <c r="G16" s="39">
        <v>3857</v>
      </c>
      <c r="H16" s="39">
        <v>4484</v>
      </c>
      <c r="I16" s="39">
        <v>5323</v>
      </c>
    </row>
    <row r="17" spans="1:9" ht="15" x14ac:dyDescent="0.2">
      <c r="A17" t="s">
        <v>72</v>
      </c>
      <c r="B17">
        <v>-97</v>
      </c>
      <c r="C17">
        <v>52</v>
      </c>
      <c r="D17">
        <v>96</v>
      </c>
      <c r="E17" s="39">
        <v>-2690</v>
      </c>
      <c r="F17" s="39">
        <v>512</v>
      </c>
      <c r="G17" s="39">
        <v>638</v>
      </c>
      <c r="H17" s="39">
        <v>791</v>
      </c>
      <c r="I17" s="39">
        <v>1001</v>
      </c>
    </row>
    <row r="18" spans="1:9" ht="15" x14ac:dyDescent="0.2">
      <c r="A18" t="s">
        <v>73</v>
      </c>
      <c r="B18" s="39">
        <v>-4585</v>
      </c>
      <c r="C18">
        <v>-352</v>
      </c>
      <c r="D18" s="39">
        <v>1893</v>
      </c>
      <c r="E18" s="39">
        <v>4792</v>
      </c>
      <c r="F18" s="39"/>
      <c r="G18" s="39"/>
      <c r="H18" s="39"/>
      <c r="I18" s="39"/>
    </row>
    <row r="19" spans="1:9" ht="15" x14ac:dyDescent="0.2">
      <c r="A19" t="s">
        <v>74</v>
      </c>
      <c r="B19" s="39">
        <v>-4585</v>
      </c>
      <c r="C19">
        <v>-352</v>
      </c>
      <c r="D19" s="39">
        <v>1893</v>
      </c>
      <c r="E19" s="39">
        <v>4792</v>
      </c>
      <c r="F19" s="39">
        <v>2837</v>
      </c>
      <c r="G19" s="39">
        <v>3239</v>
      </c>
      <c r="H19" s="39">
        <v>3765</v>
      </c>
      <c r="I19" s="39">
        <v>4238</v>
      </c>
    </row>
    <row r="20" spans="1:9" ht="15" x14ac:dyDescent="0.2">
      <c r="A20" t="s">
        <v>75</v>
      </c>
      <c r="B20" s="39">
        <v>-4585</v>
      </c>
      <c r="C20">
        <v>-352</v>
      </c>
      <c r="D20" s="39">
        <v>1893</v>
      </c>
      <c r="E20" s="39">
        <v>4792</v>
      </c>
      <c r="F20" s="39"/>
      <c r="G20" s="39"/>
      <c r="H20" s="39"/>
      <c r="I20" s="39"/>
    </row>
    <row r="21" spans="1:9" ht="15" x14ac:dyDescent="0.2">
      <c r="A21" t="s">
        <v>76</v>
      </c>
      <c r="B21"/>
      <c r="C21"/>
      <c r="D21"/>
      <c r="E21"/>
      <c r="F21"/>
      <c r="G21"/>
      <c r="H21"/>
      <c r="I21"/>
    </row>
    <row r="22" spans="1:9" ht="15" x14ac:dyDescent="0.2">
      <c r="A22" t="s">
        <v>77</v>
      </c>
      <c r="B22" s="40">
        <v>-16.12</v>
      </c>
      <c r="C22" s="40">
        <v>-0.56999999999999995</v>
      </c>
      <c r="D22" s="40">
        <v>2.97</v>
      </c>
      <c r="E22" s="40">
        <v>7.52</v>
      </c>
      <c r="F22" s="40"/>
      <c r="G22" s="40"/>
      <c r="H22" s="40"/>
      <c r="I22" s="40"/>
    </row>
    <row r="23" spans="1:9" ht="15" x14ac:dyDescent="0.2">
      <c r="A23" t="s">
        <v>78</v>
      </c>
      <c r="B23" s="40">
        <v>-16.12</v>
      </c>
      <c r="C23" s="40">
        <v>-0.56999999999999995</v>
      </c>
      <c r="D23" s="40">
        <v>2.79</v>
      </c>
      <c r="E23" s="40">
        <v>7.24</v>
      </c>
      <c r="F23" s="40"/>
      <c r="G23" s="40"/>
      <c r="H23" s="40"/>
      <c r="I23" s="40"/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5D06-3823-4EAE-87BD-784CCE72EA00}">
  <dimension ref="A1:L59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85" bestFit="1" customWidth="1"/>
    <col min="2" max="6" width="9.33203125" style="17" bestFit="1" customWidth="1"/>
    <col min="7" max="8" width="10.6640625" style="17" bestFit="1" customWidth="1"/>
    <col min="9" max="10" width="10" style="17" bestFit="1" customWidth="1"/>
    <col min="11" max="11" width="11" style="17" bestFit="1" customWidth="1"/>
  </cols>
  <sheetData>
    <row r="1" spans="1:12" ht="21" x14ac:dyDescent="0.25">
      <c r="A1" s="41" t="s">
        <v>79</v>
      </c>
      <c r="B1"/>
      <c r="C1"/>
      <c r="D1"/>
      <c r="E1"/>
      <c r="F1"/>
      <c r="G1"/>
    </row>
    <row r="2" spans="1:12" x14ac:dyDescent="0.2">
      <c r="A2" s="10" t="s">
        <v>58</v>
      </c>
      <c r="B2" s="10">
        <v>2020</v>
      </c>
      <c r="C2" s="10">
        <v>2021</v>
      </c>
      <c r="D2" s="10">
        <v>2022</v>
      </c>
      <c r="E2" s="10">
        <v>2023</v>
      </c>
      <c r="F2" s="10" t="s">
        <v>59</v>
      </c>
      <c r="G2" s="10" t="s">
        <v>60</v>
      </c>
    </row>
    <row r="3" spans="1:12" x14ac:dyDescent="0.2">
      <c r="A3" t="s">
        <v>80</v>
      </c>
      <c r="B3"/>
      <c r="C3"/>
      <c r="D3"/>
      <c r="E3"/>
      <c r="F3"/>
      <c r="G3"/>
    </row>
    <row r="4" spans="1:12" x14ac:dyDescent="0.2">
      <c r="A4" t="s">
        <v>74</v>
      </c>
      <c r="B4" s="64">
        <v>-4585</v>
      </c>
      <c r="C4" s="64">
        <v>-352</v>
      </c>
      <c r="D4" s="64">
        <v>1893</v>
      </c>
      <c r="E4" s="64">
        <v>4792</v>
      </c>
      <c r="F4" s="64">
        <v>4792</v>
      </c>
      <c r="G4" s="64">
        <v>1.2250000000000001</v>
      </c>
    </row>
    <row r="5" spans="1:12" x14ac:dyDescent="0.2">
      <c r="A5" t="s">
        <v>81</v>
      </c>
      <c r="B5" s="64">
        <v>126</v>
      </c>
      <c r="C5" s="64">
        <v>138</v>
      </c>
      <c r="D5" s="64">
        <v>81</v>
      </c>
      <c r="E5" s="64">
        <v>44</v>
      </c>
      <c r="F5" s="64">
        <v>44</v>
      </c>
      <c r="G5" s="64">
        <v>-0.28299999999999997</v>
      </c>
    </row>
    <row r="6" spans="1:12" x14ac:dyDescent="0.2">
      <c r="A6" t="s">
        <v>82</v>
      </c>
      <c r="B6" s="64">
        <v>226</v>
      </c>
      <c r="C6" s="64">
        <v>113</v>
      </c>
      <c r="D6" s="64">
        <v>91</v>
      </c>
      <c r="E6" s="64">
        <v>0</v>
      </c>
      <c r="F6" s="64">
        <v>0</v>
      </c>
      <c r="G6" s="64" t="s">
        <v>67</v>
      </c>
    </row>
    <row r="7" spans="1:12" x14ac:dyDescent="0.2">
      <c r="A7" t="s">
        <v>83</v>
      </c>
      <c r="B7" s="64">
        <v>900</v>
      </c>
      <c r="C7" s="64">
        <v>292</v>
      </c>
      <c r="D7" s="64">
        <v>-2</v>
      </c>
      <c r="E7" s="64">
        <v>0</v>
      </c>
      <c r="F7" s="64">
        <v>0</v>
      </c>
      <c r="G7" s="64" t="s">
        <v>67</v>
      </c>
    </row>
    <row r="8" spans="1:12" s="10" customFormat="1" x14ac:dyDescent="0.2">
      <c r="A8" t="s">
        <v>84</v>
      </c>
      <c r="B8" s="64">
        <v>-20</v>
      </c>
      <c r="C8" s="64">
        <v>11</v>
      </c>
      <c r="D8" s="64">
        <v>-1</v>
      </c>
      <c r="E8" s="64">
        <v>-2875</v>
      </c>
      <c r="F8" s="64">
        <v>-2875</v>
      </c>
      <c r="G8" s="64" t="s">
        <v>67</v>
      </c>
      <c r="H8" s="18"/>
      <c r="I8" s="18"/>
      <c r="J8" s="18"/>
      <c r="K8" s="18"/>
    </row>
    <row r="9" spans="1:12" s="10" customFormat="1" x14ac:dyDescent="0.2">
      <c r="A9" t="s">
        <v>85</v>
      </c>
      <c r="B9" s="64">
        <v>3002</v>
      </c>
      <c r="C9" s="64">
        <v>899</v>
      </c>
      <c r="D9" s="64">
        <v>930</v>
      </c>
      <c r="E9" s="64">
        <v>1120</v>
      </c>
      <c r="F9" s="64">
        <v>1120</v>
      </c>
      <c r="G9" s="64">
        <v>-0.26800000000000002</v>
      </c>
      <c r="H9" s="19"/>
      <c r="I9" s="19"/>
      <c r="J9" s="19"/>
      <c r="K9" s="19"/>
      <c r="L9" s="16"/>
    </row>
    <row r="10" spans="1:12" x14ac:dyDescent="0.2">
      <c r="A10" t="s">
        <v>86</v>
      </c>
      <c r="B10" s="64">
        <v>-16</v>
      </c>
      <c r="C10" s="64">
        <v>-29</v>
      </c>
      <c r="D10" s="64">
        <v>-185</v>
      </c>
      <c r="E10" s="64">
        <v>-102</v>
      </c>
      <c r="F10" s="64">
        <v>-102</v>
      </c>
      <c r="G10" s="64">
        <v>0.80200000000000005</v>
      </c>
      <c r="H10" s="20"/>
      <c r="I10" s="20"/>
      <c r="J10" s="20"/>
      <c r="K10" s="20"/>
      <c r="L10" s="3"/>
    </row>
    <row r="11" spans="1:12" x14ac:dyDescent="0.2">
      <c r="A11" t="s">
        <v>119</v>
      </c>
      <c r="B11" s="64">
        <v>-284.60000000000002</v>
      </c>
      <c r="C11" s="64">
        <v>637.9</v>
      </c>
      <c r="D11" s="64">
        <v>313</v>
      </c>
      <c r="E11" s="64">
        <v>720</v>
      </c>
      <c r="F11" s="64"/>
      <c r="G11" s="64"/>
      <c r="H11" s="20"/>
      <c r="I11" s="20"/>
      <c r="J11" s="20"/>
      <c r="K11" s="20"/>
      <c r="L11" s="3"/>
    </row>
    <row r="12" spans="1:12" x14ac:dyDescent="0.2">
      <c r="A12" t="s">
        <v>87</v>
      </c>
      <c r="B12" s="64">
        <v>-73</v>
      </c>
      <c r="C12" s="64">
        <v>40</v>
      </c>
      <c r="D12" s="64">
        <v>20</v>
      </c>
      <c r="E12" s="64">
        <v>0</v>
      </c>
      <c r="F12" s="64">
        <v>0</v>
      </c>
      <c r="G12" s="64" t="s">
        <v>67</v>
      </c>
      <c r="H12" s="20"/>
      <c r="I12" s="20"/>
      <c r="J12" s="20"/>
      <c r="K12" s="20"/>
      <c r="L12" s="3"/>
    </row>
    <row r="13" spans="1:12" x14ac:dyDescent="0.2">
      <c r="A13" t="s">
        <v>88</v>
      </c>
      <c r="B13" s="64">
        <v>44</v>
      </c>
      <c r="C13" s="64">
        <v>294</v>
      </c>
      <c r="D13" s="64">
        <v>224</v>
      </c>
      <c r="E13" s="64">
        <v>580</v>
      </c>
      <c r="F13" s="64">
        <v>580</v>
      </c>
      <c r="G13" s="64">
        <v>1.2649999999999999</v>
      </c>
      <c r="H13" s="20"/>
      <c r="I13" s="20"/>
      <c r="J13" s="20"/>
      <c r="K13" s="20"/>
      <c r="L13" s="3"/>
    </row>
    <row r="14" spans="1:12" x14ac:dyDescent="0.2">
      <c r="A14" t="s">
        <v>89</v>
      </c>
      <c r="B14" s="64">
        <v>-267</v>
      </c>
      <c r="C14" s="64">
        <v>496</v>
      </c>
      <c r="D14" s="64">
        <v>280</v>
      </c>
      <c r="E14" s="64">
        <v>242</v>
      </c>
      <c r="F14" s="64">
        <v>242</v>
      </c>
      <c r="G14" s="64">
        <v>-0.28299999999999997</v>
      </c>
      <c r="H14" s="20"/>
      <c r="I14" s="20"/>
      <c r="J14" s="20"/>
      <c r="K14" s="20"/>
      <c r="L14" s="3"/>
    </row>
    <row r="15" spans="1:12" s="10" customFormat="1" x14ac:dyDescent="0.2">
      <c r="A15" t="s">
        <v>90</v>
      </c>
      <c r="B15" s="64">
        <v>59</v>
      </c>
      <c r="C15" s="64">
        <v>74</v>
      </c>
      <c r="D15" s="64">
        <v>117</v>
      </c>
      <c r="E15" s="64">
        <v>83</v>
      </c>
      <c r="F15" s="64">
        <v>83</v>
      </c>
      <c r="G15" s="64">
        <v>0.114</v>
      </c>
      <c r="H15" s="19"/>
      <c r="I15" s="19"/>
      <c r="J15" s="19"/>
      <c r="K15" s="19"/>
      <c r="L15" s="16"/>
    </row>
    <row r="16" spans="1:12" x14ac:dyDescent="0.2">
      <c r="A16" t="s">
        <v>91</v>
      </c>
      <c r="B16" s="64">
        <v>-26</v>
      </c>
      <c r="C16" s="64">
        <v>337</v>
      </c>
      <c r="D16" s="64">
        <v>-18</v>
      </c>
      <c r="E16" s="64">
        <v>0</v>
      </c>
      <c r="F16" s="64">
        <v>0</v>
      </c>
      <c r="G16" s="64" t="s">
        <v>67</v>
      </c>
      <c r="H16" s="20"/>
      <c r="I16" s="20"/>
      <c r="J16" s="20"/>
      <c r="K16" s="20"/>
      <c r="L16" s="3"/>
    </row>
    <row r="17" spans="1:12" x14ac:dyDescent="0.2">
      <c r="A17" t="s">
        <v>92</v>
      </c>
      <c r="B17" s="64">
        <v>-630</v>
      </c>
      <c r="C17" s="64">
        <v>2313</v>
      </c>
      <c r="D17" s="64">
        <v>3430</v>
      </c>
      <c r="E17" s="64">
        <v>3884</v>
      </c>
      <c r="F17" s="64">
        <v>3884</v>
      </c>
      <c r="G17" s="64">
        <v>0.27100000000000002</v>
      </c>
      <c r="H17" s="20"/>
      <c r="I17" s="20"/>
      <c r="J17" s="20"/>
      <c r="K17" s="20"/>
      <c r="L17" s="3"/>
    </row>
    <row r="18" spans="1:12" x14ac:dyDescent="0.2">
      <c r="A18" t="s">
        <v>93</v>
      </c>
      <c r="B18" s="64"/>
      <c r="C18" s="64"/>
      <c r="D18" s="64"/>
      <c r="E18" s="64"/>
      <c r="F18" s="64"/>
      <c r="G18" s="64"/>
      <c r="H18" s="20"/>
      <c r="I18" s="20"/>
      <c r="J18" s="20"/>
      <c r="K18" s="20"/>
      <c r="L18" s="3"/>
    </row>
    <row r="19" spans="1:12" x14ac:dyDescent="0.2">
      <c r="A19" t="s">
        <v>94</v>
      </c>
      <c r="B19" s="64">
        <v>-37</v>
      </c>
      <c r="C19" s="64">
        <v>-25</v>
      </c>
      <c r="D19" s="64">
        <v>-25</v>
      </c>
      <c r="E19" s="64">
        <v>0</v>
      </c>
      <c r="F19" s="64">
        <v>0</v>
      </c>
      <c r="G19" s="64" t="s">
        <v>67</v>
      </c>
      <c r="H19" s="20"/>
      <c r="I19" s="20"/>
      <c r="J19" s="20"/>
      <c r="K19" s="20"/>
      <c r="L19" s="3"/>
    </row>
    <row r="20" spans="1:12" s="10" customFormat="1" x14ac:dyDescent="0.2">
      <c r="A20" t="s">
        <v>95</v>
      </c>
      <c r="B20" s="64">
        <v>-3033</v>
      </c>
      <c r="C20" s="64">
        <v>-4938</v>
      </c>
      <c r="D20" s="64">
        <v>-4072</v>
      </c>
      <c r="E20" s="64">
        <v>-3308</v>
      </c>
      <c r="F20" s="64">
        <v>-3308</v>
      </c>
      <c r="G20" s="64">
        <v>2.8000000000000001E-2</v>
      </c>
      <c r="H20" s="19"/>
      <c r="I20" s="19"/>
      <c r="J20" s="19"/>
      <c r="K20" s="19"/>
      <c r="L20" s="16"/>
    </row>
    <row r="21" spans="1:12" x14ac:dyDescent="0.2">
      <c r="A21" t="s">
        <v>96</v>
      </c>
      <c r="B21" s="64">
        <v>3158</v>
      </c>
      <c r="C21" s="64">
        <v>3611</v>
      </c>
      <c r="D21" s="64">
        <v>4071</v>
      </c>
      <c r="E21" s="64">
        <v>2380</v>
      </c>
      <c r="F21" s="64">
        <v>2380</v>
      </c>
      <c r="G21" s="64">
        <v>-8.5999999999999993E-2</v>
      </c>
      <c r="H21" s="20"/>
      <c r="I21" s="20"/>
      <c r="J21" s="20"/>
      <c r="K21" s="20"/>
      <c r="L21" s="3"/>
    </row>
    <row r="22" spans="1:12" x14ac:dyDescent="0.2">
      <c r="A22" t="s">
        <v>97</v>
      </c>
      <c r="B22" s="64">
        <v>-9</v>
      </c>
      <c r="C22" s="64">
        <v>-25</v>
      </c>
      <c r="D22" s="64">
        <v>-27</v>
      </c>
      <c r="E22" s="64">
        <v>-114</v>
      </c>
      <c r="F22" s="64">
        <v>-114</v>
      </c>
      <c r="G22" s="64">
        <v>1.2649999999999999</v>
      </c>
      <c r="H22" s="20"/>
      <c r="I22" s="20"/>
      <c r="J22" s="20"/>
      <c r="K22" s="20"/>
      <c r="L22" s="3"/>
    </row>
    <row r="23" spans="1:12" x14ac:dyDescent="0.2">
      <c r="A23" t="s">
        <v>98</v>
      </c>
      <c r="B23" s="64">
        <v>0</v>
      </c>
      <c r="C23" s="64">
        <v>25</v>
      </c>
      <c r="D23" s="64">
        <v>25</v>
      </c>
      <c r="E23" s="64">
        <v>0</v>
      </c>
      <c r="F23" s="64">
        <v>0</v>
      </c>
      <c r="G23" s="64" t="s">
        <v>67</v>
      </c>
      <c r="H23" s="20"/>
      <c r="I23" s="20"/>
      <c r="J23" s="20"/>
      <c r="K23" s="21"/>
      <c r="L23" s="3"/>
    </row>
    <row r="24" spans="1:12" x14ac:dyDescent="0.2">
      <c r="A24" t="s">
        <v>99</v>
      </c>
      <c r="B24" s="64">
        <v>80</v>
      </c>
      <c r="C24" s="64">
        <v>-1352</v>
      </c>
      <c r="D24" s="64">
        <v>-28</v>
      </c>
      <c r="E24" s="64">
        <v>-1042</v>
      </c>
      <c r="F24" s="64">
        <v>-1042</v>
      </c>
      <c r="G24" s="64" t="s">
        <v>67</v>
      </c>
      <c r="H24" s="20"/>
      <c r="I24" s="20"/>
      <c r="J24" s="20"/>
      <c r="K24" s="20"/>
      <c r="L24" s="3"/>
    </row>
    <row r="25" spans="1:12" x14ac:dyDescent="0.2">
      <c r="A25" t="s">
        <v>100</v>
      </c>
      <c r="B25" s="64"/>
      <c r="C25" s="64"/>
      <c r="D25" s="64"/>
      <c r="E25" s="64"/>
      <c r="F25" s="64"/>
      <c r="G25" s="64"/>
      <c r="H25" s="20"/>
      <c r="I25" s="20"/>
      <c r="J25" s="20"/>
      <c r="K25" s="20"/>
      <c r="L25" s="3"/>
    </row>
    <row r="26" spans="1:12" x14ac:dyDescent="0.2">
      <c r="A26" t="s">
        <v>101</v>
      </c>
      <c r="B26" s="64">
        <v>1929</v>
      </c>
      <c r="C26" s="64">
        <v>1979</v>
      </c>
      <c r="D26" s="64">
        <v>0</v>
      </c>
      <c r="E26" s="64">
        <v>0</v>
      </c>
      <c r="F26" s="64">
        <v>0</v>
      </c>
      <c r="G26" s="64" t="s">
        <v>67</v>
      </c>
      <c r="H26" s="20"/>
      <c r="I26" s="20"/>
      <c r="J26" s="20"/>
      <c r="K26" s="20"/>
      <c r="L26" s="3"/>
    </row>
    <row r="27" spans="1:12" x14ac:dyDescent="0.2">
      <c r="A27" t="s">
        <v>102</v>
      </c>
      <c r="B27" s="64">
        <v>-5</v>
      </c>
      <c r="C27" s="64">
        <v>-2208</v>
      </c>
      <c r="D27" s="64">
        <v>0</v>
      </c>
      <c r="E27" s="64">
        <v>0</v>
      </c>
      <c r="F27" s="64">
        <v>0</v>
      </c>
      <c r="G27" s="64" t="s">
        <v>67</v>
      </c>
      <c r="H27" s="20"/>
      <c r="I27" s="20"/>
      <c r="J27" s="20"/>
      <c r="K27" s="20"/>
      <c r="L27" s="3"/>
    </row>
    <row r="28" spans="1:12" x14ac:dyDescent="0.2">
      <c r="A28" t="s">
        <v>103</v>
      </c>
      <c r="B28" s="64">
        <v>1929</v>
      </c>
      <c r="C28" s="64">
        <v>1979</v>
      </c>
      <c r="D28" s="64">
        <v>0</v>
      </c>
      <c r="E28" s="64">
        <v>0</v>
      </c>
      <c r="F28" s="64">
        <v>0</v>
      </c>
      <c r="G28" s="64" t="s">
        <v>67</v>
      </c>
      <c r="H28" s="20"/>
      <c r="I28" s="20"/>
      <c r="J28" s="20"/>
      <c r="K28" s="20"/>
      <c r="L28" s="3"/>
    </row>
    <row r="29" spans="1:12" x14ac:dyDescent="0.2">
      <c r="A29" t="s">
        <v>104</v>
      </c>
      <c r="B29" s="64">
        <v>-5</v>
      </c>
      <c r="C29" s="64">
        <v>-2208</v>
      </c>
      <c r="D29" s="64">
        <v>0</v>
      </c>
      <c r="E29" s="64">
        <v>0</v>
      </c>
      <c r="F29" s="64">
        <v>0</v>
      </c>
      <c r="G29" s="64" t="s">
        <v>67</v>
      </c>
      <c r="H29" s="20"/>
      <c r="I29" s="20"/>
      <c r="J29" s="20"/>
      <c r="K29" s="20"/>
      <c r="L29" s="3"/>
    </row>
    <row r="30" spans="1:12" s="10" customFormat="1" x14ac:dyDescent="0.2">
      <c r="A30" t="s">
        <v>105</v>
      </c>
      <c r="B30" s="64">
        <v>3651</v>
      </c>
      <c r="C30" s="64">
        <v>0</v>
      </c>
      <c r="D30" s="64">
        <v>0</v>
      </c>
      <c r="E30" s="64">
        <v>0</v>
      </c>
      <c r="F30" s="64">
        <v>0</v>
      </c>
      <c r="G30" s="64" t="s">
        <v>67</v>
      </c>
      <c r="H30" s="19"/>
      <c r="I30" s="19"/>
      <c r="J30" s="19"/>
      <c r="K30" s="19"/>
    </row>
    <row r="31" spans="1:12" x14ac:dyDescent="0.2">
      <c r="A31" t="s">
        <v>106</v>
      </c>
      <c r="B31" s="64">
        <v>0</v>
      </c>
      <c r="C31" s="64">
        <v>0</v>
      </c>
      <c r="D31" s="64">
        <v>-1500</v>
      </c>
      <c r="E31" s="64">
        <v>-2252</v>
      </c>
      <c r="F31" s="64">
        <v>-2252</v>
      </c>
      <c r="G31" s="64" t="s">
        <v>67</v>
      </c>
      <c r="H31" s="20"/>
      <c r="I31" s="20"/>
      <c r="J31" s="20"/>
      <c r="K31" s="20"/>
      <c r="L31" s="3"/>
    </row>
    <row r="32" spans="1:12" s="10" customFormat="1" x14ac:dyDescent="0.2">
      <c r="A32" t="s">
        <v>107</v>
      </c>
      <c r="B32" s="64">
        <v>-2649</v>
      </c>
      <c r="C32" s="64">
        <v>1348</v>
      </c>
      <c r="D32" s="64">
        <v>723</v>
      </c>
      <c r="E32" s="64">
        <v>-288</v>
      </c>
      <c r="F32" s="64">
        <v>-288</v>
      </c>
      <c r="G32" s="64" t="s">
        <v>67</v>
      </c>
      <c r="H32" s="19"/>
      <c r="I32" s="19"/>
      <c r="J32" s="19"/>
      <c r="K32" s="19"/>
      <c r="L32" s="16"/>
    </row>
    <row r="33" spans="1:12" x14ac:dyDescent="0.2">
      <c r="A33" t="s">
        <v>108</v>
      </c>
      <c r="B33" s="64">
        <v>-1909</v>
      </c>
      <c r="C33" s="64">
        <v>418</v>
      </c>
      <c r="D33" s="64">
        <v>88</v>
      </c>
      <c r="E33" s="64">
        <v>110</v>
      </c>
      <c r="F33" s="64">
        <v>110</v>
      </c>
      <c r="G33" s="64">
        <v>-0.48699999999999999</v>
      </c>
      <c r="H33" s="20"/>
      <c r="I33" s="20"/>
      <c r="J33" s="20"/>
      <c r="K33" s="20"/>
      <c r="L33" s="3"/>
    </row>
    <row r="34" spans="1:12" x14ac:dyDescent="0.2">
      <c r="A34" t="s">
        <v>109</v>
      </c>
      <c r="B34" s="64">
        <v>2941</v>
      </c>
      <c r="C34" s="64">
        <v>1308</v>
      </c>
      <c r="D34" s="64">
        <v>-689</v>
      </c>
      <c r="E34" s="64">
        <v>-2430</v>
      </c>
      <c r="F34" s="64">
        <v>-2430</v>
      </c>
      <c r="G34" s="64" t="s">
        <v>67</v>
      </c>
      <c r="H34" s="20"/>
      <c r="I34" s="20"/>
      <c r="J34" s="20"/>
      <c r="K34" s="20"/>
      <c r="L34" s="3"/>
    </row>
    <row r="35" spans="1:12" s="10" customFormat="1" x14ac:dyDescent="0.2">
      <c r="A35" t="s">
        <v>110</v>
      </c>
      <c r="B35" s="64">
        <v>134</v>
      </c>
      <c r="C35" s="64">
        <v>-210</v>
      </c>
      <c r="D35" s="64">
        <v>-337</v>
      </c>
      <c r="E35" s="64">
        <v>152</v>
      </c>
      <c r="F35" s="64">
        <v>152</v>
      </c>
      <c r="G35" s="64">
        <v>0.04</v>
      </c>
      <c r="H35" s="19"/>
      <c r="I35" s="19"/>
      <c r="J35" s="19"/>
      <c r="K35" s="19"/>
      <c r="L35" s="16"/>
    </row>
    <row r="36" spans="1:12" x14ac:dyDescent="0.2">
      <c r="A36" t="s">
        <v>111</v>
      </c>
      <c r="B36" s="64">
        <v>2391</v>
      </c>
      <c r="C36" s="64">
        <v>2269</v>
      </c>
      <c r="D36" s="64">
        <v>2713</v>
      </c>
      <c r="E36" s="64">
        <v>412</v>
      </c>
      <c r="F36" s="64">
        <v>412</v>
      </c>
      <c r="G36" s="64">
        <v>-0.42699999999999999</v>
      </c>
      <c r="H36" s="20"/>
      <c r="I36" s="20"/>
      <c r="J36" s="20"/>
      <c r="K36" s="20"/>
      <c r="L36" s="3"/>
    </row>
    <row r="37" spans="1:12" s="10" customFormat="1" x14ac:dyDescent="0.2">
      <c r="A37" t="s">
        <v>112</v>
      </c>
      <c r="B37" s="64">
        <v>5143</v>
      </c>
      <c r="C37" s="64">
        <v>7668</v>
      </c>
      <c r="D37" s="64">
        <v>9727</v>
      </c>
      <c r="E37" s="64">
        <v>12103</v>
      </c>
      <c r="F37" s="64">
        <v>12103</v>
      </c>
      <c r="G37" s="64">
        <v>0.311</v>
      </c>
      <c r="H37" s="19"/>
      <c r="I37" s="19"/>
      <c r="J37" s="19"/>
      <c r="K37" s="19"/>
      <c r="L37" s="16"/>
    </row>
    <row r="38" spans="1:12" x14ac:dyDescent="0.2">
      <c r="A38" t="s">
        <v>113</v>
      </c>
      <c r="B38" s="64">
        <v>7668</v>
      </c>
      <c r="C38" s="64">
        <v>9727</v>
      </c>
      <c r="D38" s="64">
        <v>12103</v>
      </c>
      <c r="E38" s="64">
        <v>12667</v>
      </c>
      <c r="F38" s="64">
        <v>12667</v>
      </c>
      <c r="G38" s="64">
        <v>0.17199999999999999</v>
      </c>
      <c r="H38" s="20"/>
      <c r="I38" s="20"/>
      <c r="J38" s="20"/>
      <c r="K38" s="20"/>
      <c r="L38" s="3"/>
    </row>
    <row r="39" spans="1:12" x14ac:dyDescent="0.2">
      <c r="A39" t="s">
        <v>114</v>
      </c>
      <c r="B39" s="64"/>
      <c r="C39" s="64"/>
      <c r="D39" s="64"/>
      <c r="E39" s="64"/>
      <c r="F39" s="64"/>
      <c r="G39" s="64"/>
      <c r="H39" s="20"/>
      <c r="I39" s="20"/>
      <c r="J39" s="20"/>
      <c r="K39" s="20"/>
      <c r="L39" s="3"/>
    </row>
    <row r="40" spans="1:12" x14ac:dyDescent="0.2">
      <c r="A40" t="s">
        <v>115</v>
      </c>
      <c r="B40" s="64">
        <v>-630</v>
      </c>
      <c r="C40" s="64">
        <v>2313</v>
      </c>
      <c r="D40" s="64">
        <v>3430</v>
      </c>
      <c r="E40" s="64">
        <v>3884</v>
      </c>
      <c r="F40" s="64">
        <v>3884</v>
      </c>
      <c r="G40" s="64">
        <v>0.27100000000000002</v>
      </c>
      <c r="H40" s="20"/>
      <c r="I40" s="20"/>
      <c r="J40" s="20"/>
      <c r="K40" s="20"/>
      <c r="L40" s="3"/>
    </row>
    <row r="41" spans="1:12" x14ac:dyDescent="0.2">
      <c r="A41" t="s">
        <v>116</v>
      </c>
      <c r="B41" s="64">
        <v>-37</v>
      </c>
      <c r="C41" s="64">
        <v>-25</v>
      </c>
      <c r="D41" s="64">
        <v>-25</v>
      </c>
      <c r="E41" s="64">
        <v>0</v>
      </c>
      <c r="F41" s="64">
        <v>0</v>
      </c>
      <c r="G41" s="64" t="s">
        <v>67</v>
      </c>
      <c r="H41" s="20"/>
      <c r="I41" s="20"/>
      <c r="J41" s="20"/>
      <c r="K41" s="20"/>
      <c r="L41" s="3"/>
    </row>
    <row r="42" spans="1:12" s="10" customFormat="1" x14ac:dyDescent="0.2">
      <c r="A42" t="s">
        <v>117</v>
      </c>
      <c r="B42" s="64">
        <v>-667</v>
      </c>
      <c r="C42" s="64">
        <v>2313</v>
      </c>
      <c r="D42" s="64">
        <v>3430</v>
      </c>
      <c r="E42" s="64">
        <v>3884</v>
      </c>
      <c r="F42" s="64">
        <v>3884</v>
      </c>
      <c r="G42" s="64">
        <v>0.27100000000000002</v>
      </c>
      <c r="H42" s="19"/>
      <c r="I42" s="19"/>
      <c r="J42" s="19"/>
      <c r="K42" s="19"/>
      <c r="L42" s="16"/>
    </row>
    <row r="43" spans="1:12" x14ac:dyDescent="0.2">
      <c r="A43" s="15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3"/>
    </row>
    <row r="44" spans="1:12" x14ac:dyDescent="0.2">
      <c r="A44" s="15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3"/>
    </row>
    <row r="45" spans="1:12" x14ac:dyDescent="0.2">
      <c r="A45" s="11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3"/>
    </row>
    <row r="46" spans="1:12" x14ac:dyDescent="0.2">
      <c r="A46" s="11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3"/>
    </row>
    <row r="47" spans="1:12" x14ac:dyDescent="0.2">
      <c r="A47" s="11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3"/>
    </row>
    <row r="48" spans="1:12" s="10" customFormat="1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6"/>
    </row>
    <row r="49" spans="1:12" x14ac:dyDescent="0.2">
      <c r="A49" s="12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3"/>
    </row>
    <row r="50" spans="1:12" x14ac:dyDescent="0.2">
      <c r="A50" s="13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3"/>
    </row>
    <row r="51" spans="1:12" s="10" customFormat="1" x14ac:dyDescent="0.2">
      <c r="A51" s="14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6"/>
    </row>
    <row r="52" spans="1:12" x14ac:dyDescent="0.2">
      <c r="A52" s="11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3"/>
    </row>
    <row r="53" spans="1:12" x14ac:dyDescent="0.2">
      <c r="A53" s="1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3"/>
    </row>
    <row r="54" spans="1:12" x14ac:dyDescent="0.2">
      <c r="A54" s="11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3"/>
    </row>
    <row r="55" spans="1:12" x14ac:dyDescent="0.2">
      <c r="A55" s="11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3"/>
    </row>
    <row r="56" spans="1:12" x14ac:dyDescent="0.2">
      <c r="A56" s="11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3"/>
    </row>
    <row r="57" spans="1:12" x14ac:dyDescent="0.2">
      <c r="A57" s="11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3"/>
    </row>
    <row r="58" spans="1:12" x14ac:dyDescent="0.2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3"/>
    </row>
    <row r="59" spans="1:12" x14ac:dyDescent="0.2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2620-CA7A-4721-B230-B63E42271BB1}">
  <dimension ref="A2:G22"/>
  <sheetViews>
    <sheetView showGridLines="0" workbookViewId="0">
      <selection activeCell="K37" sqref="K37"/>
    </sheetView>
  </sheetViews>
  <sheetFormatPr baseColWidth="10" defaultColWidth="8.83203125" defaultRowHeight="15" x14ac:dyDescent="0.2"/>
  <cols>
    <col min="1" max="1" width="7.6640625" bestFit="1" customWidth="1"/>
    <col min="2" max="2" width="8" bestFit="1" customWidth="1"/>
    <col min="3" max="3" width="6.6640625" bestFit="1" customWidth="1"/>
    <col min="7" max="7" width="19.5" style="28" customWidth="1"/>
  </cols>
  <sheetData>
    <row r="2" spans="1:7" s="26" customFormat="1" x14ac:dyDescent="0.2">
      <c r="B2" s="26" t="s">
        <v>36</v>
      </c>
      <c r="G2" s="29"/>
    </row>
    <row r="4" spans="1:7" x14ac:dyDescent="0.2">
      <c r="B4" t="s">
        <v>42</v>
      </c>
    </row>
    <row r="5" spans="1:7" x14ac:dyDescent="0.2">
      <c r="B5" t="s">
        <v>43</v>
      </c>
    </row>
    <row r="7" spans="1:7" x14ac:dyDescent="0.2">
      <c r="A7" t="s">
        <v>0</v>
      </c>
      <c r="B7" s="27" t="s">
        <v>36</v>
      </c>
      <c r="C7" s="27"/>
      <c r="D7" s="27"/>
      <c r="E7" s="27"/>
      <c r="F7" s="27"/>
      <c r="G7" s="30"/>
    </row>
    <row r="8" spans="1:7" x14ac:dyDescent="0.2">
      <c r="B8" t="s">
        <v>44</v>
      </c>
      <c r="G8" s="2">
        <v>107500</v>
      </c>
    </row>
    <row r="9" spans="1:7" x14ac:dyDescent="0.2">
      <c r="B9" t="s">
        <v>45</v>
      </c>
      <c r="G9" s="31">
        <f>G8/G20</f>
        <v>0.98181585701107854</v>
      </c>
    </row>
    <row r="10" spans="1:7" x14ac:dyDescent="0.2">
      <c r="B10" t="s">
        <v>46</v>
      </c>
      <c r="G10" s="28">
        <f>G11+G12*G13</f>
        <v>0.11202399999999998</v>
      </c>
    </row>
    <row r="11" spans="1:7" x14ac:dyDescent="0.2">
      <c r="B11" t="s">
        <v>47</v>
      </c>
      <c r="G11" s="83">
        <v>4.1799999999999997E-2</v>
      </c>
    </row>
    <row r="12" spans="1:7" x14ac:dyDescent="0.2">
      <c r="B12" t="s">
        <v>48</v>
      </c>
      <c r="G12" s="84">
        <v>1.68</v>
      </c>
    </row>
    <row r="13" spans="1:7" x14ac:dyDescent="0.2">
      <c r="B13" t="s">
        <v>49</v>
      </c>
      <c r="G13" s="83">
        <v>4.1799999999999997E-2</v>
      </c>
    </row>
    <row r="15" spans="1:7" x14ac:dyDescent="0.2">
      <c r="B15" t="s">
        <v>50</v>
      </c>
      <c r="G15" s="85">
        <v>1991</v>
      </c>
    </row>
    <row r="16" spans="1:7" x14ac:dyDescent="0.2">
      <c r="B16" t="s">
        <v>51</v>
      </c>
      <c r="G16" s="28">
        <f>G15/G20</f>
        <v>1.8184142988921462E-2</v>
      </c>
    </row>
    <row r="17" spans="1:7" x14ac:dyDescent="0.2">
      <c r="B17" t="s">
        <v>52</v>
      </c>
      <c r="G17" s="83">
        <v>2E-3</v>
      </c>
    </row>
    <row r="18" spans="1:7" x14ac:dyDescent="0.2">
      <c r="B18" t="s">
        <v>53</v>
      </c>
      <c r="G18" s="83">
        <f>DCF!H52</f>
        <v>0.15449607724803863</v>
      </c>
    </row>
    <row r="19" spans="1:7" x14ac:dyDescent="0.2">
      <c r="G19" s="28" t="s">
        <v>41</v>
      </c>
    </row>
    <row r="20" spans="1:7" x14ac:dyDescent="0.2">
      <c r="B20" t="s">
        <v>54</v>
      </c>
      <c r="G20" s="2">
        <f>G8+G15</f>
        <v>109491</v>
      </c>
    </row>
    <row r="22" spans="1:7" x14ac:dyDescent="0.2">
      <c r="A22" t="s">
        <v>0</v>
      </c>
      <c r="B22" s="32" t="s">
        <v>36</v>
      </c>
      <c r="C22" s="33"/>
      <c r="D22" s="33"/>
      <c r="E22" s="33"/>
      <c r="F22" s="33"/>
      <c r="G22" s="34">
        <f>(G9*G10)+(G16*G17)</f>
        <v>0.11002330785178689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D A A B Q S w M E F A A C A A g A g W M z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g W M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j M 1 Y 0 J 8 g o h Q A A A K E A A A A T A B w A R m 9 y b X V s Y X M v U 2 V j d G l v b j E u b S C i G A A o o B Q A A A A A A A A A A A A A A A A A A A A A A A A A A A A r T k 0 u y c z P U w i G 0 I b W v F y 8 X M U Z i U W p K Q o u + c m l u a l 5 J Q q 2 C j m p J b x c C k A Q n F 9 a l J w K F A l P T d I L S E x P 1 Q A x n P P z S o A K i z W U M k p K C o q t 9 P U L S z O T s 9 O K 9 f J S S / S T 8 3 M L E v M q 9 U O C f R y V N D V 1 I C a 5 J J Y k G g A N g p h Y b V A b D R K J 5 e X K z E N S Y A 0 A U E s B A i 0 A F A A C A A g A g W M z V o 2 Y c i i k A A A A 9 g A A A B I A A A A A A A A A A A A A A A A A A A A A A E N v b m Z p Z y 9 Q Y W N r Y W d l L n h t b F B L A Q I t A B Q A A g A I A I F j M 1 Y P y u m r p A A A A O k A A A A T A A A A A A A A A A A A A A A A A P A A A A B b Q 2 9 u d G V u d F 9 U e X B l c 1 0 u e G 1 s U E s B A i 0 A F A A C A A g A g W M z V j Q n y C i F A A A A o Q A A A B M A A A A A A A A A A A A A A A A A 4 Q E A A E Z v c m 1 1 b G F z L 1 N l Y 3 R p b 2 4 x L m 1 Q S w U G A A A A A A M A A w D C A A A A s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A g A A A A A A A C u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9 j d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5 V D A 2 O j U 1 O j E w L j c 0 N j I z O D F a I i A v P j x F b n R y e S B U e X B l P S J G a W x s Q 2 9 s d W 1 u V H l w Z X M i I F Z h b H V l P S J z Q m d Z R y I g L z 4 8 R W 5 0 c n k g V H l w Z T 0 i R m l s b E N v b H V t b k 5 h b W V z I i B W Y W x 1 Z T 0 i c 1 s m c X V v d D t L a W 5 k J n F 1 b 3 Q 7 L C Z x d W 9 0 O 0 5 h b W U m c X V v d D s s J n F 1 b 3 Q 7 V G V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Y 3 V t Z W 5 0 L 0 F 1 d G 9 S Z W 1 v d m V k Q 2 9 s d W 1 u c z E u e 0 t p b m Q s M H 0 m c X V v d D s s J n F 1 b 3 Q 7 U 2 V j d G l v b j E v R G 9 j d W 1 l b n Q v Q X V 0 b 1 J l b W 9 2 Z W R D b 2 x 1 b W 5 z M S 5 7 T m F t Z S w x f S Z x d W 9 0 O y w m c X V v d D t T Z W N 0 a W 9 u M S 9 E b 2 N 1 b W V u d C 9 B d X R v U m V t b 3 Z l Z E N v b H V t b n M x L n t U Z X h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v Y 3 V t Z W 5 0 L 0 F 1 d G 9 S Z W 1 v d m V k Q 2 9 s d W 1 u c z E u e 0 t p b m Q s M H 0 m c X V v d D s s J n F 1 b 3 Q 7 U 2 V j d G l v b j E v R G 9 j d W 1 l b n Q v Q X V 0 b 1 J l b W 9 2 Z W R D b 2 x 1 b W 5 z M S 5 7 T m F t Z S w x f S Z x d W 9 0 O y w m c X V v d D t T Z W N 0 a W 9 u M S 9 E b 2 N 1 b W V u d C 9 B d X R v U m V t b 3 Z l Z E N v b H V t b n M x L n t U Z X h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b 2 N 1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9 E Y X R h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N P M C S n c 0 T Y I 6 t O u i Q J l V A A A A A A I A A A A A A B B m A A A A A Q A A I A A A A P M H k m m q j H L O o Z 7 c O e r b S V 6 M / 9 I Y V 7 O c s F V 8 S i i X S a d 8 A A A A A A 6 A A A A A A g A A I A A A A A f A J n K 7 q c N z x 4 P c l s f O 3 i L m v S W 0 D H k C q C k r E r / E 2 M P m U A A A A I I E d V j p n s 9 A j b g k R s p r v E a W M z p r y T N g U y + n I R Z m s i H z T n U A t Z 6 a 8 5 y R m f p / v T j x L L / N m d 6 4 r O 2 5 w T b q n F l m e h t m g E M 5 e x j y 9 1 x N X H 6 Y K + A Y Q A A A A B X N e M C h k Y B 4 c + x U J w 8 I G E w s s y f L q 6 V K P I J u B x 2 / O g i 2 k m s 4 d J P p H Y g i f m N T z U s m m e j F p m v P 7 2 p u a Y W g K M M X u c o = < / D a t a M a s h u p > 
</file>

<file path=customXml/itemProps1.xml><?xml version="1.0" encoding="utf-8"?>
<ds:datastoreItem xmlns:ds="http://schemas.openxmlformats.org/officeDocument/2006/customXml" ds:itemID="{75A8BDE2-E659-4016-93A8-234705697C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DCF</vt:lpstr>
      <vt:lpstr>IS estimates</vt:lpstr>
      <vt:lpstr>CFS Historicals</vt:lpstr>
      <vt:lpstr>WACC</vt:lpstr>
      <vt:lpstr>tgr</vt:lpstr>
      <vt:lpstr>wacc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CapEx</cp:lastModifiedBy>
  <cp:lastPrinted>2023-01-20T07:14:04Z</cp:lastPrinted>
  <dcterms:created xsi:type="dcterms:W3CDTF">2023-01-19T06:21:05Z</dcterms:created>
  <dcterms:modified xsi:type="dcterms:W3CDTF">2024-03-02T13:36:34Z</dcterms:modified>
  <cp:category/>
</cp:coreProperties>
</file>