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\Desktop\"/>
    </mc:Choice>
  </mc:AlternateContent>
  <xr:revisionPtr revIDLastSave="0" documentId="13_ncr:1_{C8BD534C-5EE3-483D-A3D8-8FE3BC15E749}" xr6:coauthVersionLast="47" xr6:coauthVersionMax="47" xr10:uidLastSave="{00000000-0000-0000-0000-000000000000}"/>
  <bookViews>
    <workbookView xWindow="-103" yWindow="-103" windowWidth="24892" windowHeight="15034" xr2:uid="{5C184FF6-3946-4C7E-B7B4-8ADEFFBAF6C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C305" i="1" l="1"/>
  <c r="D305" i="1" s="1"/>
  <c r="E305" i="1" s="1"/>
  <c r="F305" i="1" s="1"/>
  <c r="G305" i="1" s="1"/>
  <c r="H305" i="1" s="1"/>
  <c r="I3" i="1" l="1"/>
  <c r="D281" i="1"/>
  <c r="E281" i="1" s="1"/>
  <c r="F281" i="1" s="1"/>
  <c r="G281" i="1" s="1"/>
  <c r="H281" i="1" s="1"/>
  <c r="C254" i="1"/>
  <c r="G135" i="1"/>
  <c r="F135" i="1"/>
  <c r="E135" i="1"/>
  <c r="D135" i="1"/>
  <c r="H135" i="1"/>
  <c r="C105" i="1"/>
  <c r="C110" i="1" s="1"/>
  <c r="C111" i="1" s="1"/>
  <c r="E229" i="1"/>
  <c r="F229" i="1"/>
  <c r="G229" i="1"/>
  <c r="H229" i="1"/>
  <c r="D229" i="1"/>
  <c r="E214" i="1"/>
  <c r="F214" i="1"/>
  <c r="G214" i="1"/>
  <c r="H214" i="1"/>
  <c r="D214" i="1"/>
  <c r="E212" i="1"/>
  <c r="F212" i="1"/>
  <c r="G212" i="1"/>
  <c r="H212" i="1"/>
  <c r="D212" i="1"/>
  <c r="E209" i="1"/>
  <c r="F209" i="1"/>
  <c r="G209" i="1"/>
  <c r="H209" i="1"/>
  <c r="D209" i="1"/>
  <c r="E241" i="1"/>
  <c r="F241" i="1"/>
  <c r="G241" i="1"/>
  <c r="H241" i="1"/>
  <c r="D241" i="1"/>
  <c r="D239" i="1"/>
  <c r="E239" i="1" s="1"/>
  <c r="F239" i="1" s="1"/>
  <c r="G239" i="1" s="1"/>
  <c r="H239" i="1" s="1"/>
  <c r="E201" i="1" l="1"/>
  <c r="F201" i="1"/>
  <c r="G201" i="1"/>
  <c r="H201" i="1"/>
  <c r="D201" i="1"/>
  <c r="C103" i="1"/>
  <c r="D103" i="1" s="1"/>
  <c r="C348" i="1"/>
  <c r="C344" i="1"/>
  <c r="C340" i="1"/>
  <c r="C335" i="1"/>
  <c r="C324" i="1"/>
  <c r="C323" i="1"/>
  <c r="D326" i="1"/>
  <c r="E326" i="1" s="1"/>
  <c r="F326" i="1" s="1"/>
  <c r="G326" i="1" s="1"/>
  <c r="H326" i="1" s="1"/>
  <c r="L318" i="1"/>
  <c r="J318" i="1"/>
  <c r="L313" i="1"/>
  <c r="J313" i="1"/>
  <c r="C168" i="1"/>
  <c r="C317" i="1" s="1"/>
  <c r="C167" i="1"/>
  <c r="C316" i="1" s="1"/>
  <c r="C330" i="1" s="1"/>
  <c r="D330" i="1" s="1"/>
  <c r="C155" i="1"/>
  <c r="D353" i="1" s="1"/>
  <c r="L157" i="1"/>
  <c r="C157" i="1" s="1"/>
  <c r="D157" i="1" s="1"/>
  <c r="E157" i="1" s="1"/>
  <c r="F157" i="1" s="1"/>
  <c r="G157" i="1" s="1"/>
  <c r="H157" i="1" s="1"/>
  <c r="C189" i="1"/>
  <c r="C55" i="1"/>
  <c r="L151" i="1"/>
  <c r="C151" i="1" s="1"/>
  <c r="C311" i="1" s="1"/>
  <c r="L152" i="1"/>
  <c r="C152" i="1" s="1"/>
  <c r="C312" i="1" s="1"/>
  <c r="K150" i="1"/>
  <c r="L150" i="1" s="1"/>
  <c r="C150" i="1" s="1"/>
  <c r="L169" i="1"/>
  <c r="K172" i="1"/>
  <c r="J169" i="1"/>
  <c r="J158" i="1"/>
  <c r="J176" i="1"/>
  <c r="J153" i="1"/>
  <c r="C106" i="1"/>
  <c r="C81" i="1"/>
  <c r="C100" i="1"/>
  <c r="D87" i="1"/>
  <c r="E88" i="1"/>
  <c r="F88" i="1" s="1"/>
  <c r="G88" i="1" s="1"/>
  <c r="H88" i="1" s="1"/>
  <c r="C91" i="1"/>
  <c r="D91" i="1" s="1"/>
  <c r="E91" i="1" s="1"/>
  <c r="F91" i="1" s="1"/>
  <c r="G91" i="1" s="1"/>
  <c r="H91" i="1" s="1"/>
  <c r="C93" i="1"/>
  <c r="C96" i="1" s="1"/>
  <c r="C80" i="1"/>
  <c r="C40" i="1"/>
  <c r="C72" i="1" s="1"/>
  <c r="D234" i="1" s="1"/>
  <c r="C35" i="1"/>
  <c r="C71" i="1" s="1"/>
  <c r="D224" i="1" s="1"/>
  <c r="C29" i="1"/>
  <c r="C70" i="1" s="1"/>
  <c r="D205" i="1" s="1"/>
  <c r="D5" i="1"/>
  <c r="E5" i="1" s="1"/>
  <c r="F5" i="1" s="1"/>
  <c r="G5" i="1" s="1"/>
  <c r="H5" i="1" s="1"/>
  <c r="C15" i="1"/>
  <c r="C17" i="1" s="1"/>
  <c r="C79" i="1" s="1"/>
  <c r="D323" i="1" l="1"/>
  <c r="D200" i="1"/>
  <c r="D141" i="1"/>
  <c r="D227" i="1"/>
  <c r="C329" i="1"/>
  <c r="D329" i="1" s="1"/>
  <c r="E329" i="1" s="1"/>
  <c r="F329" i="1" s="1"/>
  <c r="G329" i="1" s="1"/>
  <c r="H329" i="1" s="1"/>
  <c r="G227" i="1"/>
  <c r="H227" i="1"/>
  <c r="F227" i="1"/>
  <c r="E227" i="1"/>
  <c r="C341" i="1"/>
  <c r="D341" i="1" s="1"/>
  <c r="E341" i="1" s="1"/>
  <c r="F341" i="1" s="1"/>
  <c r="G341" i="1" s="1"/>
  <c r="H341" i="1" s="1"/>
  <c r="C331" i="1"/>
  <c r="D331" i="1" s="1"/>
  <c r="E331" i="1" s="1"/>
  <c r="F331" i="1" s="1"/>
  <c r="G331" i="1" s="1"/>
  <c r="H331" i="1" s="1"/>
  <c r="C328" i="1"/>
  <c r="D328" i="1" s="1"/>
  <c r="E328" i="1" s="1"/>
  <c r="F328" i="1" s="1"/>
  <c r="G328" i="1" s="1"/>
  <c r="H328" i="1" s="1"/>
  <c r="C313" i="1"/>
  <c r="C190" i="1"/>
  <c r="E87" i="1"/>
  <c r="E340" i="1" s="1"/>
  <c r="D340" i="1"/>
  <c r="E330" i="1"/>
  <c r="C318" i="1"/>
  <c r="C169" i="1"/>
  <c r="C191" i="1"/>
  <c r="C153" i="1"/>
  <c r="L172" i="1"/>
  <c r="C172" i="1" s="1"/>
  <c r="L153" i="1"/>
  <c r="J178" i="1"/>
  <c r="J182" i="1" s="1"/>
  <c r="K174" i="1"/>
  <c r="L174" i="1" s="1"/>
  <c r="C174" i="1" s="1"/>
  <c r="K173" i="1"/>
  <c r="L173" i="1" s="1"/>
  <c r="C173" i="1" s="1"/>
  <c r="K175" i="1"/>
  <c r="L175" i="1" s="1"/>
  <c r="C175" i="1" s="1"/>
  <c r="J160" i="1"/>
  <c r="E103" i="1"/>
  <c r="C64" i="1"/>
  <c r="C74" i="1" s="1"/>
  <c r="C263" i="1" s="1"/>
  <c r="C97" i="1"/>
  <c r="D97" i="1" s="1"/>
  <c r="D90" i="1"/>
  <c r="C94" i="1"/>
  <c r="C82" i="1"/>
  <c r="C347" i="1" s="1"/>
  <c r="C349" i="1" s="1"/>
  <c r="C176" i="1" l="1"/>
  <c r="C178" i="1" s="1"/>
  <c r="D172" i="1"/>
  <c r="E202" i="1"/>
  <c r="E136" i="1"/>
  <c r="F202" i="1"/>
  <c r="F136" i="1"/>
  <c r="H202" i="1"/>
  <c r="H136" i="1"/>
  <c r="G202" i="1"/>
  <c r="G136" i="1"/>
  <c r="D202" i="1"/>
  <c r="D136" i="1"/>
  <c r="D335" i="1"/>
  <c r="D355" i="1" s="1"/>
  <c r="E335" i="1"/>
  <c r="E355" i="1" s="1"/>
  <c r="C343" i="1"/>
  <c r="C345" i="1" s="1"/>
  <c r="F336" i="1" s="1"/>
  <c r="F356" i="1" s="1"/>
  <c r="C192" i="1"/>
  <c r="H337" i="1"/>
  <c r="D337" i="1"/>
  <c r="E337" i="1"/>
  <c r="F337" i="1"/>
  <c r="G337" i="1"/>
  <c r="D317" i="1"/>
  <c r="D168" i="1" s="1"/>
  <c r="D123" i="1" s="1"/>
  <c r="J183" i="1"/>
  <c r="C320" i="1"/>
  <c r="E323" i="1"/>
  <c r="E317" i="1" s="1"/>
  <c r="E168" i="1" s="1"/>
  <c r="D93" i="1"/>
  <c r="D94" i="1" s="1"/>
  <c r="D324" i="1"/>
  <c r="D311" i="1"/>
  <c r="D151" i="1" s="1"/>
  <c r="F330" i="1"/>
  <c r="C83" i="1"/>
  <c r="K156" i="1"/>
  <c r="L176" i="1"/>
  <c r="L178" i="1" s="1"/>
  <c r="C73" i="1"/>
  <c r="C112" i="1"/>
  <c r="F103" i="1"/>
  <c r="E97" i="1"/>
  <c r="D96" i="1"/>
  <c r="F87" i="1"/>
  <c r="E90" i="1"/>
  <c r="K180" i="1" l="1"/>
  <c r="L180" i="1" s="1"/>
  <c r="C180" i="1" s="1"/>
  <c r="C262" i="1"/>
  <c r="C282" i="1"/>
  <c r="E172" i="1"/>
  <c r="E123" i="1"/>
  <c r="D120" i="1"/>
  <c r="D336" i="1"/>
  <c r="D356" i="1" s="1"/>
  <c r="H336" i="1"/>
  <c r="H356" i="1" s="1"/>
  <c r="G336" i="1"/>
  <c r="G356" i="1" s="1"/>
  <c r="E336" i="1"/>
  <c r="E356" i="1" s="1"/>
  <c r="E311" i="1"/>
  <c r="E151" i="1" s="1"/>
  <c r="D99" i="1"/>
  <c r="D100" i="1" s="1"/>
  <c r="D316" i="1"/>
  <c r="D312" i="1"/>
  <c r="F323" i="1"/>
  <c r="F340" i="1"/>
  <c r="F335" i="1" s="1"/>
  <c r="E93" i="1"/>
  <c r="E94" i="1" s="1"/>
  <c r="E324" i="1"/>
  <c r="G330" i="1"/>
  <c r="L156" i="1"/>
  <c r="G103" i="1"/>
  <c r="F97" i="1"/>
  <c r="E96" i="1"/>
  <c r="G87" i="1"/>
  <c r="F90" i="1"/>
  <c r="C264" i="1" l="1"/>
  <c r="C265" i="1" s="1"/>
  <c r="C269" i="1" s="1"/>
  <c r="F172" i="1"/>
  <c r="D338" i="1"/>
  <c r="D102" i="1" s="1"/>
  <c r="D118" i="1" s="1"/>
  <c r="E120" i="1"/>
  <c r="E338" i="1"/>
  <c r="E102" i="1" s="1"/>
  <c r="E118" i="1" s="1"/>
  <c r="C182" i="1"/>
  <c r="E99" i="1"/>
  <c r="E100" i="1" s="1"/>
  <c r="F338" i="1"/>
  <c r="F102" i="1" s="1"/>
  <c r="F118" i="1" s="1"/>
  <c r="F355" i="1"/>
  <c r="D313" i="1"/>
  <c r="D152" i="1"/>
  <c r="D167" i="1"/>
  <c r="D318" i="1"/>
  <c r="G323" i="1"/>
  <c r="G340" i="1"/>
  <c r="G335" i="1" s="1"/>
  <c r="F311" i="1"/>
  <c r="F151" i="1" s="1"/>
  <c r="F317" i="1"/>
  <c r="F168" i="1" s="1"/>
  <c r="F123" i="1" s="1"/>
  <c r="E316" i="1"/>
  <c r="E312" i="1"/>
  <c r="F93" i="1"/>
  <c r="F94" i="1" s="1"/>
  <c r="F324" i="1"/>
  <c r="H330" i="1"/>
  <c r="C156" i="1"/>
  <c r="L158" i="1"/>
  <c r="L160" i="1" s="1"/>
  <c r="L182" i="1"/>
  <c r="H103" i="1"/>
  <c r="G97" i="1"/>
  <c r="F96" i="1"/>
  <c r="H87" i="1"/>
  <c r="C304" i="1" s="1" a="1"/>
  <c r="G90" i="1"/>
  <c r="C304" i="1" l="1"/>
  <c r="C306" i="1" s="1"/>
  <c r="E306" i="1"/>
  <c r="F306" i="1"/>
  <c r="F127" i="1" s="1"/>
  <c r="G306" i="1"/>
  <c r="H306" i="1"/>
  <c r="D306" i="1"/>
  <c r="C268" i="1"/>
  <c r="C270" i="1"/>
  <c r="E105" i="1"/>
  <c r="E106" i="1" s="1"/>
  <c r="G172" i="1"/>
  <c r="D105" i="1"/>
  <c r="D169" i="1"/>
  <c r="D122" i="1"/>
  <c r="D121" i="1"/>
  <c r="F120" i="1"/>
  <c r="C158" i="1"/>
  <c r="C160" i="1" s="1"/>
  <c r="C183" i="1" s="1"/>
  <c r="D156" i="1"/>
  <c r="E156" i="1" s="1"/>
  <c r="F156" i="1" s="1"/>
  <c r="G156" i="1" s="1"/>
  <c r="H156" i="1" s="1"/>
  <c r="G338" i="1"/>
  <c r="G102" i="1" s="1"/>
  <c r="G118" i="1" s="1"/>
  <c r="G355" i="1"/>
  <c r="L183" i="1"/>
  <c r="D320" i="1"/>
  <c r="D321" i="1" s="1"/>
  <c r="E152" i="1"/>
  <c r="E121" i="1" s="1"/>
  <c r="E313" i="1"/>
  <c r="F99" i="1"/>
  <c r="F100" i="1" s="1"/>
  <c r="F316" i="1"/>
  <c r="F312" i="1"/>
  <c r="H323" i="1"/>
  <c r="H340" i="1"/>
  <c r="H335" i="1" s="1"/>
  <c r="G93" i="1"/>
  <c r="G94" i="1" s="1"/>
  <c r="G324" i="1"/>
  <c r="E167" i="1"/>
  <c r="E318" i="1"/>
  <c r="G317" i="1"/>
  <c r="G168" i="1" s="1"/>
  <c r="G123" i="1" s="1"/>
  <c r="G311" i="1"/>
  <c r="H97" i="1"/>
  <c r="H96" i="1" s="1"/>
  <c r="G96" i="1"/>
  <c r="H90" i="1"/>
  <c r="C271" i="1" l="1"/>
  <c r="H172" i="1"/>
  <c r="D106" i="1"/>
  <c r="E169" i="1"/>
  <c r="E122" i="1"/>
  <c r="F128" i="1"/>
  <c r="F354" i="1"/>
  <c r="H338" i="1"/>
  <c r="H102" i="1" s="1"/>
  <c r="H118" i="1" s="1"/>
  <c r="H355" i="1"/>
  <c r="F105" i="1"/>
  <c r="G99" i="1"/>
  <c r="G100" i="1" s="1"/>
  <c r="E320" i="1"/>
  <c r="E321" i="1" s="1"/>
  <c r="G127" i="1"/>
  <c r="G312" i="1"/>
  <c r="G152" i="1" s="1"/>
  <c r="G316" i="1"/>
  <c r="H93" i="1"/>
  <c r="H94" i="1" s="1"/>
  <c r="H324" i="1"/>
  <c r="E127" i="1"/>
  <c r="D127" i="1"/>
  <c r="H127" i="1"/>
  <c r="G151" i="1"/>
  <c r="H311" i="1"/>
  <c r="H317" i="1"/>
  <c r="H168" i="1" s="1"/>
  <c r="H123" i="1" s="1"/>
  <c r="F313" i="1"/>
  <c r="F152" i="1"/>
  <c r="F121" i="1" s="1"/>
  <c r="F167" i="1"/>
  <c r="F318" i="1"/>
  <c r="G120" i="1" l="1"/>
  <c r="F169" i="1"/>
  <c r="F122" i="1"/>
  <c r="G121" i="1"/>
  <c r="E128" i="1"/>
  <c r="E354" i="1"/>
  <c r="H128" i="1"/>
  <c r="H354" i="1"/>
  <c r="G128" i="1"/>
  <c r="G354" i="1"/>
  <c r="D128" i="1"/>
  <c r="D354" i="1"/>
  <c r="D357" i="1" s="1"/>
  <c r="G105" i="1"/>
  <c r="H99" i="1"/>
  <c r="F106" i="1"/>
  <c r="G313" i="1"/>
  <c r="H312" i="1"/>
  <c r="H152" i="1" s="1"/>
  <c r="H121" i="1" s="1"/>
  <c r="H316" i="1"/>
  <c r="H151" i="1"/>
  <c r="H120" i="1" s="1"/>
  <c r="F320" i="1"/>
  <c r="G167" i="1"/>
  <c r="G318" i="1"/>
  <c r="H100" i="1" l="1"/>
  <c r="C253" i="1"/>
  <c r="C255" i="1" s="1"/>
  <c r="G169" i="1"/>
  <c r="G122" i="1"/>
  <c r="H105" i="1"/>
  <c r="H106" i="1" s="1"/>
  <c r="D155" i="1"/>
  <c r="D158" i="1" s="1"/>
  <c r="E353" i="1"/>
  <c r="E357" i="1" s="1"/>
  <c r="G106" i="1"/>
  <c r="G320" i="1"/>
  <c r="G321" i="1" s="1"/>
  <c r="H313" i="1"/>
  <c r="F321" i="1"/>
  <c r="H318" i="1"/>
  <c r="H167" i="1"/>
  <c r="H169" i="1" l="1"/>
  <c r="H122" i="1"/>
  <c r="H320" i="1"/>
  <c r="H321" i="1" s="1"/>
  <c r="E155" i="1"/>
  <c r="E158" i="1" s="1"/>
  <c r="F353" i="1"/>
  <c r="F357" i="1" s="1"/>
  <c r="G353" i="1" l="1"/>
  <c r="G357" i="1" s="1"/>
  <c r="F155" i="1"/>
  <c r="F158" i="1" s="1"/>
  <c r="H353" i="1" l="1"/>
  <c r="H357" i="1" s="1"/>
  <c r="H155" i="1" s="1"/>
  <c r="H158" i="1" s="1"/>
  <c r="G155" i="1"/>
  <c r="G158" i="1" s="1"/>
  <c r="D240" i="1" l="1"/>
  <c r="D230" i="1"/>
  <c r="D213" i="1"/>
  <c r="D215" i="1" s="1"/>
  <c r="D242" i="1"/>
  <c r="D237" i="1" s="1"/>
  <c r="D248" i="1" s="1"/>
  <c r="D119" i="1" s="1"/>
  <c r="D210" i="1"/>
  <c r="D247" i="1" l="1"/>
  <c r="D249" i="1" s="1"/>
  <c r="D108" i="1" s="1"/>
  <c r="D110" i="1" s="1"/>
  <c r="D111" i="1" s="1"/>
  <c r="D112" i="1" s="1"/>
  <c r="D238" i="1"/>
  <c r="E234" i="1" s="1"/>
  <c r="E242" i="1" s="1"/>
  <c r="E237" i="1" s="1"/>
  <c r="E248" i="1" s="1"/>
  <c r="E119" i="1" s="1"/>
  <c r="D175" i="1" l="1"/>
  <c r="E240" i="1"/>
  <c r="E238" i="1"/>
  <c r="D180" i="1"/>
  <c r="D117" i="1"/>
  <c r="D124" i="1" s="1"/>
  <c r="D130" i="1" s="1"/>
  <c r="D199" i="1" l="1"/>
  <c r="D203" i="1" s="1"/>
  <c r="F234" i="1"/>
  <c r="E175" i="1"/>
  <c r="D206" i="1" l="1"/>
  <c r="D207" i="1"/>
  <c r="D220" i="1"/>
  <c r="F242" i="1"/>
  <c r="F237" i="1" s="1"/>
  <c r="F248" i="1" s="1"/>
  <c r="F119" i="1" s="1"/>
  <c r="F240" i="1"/>
  <c r="F238" i="1" l="1"/>
  <c r="F175" i="1" s="1"/>
  <c r="D208" i="1"/>
  <c r="D221" i="1"/>
  <c r="D222" i="1" s="1"/>
  <c r="D226" i="1" s="1"/>
  <c r="D133" i="1"/>
  <c r="G234" i="1" l="1"/>
  <c r="D228" i="1"/>
  <c r="D245" i="1" s="1"/>
  <c r="D246" i="1" s="1"/>
  <c r="D134" i="1"/>
  <c r="D137" i="1" s="1"/>
  <c r="D139" i="1" s="1"/>
  <c r="D142" i="1" s="1"/>
  <c r="E205" i="1"/>
  <c r="D173" i="1"/>
  <c r="G240" i="1"/>
  <c r="G242" i="1"/>
  <c r="G237" i="1" s="1"/>
  <c r="G248" i="1" s="1"/>
  <c r="G119" i="1" s="1"/>
  <c r="G238" i="1" l="1"/>
  <c r="G175" i="1" s="1"/>
  <c r="E210" i="1"/>
  <c r="E213" i="1"/>
  <c r="E215" i="1" s="1"/>
  <c r="D150" i="1"/>
  <c r="E141" i="1"/>
  <c r="D174" i="1"/>
  <c r="D176" i="1" s="1"/>
  <c r="D178" i="1" s="1"/>
  <c r="D182" i="1" s="1"/>
  <c r="E224" i="1"/>
  <c r="H234" i="1" l="1"/>
  <c r="H242" i="1" s="1"/>
  <c r="H237" i="1" s="1"/>
  <c r="D153" i="1"/>
  <c r="D160" i="1" s="1"/>
  <c r="D183" i="1" s="1"/>
  <c r="E200" i="1"/>
  <c r="E230" i="1"/>
  <c r="E247" i="1" s="1"/>
  <c r="E249" i="1" s="1"/>
  <c r="E108" i="1" s="1"/>
  <c r="E110" i="1" s="1"/>
  <c r="H248" i="1" l="1"/>
  <c r="H119" i="1" s="1"/>
  <c r="H238" i="1"/>
  <c r="H175" i="1" s="1"/>
  <c r="H240" i="1"/>
  <c r="E111" i="1"/>
  <c r="E112" i="1" s="1"/>
  <c r="E117" i="1" l="1"/>
  <c r="E124" i="1" s="1"/>
  <c r="E130" i="1" s="1"/>
  <c r="E180" i="1"/>
  <c r="E199" i="1" l="1"/>
  <c r="E203" i="1" s="1"/>
  <c r="E206" i="1" l="1"/>
  <c r="E207" i="1"/>
  <c r="E220" i="1"/>
  <c r="E221" i="1" l="1"/>
  <c r="E222" i="1" s="1"/>
  <c r="E226" i="1" s="1"/>
  <c r="E133" i="1"/>
  <c r="E208" i="1"/>
  <c r="E134" i="1" l="1"/>
  <c r="E137" i="1" s="1"/>
  <c r="E139" i="1" s="1"/>
  <c r="E142" i="1" s="1"/>
  <c r="E228" i="1"/>
  <c r="E245" i="1" s="1"/>
  <c r="E246" i="1" s="1"/>
  <c r="E173" i="1"/>
  <c r="F205" i="1"/>
  <c r="F210" i="1" l="1"/>
  <c r="F213" i="1"/>
  <c r="F215" i="1" s="1"/>
  <c r="E150" i="1"/>
  <c r="F141" i="1"/>
  <c r="E174" i="1"/>
  <c r="E176" i="1" s="1"/>
  <c r="E178" i="1" s="1"/>
  <c r="E182" i="1" s="1"/>
  <c r="F224" i="1"/>
  <c r="F230" i="1" l="1"/>
  <c r="F247" i="1" s="1"/>
  <c r="F249" i="1" s="1"/>
  <c r="F108" i="1" s="1"/>
  <c r="F110" i="1" s="1"/>
  <c r="F200" i="1"/>
  <c r="E153" i="1"/>
  <c r="E160" i="1" s="1"/>
  <c r="E183" i="1" s="1"/>
  <c r="F111" i="1" l="1"/>
  <c r="F112" i="1" s="1"/>
  <c r="F117" i="1" l="1"/>
  <c r="F124" i="1" s="1"/>
  <c r="F130" i="1" s="1"/>
  <c r="F180" i="1"/>
  <c r="F199" i="1" l="1"/>
  <c r="F203" i="1" s="1"/>
  <c r="F206" i="1" l="1"/>
  <c r="F220" i="1"/>
  <c r="F207" i="1"/>
  <c r="F133" i="1" l="1"/>
  <c r="F221" i="1"/>
  <c r="F222" i="1" s="1"/>
  <c r="F226" i="1" s="1"/>
  <c r="F208" i="1"/>
  <c r="F134" i="1" l="1"/>
  <c r="F137" i="1" s="1"/>
  <c r="F139" i="1" s="1"/>
  <c r="F142" i="1" s="1"/>
  <c r="F228" i="1"/>
  <c r="F245" i="1" s="1"/>
  <c r="F246" i="1" s="1"/>
  <c r="G205" i="1"/>
  <c r="F173" i="1"/>
  <c r="G141" i="1" l="1"/>
  <c r="F150" i="1"/>
  <c r="G210" i="1"/>
  <c r="G213" i="1"/>
  <c r="G215" i="1" s="1"/>
  <c r="G224" i="1"/>
  <c r="F174" i="1"/>
  <c r="F176" i="1" s="1"/>
  <c r="F178" i="1" s="1"/>
  <c r="F182" i="1" s="1"/>
  <c r="G230" i="1" l="1"/>
  <c r="G247" i="1" s="1"/>
  <c r="G249" i="1" s="1"/>
  <c r="G108" i="1" s="1"/>
  <c r="G110" i="1" s="1"/>
  <c r="F153" i="1"/>
  <c r="F160" i="1" s="1"/>
  <c r="F183" i="1" s="1"/>
  <c r="G200" i="1"/>
  <c r="G111" i="1" l="1"/>
  <c r="G112" i="1" s="1"/>
  <c r="G117" i="1" l="1"/>
  <c r="G124" i="1" s="1"/>
  <c r="G130" i="1" s="1"/>
  <c r="G180" i="1"/>
  <c r="G199" i="1" l="1"/>
  <c r="G203" i="1" s="1"/>
  <c r="G220" i="1" l="1"/>
  <c r="G207" i="1"/>
  <c r="G206" i="1"/>
  <c r="G221" i="1" l="1"/>
  <c r="G222" i="1" s="1"/>
  <c r="G226" i="1" s="1"/>
  <c r="G133" i="1"/>
  <c r="G208" i="1"/>
  <c r="G173" i="1" l="1"/>
  <c r="H205" i="1"/>
  <c r="G134" i="1"/>
  <c r="G228" i="1"/>
  <c r="G245" i="1" s="1"/>
  <c r="G246" i="1" s="1"/>
  <c r="G137" i="1"/>
  <c r="G139" i="1" s="1"/>
  <c r="G142" i="1" s="1"/>
  <c r="H141" i="1" l="1"/>
  <c r="G150" i="1"/>
  <c r="G174" i="1"/>
  <c r="H224" i="1"/>
  <c r="H210" i="1"/>
  <c r="H213" i="1"/>
  <c r="H215" i="1" s="1"/>
  <c r="G176" i="1"/>
  <c r="G178" i="1" s="1"/>
  <c r="G182" i="1" s="1"/>
  <c r="H230" i="1" l="1"/>
  <c r="H247" i="1" s="1"/>
  <c r="H249" i="1" s="1"/>
  <c r="H108" i="1" s="1"/>
  <c r="H110" i="1" s="1"/>
  <c r="H200" i="1"/>
  <c r="G153" i="1"/>
  <c r="G160" i="1" s="1"/>
  <c r="G183" i="1" s="1"/>
  <c r="H111" i="1" l="1"/>
  <c r="H112" i="1" s="1"/>
  <c r="H117" i="1" l="1"/>
  <c r="H124" i="1" s="1"/>
  <c r="H130" i="1" s="1"/>
  <c r="H180" i="1"/>
  <c r="H199" i="1" l="1"/>
  <c r="H203" i="1" s="1"/>
  <c r="H220" i="1" l="1"/>
  <c r="H207" i="1"/>
  <c r="H206" i="1"/>
  <c r="H221" i="1" l="1"/>
  <c r="H222" i="1" s="1"/>
  <c r="H226" i="1" s="1"/>
  <c r="H133" i="1"/>
  <c r="H208" i="1"/>
  <c r="H134" i="1" l="1"/>
  <c r="H137" i="1" s="1"/>
  <c r="H139" i="1" s="1"/>
  <c r="H142" i="1" s="1"/>
  <c r="H150" i="1" s="1"/>
  <c r="H228" i="1"/>
  <c r="H174" i="1" s="1"/>
  <c r="H173" i="1"/>
  <c r="H176" i="1" l="1"/>
  <c r="H178" i="1" s="1"/>
  <c r="H182" i="1" s="1"/>
  <c r="H245" i="1"/>
  <c r="H246" i="1" s="1"/>
  <c r="H153" i="1"/>
  <c r="H160" i="1" s="1"/>
  <c r="C257" i="1"/>
  <c r="C256" i="1" l="1"/>
  <c r="C259" i="1" s="1"/>
  <c r="C275" i="1" s="1"/>
  <c r="J2" i="1"/>
  <c r="H183" i="1"/>
  <c r="C276" i="1" l="1"/>
  <c r="C274" i="1"/>
  <c r="C277" i="1" l="1"/>
  <c r="H282" i="1"/>
  <c r="J282" i="1" s="1"/>
  <c r="J4" i="1" s="1"/>
  <c r="I282" i="1" l="1"/>
  <c r="C295" i="1" s="1"/>
  <c r="C299" i="1" l="1"/>
  <c r="J3" i="1"/>
  <c r="C28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F9224B-9129-41BA-9DBB-4594100358C5}" keepAlive="1" name="Query - Table005 (Page 1)" description="Connection to the 'Table005 (Page 1)' query in the workbook." type="5" refreshedVersion="0" background="1">
    <dbPr connection="Provider=Microsoft.Mashup.OleDb.1;Data Source=$Workbook$;Location=&quot;Table005 (Page 1)&quot;;Extended Properties=&quot;&quot;" command="SELECT * FROM [Table005 (Page 1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<sst xmlns="http://schemas.openxmlformats.org/spreadsheetml/2006/main" count="289" uniqueCount="208">
  <si>
    <t>US$, millions</t>
  </si>
  <si>
    <t>Assumptions</t>
  </si>
  <si>
    <t>General</t>
  </si>
  <si>
    <t>Entry Multiple</t>
  </si>
  <si>
    <t>Exit Multiple</t>
  </si>
  <si>
    <t>LTM EBITDA</t>
  </si>
  <si>
    <t>Enterprise Value</t>
  </si>
  <si>
    <t>Minimum Cash</t>
  </si>
  <si>
    <t>M&amp;A fee</t>
  </si>
  <si>
    <t>Management Rollover</t>
  </si>
  <si>
    <t>Management Options</t>
  </si>
  <si>
    <t>Tax rate</t>
  </si>
  <si>
    <t xml:space="preserve"> </t>
  </si>
  <si>
    <t xml:space="preserve">Financing </t>
  </si>
  <si>
    <t>Revolver</t>
  </si>
  <si>
    <t>Revolver interest</t>
  </si>
  <si>
    <t>Revolver Commitment</t>
  </si>
  <si>
    <t>Revolver Commitment fee</t>
  </si>
  <si>
    <t>Term Loan</t>
  </si>
  <si>
    <t>Term Loan Interest</t>
  </si>
  <si>
    <t>Term Loan Mandatory Amortization</t>
  </si>
  <si>
    <t>Revolver - Multiple of EBITDA</t>
  </si>
  <si>
    <t>Revolver $</t>
  </si>
  <si>
    <t>Term Loan - Multiple of EBITDA</t>
  </si>
  <si>
    <t>Revolver commitment</t>
  </si>
  <si>
    <t>Inventory</t>
  </si>
  <si>
    <t>PP&amp;E</t>
  </si>
  <si>
    <t>Mezzanine</t>
  </si>
  <si>
    <t>Mezzanine - Multiple of EBITDA</t>
  </si>
  <si>
    <t>Mezzanine  - $</t>
  </si>
  <si>
    <t>Mezzanine  - Cash Interest</t>
  </si>
  <si>
    <t>Mezzanine  - PIK Interest</t>
  </si>
  <si>
    <t>OIL - Term Loan</t>
  </si>
  <si>
    <t>OIL - Mezzainine Loan</t>
  </si>
  <si>
    <t>Cash Interest</t>
  </si>
  <si>
    <t xml:space="preserve">Interest as % of Avg. Balance </t>
  </si>
  <si>
    <t>Yes</t>
  </si>
  <si>
    <t>No</t>
  </si>
  <si>
    <t>Purchase Accounting</t>
  </si>
  <si>
    <t>Excess Allocated to PP&amp;E</t>
  </si>
  <si>
    <t>Life of Incremental D&amp;A</t>
  </si>
  <si>
    <t>Revenue Growth</t>
  </si>
  <si>
    <t>Model Assumptions</t>
  </si>
  <si>
    <t>CapEx % of Revenue</t>
  </si>
  <si>
    <t>Sources and Uses</t>
  </si>
  <si>
    <t xml:space="preserve">Sources </t>
  </si>
  <si>
    <t>Uses</t>
  </si>
  <si>
    <t>Existing Debt</t>
  </si>
  <si>
    <t>Purchase price</t>
  </si>
  <si>
    <t>Purchase Price</t>
  </si>
  <si>
    <t>Refinance Existsing Debt</t>
  </si>
  <si>
    <t>M&amp;A Fee</t>
  </si>
  <si>
    <t>Financing Fees</t>
  </si>
  <si>
    <t>Financing fee - Term Loan and Mezzanine</t>
  </si>
  <si>
    <t>Total Uses</t>
  </si>
  <si>
    <t>Total Sources</t>
  </si>
  <si>
    <t>Amount of Equity Required</t>
  </si>
  <si>
    <t>Sponsor Equity</t>
  </si>
  <si>
    <t>Sponsor Ownership</t>
  </si>
  <si>
    <t xml:space="preserve">Income Statement </t>
  </si>
  <si>
    <t xml:space="preserve">Revenue </t>
  </si>
  <si>
    <t>Revenue Growth - %</t>
  </si>
  <si>
    <t>Cost of Goods Sold</t>
  </si>
  <si>
    <t>Cost of Goods Sold - %</t>
  </si>
  <si>
    <t>Gross Profit</t>
  </si>
  <si>
    <t>Gross Profit - %</t>
  </si>
  <si>
    <t>SG&amp;A</t>
  </si>
  <si>
    <t>SG&amp;A - %</t>
  </si>
  <si>
    <t>EBITDA</t>
  </si>
  <si>
    <t>EBITDA Margin - %</t>
  </si>
  <si>
    <t>D&amp;A</t>
  </si>
  <si>
    <t>D&amp;A - % of Revenue</t>
  </si>
  <si>
    <t>EBIT</t>
  </si>
  <si>
    <t>EBIT Margin - %</t>
  </si>
  <si>
    <t>Interest Expense</t>
  </si>
  <si>
    <t>EBT</t>
  </si>
  <si>
    <t>Tax Expense</t>
  </si>
  <si>
    <t>Net Income</t>
  </si>
  <si>
    <t>Cash Flow Statement</t>
  </si>
  <si>
    <t>Cash Flow from Operations Activities</t>
  </si>
  <si>
    <t>Cash Flow from Investing Activities</t>
  </si>
  <si>
    <t>Cash Flow from Financing Activities</t>
  </si>
  <si>
    <t>PIK Interest</t>
  </si>
  <si>
    <t>Change in Accounts Receivable</t>
  </si>
  <si>
    <t>Change in Inventory</t>
  </si>
  <si>
    <t>Change in Accounts Payable</t>
  </si>
  <si>
    <t>Change in Accounts Liabilities</t>
  </si>
  <si>
    <t>Cash Flow from Operations</t>
  </si>
  <si>
    <t>CapEx</t>
  </si>
  <si>
    <t>CapEx Schedule</t>
  </si>
  <si>
    <t>CapEx -% of sales</t>
  </si>
  <si>
    <t>Free cash Flow</t>
  </si>
  <si>
    <t>Cash Flow from Investing</t>
  </si>
  <si>
    <t>Mandatory/ Amortization - Term Loan</t>
  </si>
  <si>
    <t>Borrowing/ (Repayment) - Mezzaine</t>
  </si>
  <si>
    <t>Borrowing/ (Repayment) - Term Loan</t>
  </si>
  <si>
    <t>Borrowing/ (Repayment) - Revolver</t>
  </si>
  <si>
    <t>Cash Flow from Financing</t>
  </si>
  <si>
    <t>Balance Sheet</t>
  </si>
  <si>
    <t>x</t>
  </si>
  <si>
    <t>Assets</t>
  </si>
  <si>
    <t>Current Assets</t>
  </si>
  <si>
    <t xml:space="preserve">Cash </t>
  </si>
  <si>
    <t>Accounts Receivables</t>
  </si>
  <si>
    <t>Total Current Assets</t>
  </si>
  <si>
    <t>Non-Current Assets</t>
  </si>
  <si>
    <t xml:space="preserve">Goodwill </t>
  </si>
  <si>
    <t>Total Assets</t>
  </si>
  <si>
    <t>Liabilities + Shareholder's Equity</t>
  </si>
  <si>
    <t>Liabilities</t>
  </si>
  <si>
    <t>Account Payable</t>
  </si>
  <si>
    <t>Account Liabilities</t>
  </si>
  <si>
    <t>Current Liabilities</t>
  </si>
  <si>
    <t>Non-Current Liabilities</t>
  </si>
  <si>
    <t>Total Non-Current Liabilities</t>
  </si>
  <si>
    <t>Total Current Liabilities</t>
  </si>
  <si>
    <t>Total Liablilities</t>
  </si>
  <si>
    <t>Shareholder's Equity</t>
  </si>
  <si>
    <t>Total Liabilities + Shareholder's Equity</t>
  </si>
  <si>
    <t>check</t>
  </si>
  <si>
    <t>Pre-Transaction</t>
  </si>
  <si>
    <t xml:space="preserve">Adjustments </t>
  </si>
  <si>
    <t>Post-Transactions</t>
  </si>
  <si>
    <t>2012A</t>
  </si>
  <si>
    <t>Finanacing Fees</t>
  </si>
  <si>
    <t>Adjustments</t>
  </si>
  <si>
    <t>Take out old debt, put in new debt</t>
  </si>
  <si>
    <t>Take out old S/E, Put in new S/E</t>
  </si>
  <si>
    <t>Capitalize financing fees</t>
  </si>
  <si>
    <t>Adjust cash balance</t>
  </si>
  <si>
    <t>Allocate 85% of the excess to goodwill and 15% to PP&amp;E</t>
  </si>
  <si>
    <t>Allocation of Excess Purchase price</t>
  </si>
  <si>
    <t>Adjustment to Liabilities + S/E</t>
  </si>
  <si>
    <t>Adjustment to Assets</t>
  </si>
  <si>
    <t>Excess Purchase Price</t>
  </si>
  <si>
    <t>Goodwill - 85%</t>
  </si>
  <si>
    <t>Excess Allocated to Goodwill</t>
  </si>
  <si>
    <t>PP&amp;E -15%</t>
  </si>
  <si>
    <t>Net Working Capital Schedule</t>
  </si>
  <si>
    <t>Investory</t>
  </si>
  <si>
    <t>Net Working Capital</t>
  </si>
  <si>
    <t>Changes in Net Workin Captital</t>
  </si>
  <si>
    <t>Revenue</t>
  </si>
  <si>
    <t>COGS</t>
  </si>
  <si>
    <t>Days</t>
  </si>
  <si>
    <t>Days Investory Held</t>
  </si>
  <si>
    <t xml:space="preserve">Days Payable Outstanding </t>
  </si>
  <si>
    <t>Accured Liabilities - % of Revenue</t>
  </si>
  <si>
    <t>Days Sales Outstanding</t>
  </si>
  <si>
    <t>D&amp;A Schedule</t>
  </si>
  <si>
    <t>D&amp;A - Base PP&amp;E</t>
  </si>
  <si>
    <t>D&amp;A - Increamental PP&amp;E</t>
  </si>
  <si>
    <t>Depreciations and Amortization</t>
  </si>
  <si>
    <t>Increamental PP&amp;E</t>
  </si>
  <si>
    <t>Useful life</t>
  </si>
  <si>
    <t>Useful life of Financing fees</t>
  </si>
  <si>
    <t>Useful Life</t>
  </si>
  <si>
    <t>Amortization of Financing Fees</t>
  </si>
  <si>
    <t>PP&amp;E Schedule</t>
  </si>
  <si>
    <t>Opening Balance</t>
  </si>
  <si>
    <t>+ CapEx</t>
  </si>
  <si>
    <t>- Base D&amp;A</t>
  </si>
  <si>
    <t>- Increamental D&amp;A</t>
  </si>
  <si>
    <t>Ending Balance</t>
  </si>
  <si>
    <t>Deferred Tax Liability</t>
  </si>
  <si>
    <t>Debt Schedule</t>
  </si>
  <si>
    <t>Cash Available for Revolver Repayment</t>
  </si>
  <si>
    <t>Free Cash Flow</t>
  </si>
  <si>
    <t>Opening Cash Balance</t>
  </si>
  <si>
    <t>Minimum Cash Balance</t>
  </si>
  <si>
    <t>Mandatory Amortization</t>
  </si>
  <si>
    <t>Borrowing</t>
  </si>
  <si>
    <t>Repayments</t>
  </si>
  <si>
    <t>Cash Available for Term Loan</t>
  </si>
  <si>
    <t>Borrowing / (Repayments)</t>
  </si>
  <si>
    <t>Cash Interest Rate</t>
  </si>
  <si>
    <t>PIK Interest Rate</t>
  </si>
  <si>
    <t>Cash Interest Expense</t>
  </si>
  <si>
    <t>PIK Interest Expense</t>
  </si>
  <si>
    <t>PIK Accretion</t>
  </si>
  <si>
    <t>Revolver -Unused</t>
  </si>
  <si>
    <t>Revolver commitment Fee - $</t>
  </si>
  <si>
    <t>Revolver commitment Fee - %</t>
  </si>
  <si>
    <t>Total Cash Interest Expense</t>
  </si>
  <si>
    <t>Total PIK Interest Expense</t>
  </si>
  <si>
    <t>Total Interest Expense</t>
  </si>
  <si>
    <t>Total Debt Metrics</t>
  </si>
  <si>
    <t>Total Debt</t>
  </si>
  <si>
    <t>Debt/ EBITDA</t>
  </si>
  <si>
    <t>Change in Cash</t>
  </si>
  <si>
    <t>Beginning Cash</t>
  </si>
  <si>
    <t>Ending Cash</t>
  </si>
  <si>
    <t>Exit Waterfall</t>
  </si>
  <si>
    <t>2017E EBIDTA</t>
  </si>
  <si>
    <t>(-) Debt</t>
  </si>
  <si>
    <t>(+) Cash</t>
  </si>
  <si>
    <t>(+) Cash From Option Exercise</t>
  </si>
  <si>
    <t>Equity Value</t>
  </si>
  <si>
    <t>Shareholding</t>
  </si>
  <si>
    <t>Total Shareholdings</t>
  </si>
  <si>
    <t>% Ownerhship</t>
  </si>
  <si>
    <t>Proceeds</t>
  </si>
  <si>
    <t>IRR</t>
  </si>
  <si>
    <t>Year</t>
  </si>
  <si>
    <t>Cash Flow to Sponser</t>
  </si>
  <si>
    <t>MoC</t>
  </si>
  <si>
    <t>Check</t>
  </si>
  <si>
    <t>Exist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</si>
</sst>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\x_);_(* \(#,##0.0\x\);_(* &quot;-&quot;??_);_(@_)"/>
    <numFmt numFmtId="165" formatCode="0&quot;A&quot;"/>
    <numFmt numFmtId="166" formatCode="0&quot;E&quot;"/>
    <numFmt numFmtId="167" formatCode="_(* #,##0.0_);_(* \(#,##0.0\);_(* &quot;-&quot;??_);_(@_)"/>
    <numFmt numFmtId="168" formatCode="_(* #,##0_);_(* \(#,##0\);_(* &quot;-&quot;??_);_(@_)"/>
    <numFmt numFmtId="169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64" fontId="2" fillId="2" borderId="0" xfId="0" applyNumberFormat="1" applyFont="1" applyFill="1"/>
    <xf numFmtId="167" fontId="0" fillId="0" borderId="0" xfId="0" applyNumberFormat="1"/>
    <xf numFmtId="168" fontId="0" fillId="0" borderId="0" xfId="0" applyNumberFormat="1"/>
    <xf numFmtId="167" fontId="0" fillId="2" borderId="0" xfId="0" applyNumberFormat="1" applyFill="1"/>
    <xf numFmtId="164" fontId="2" fillId="0" borderId="4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7" fontId="0" fillId="0" borderId="5" xfId="0" applyNumberFormat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 indent="1"/>
    </xf>
    <xf numFmtId="168" fontId="3" fillId="0" borderId="0" xfId="0" applyNumberFormat="1" applyFont="1"/>
    <xf numFmtId="167" fontId="3" fillId="0" borderId="0" xfId="0" applyNumberFormat="1" applyFont="1"/>
    <xf numFmtId="164" fontId="3" fillId="0" borderId="5" xfId="0" applyNumberFormat="1" applyFon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8" fontId="0" fillId="0" borderId="1" xfId="0" applyNumberFormat="1" applyBorder="1"/>
    <xf numFmtId="167" fontId="0" fillId="0" borderId="1" xfId="0" applyNumberFormat="1" applyBorder="1"/>
    <xf numFmtId="168" fontId="2" fillId="0" borderId="0" xfId="0" applyNumberFormat="1" applyFont="1"/>
    <xf numFmtId="167" fontId="2" fillId="0" borderId="0" xfId="0" applyNumberFormat="1" applyFont="1"/>
    <xf numFmtId="168" fontId="2" fillId="0" borderId="2" xfId="0" applyNumberFormat="1" applyFont="1" applyBorder="1"/>
    <xf numFmtId="167" fontId="2" fillId="0" borderId="2" xfId="0" applyNumberFormat="1" applyFont="1" applyBorder="1"/>
    <xf numFmtId="9" fontId="2" fillId="0" borderId="2" xfId="1" applyFont="1" applyBorder="1"/>
    <xf numFmtId="9" fontId="2" fillId="0" borderId="4" xfId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164" fontId="0" fillId="0" borderId="5" xfId="0" quotePrefix="1" applyNumberFormat="1" applyBorder="1" applyAlignment="1">
      <alignment horizontal="left" indent="1"/>
    </xf>
    <xf numFmtId="10" fontId="2" fillId="0" borderId="2" xfId="0" applyNumberFormat="1" applyFont="1" applyBorder="1"/>
    <xf numFmtId="10" fontId="2" fillId="0" borderId="4" xfId="0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 indent="2"/>
    </xf>
    <xf numFmtId="9" fontId="2" fillId="0" borderId="0" xfId="1" applyFont="1" applyBorder="1"/>
    <xf numFmtId="9" fontId="2" fillId="0" borderId="5" xfId="1" applyFont="1" applyBorder="1" applyAlignment="1">
      <alignment horizontal="left"/>
    </xf>
    <xf numFmtId="9" fontId="1" fillId="0" borderId="5" xfId="1" applyFont="1" applyBorder="1" applyAlignment="1">
      <alignment horizontal="left"/>
    </xf>
    <xf numFmtId="9" fontId="1" fillId="0" borderId="0" xfId="1" applyFont="1" applyBorder="1"/>
    <xf numFmtId="0" fontId="5" fillId="0" borderId="0" xfId="0" applyFont="1"/>
    <xf numFmtId="0" fontId="5" fillId="0" borderId="8" xfId="0" applyFont="1" applyBorder="1"/>
    <xf numFmtId="164" fontId="6" fillId="2" borderId="0" xfId="0" applyNumberFormat="1" applyFont="1" applyFill="1"/>
    <xf numFmtId="164" fontId="5" fillId="0" borderId="0" xfId="0" applyNumberFormat="1" applyFont="1"/>
    <xf numFmtId="0" fontId="5" fillId="2" borderId="0" xfId="0" applyFont="1" applyFill="1"/>
    <xf numFmtId="0" fontId="7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2" xfId="0" applyFont="1" applyBorder="1"/>
    <xf numFmtId="9" fontId="6" fillId="0" borderId="2" xfId="1" applyFont="1" applyBorder="1"/>
    <xf numFmtId="9" fontId="6" fillId="0" borderId="0" xfId="1" applyFont="1" applyBorder="1"/>
    <xf numFmtId="9" fontId="5" fillId="0" borderId="0" xfId="1" applyFont="1" applyBorder="1"/>
    <xf numFmtId="167" fontId="5" fillId="0" borderId="0" xfId="0" applyNumberFormat="1" applyFont="1"/>
    <xf numFmtId="167" fontId="6" fillId="0" borderId="0" xfId="0" applyNumberFormat="1" applyFont="1"/>
    <xf numFmtId="169" fontId="1" fillId="0" borderId="0" xfId="1" applyNumberFormat="1" applyFont="1" applyBorder="1" applyAlignment="1"/>
    <xf numFmtId="169" fontId="1" fillId="0" borderId="2" xfId="1" applyNumberFormat="1" applyFont="1" applyBorder="1" applyAlignment="1"/>
    <xf numFmtId="164" fontId="0" fillId="0" borderId="0" xfId="0" applyNumberFormat="1" applyAlignment="1">
      <alignment horizontal="left"/>
    </xf>
    <xf numFmtId="165" fontId="0" fillId="0" borderId="8" xfId="0" applyNumberFormat="1" applyBorder="1"/>
    <xf numFmtId="166" fontId="0" fillId="0" borderId="8" xfId="0" applyNumberFormat="1" applyBorder="1"/>
    <xf numFmtId="168" fontId="0" fillId="0" borderId="2" xfId="0" applyNumberFormat="1" applyBorder="1"/>
    <xf numFmtId="169" fontId="0" fillId="0" borderId="0" xfId="1" applyNumberFormat="1" applyFont="1" applyBorder="1" applyAlignment="1"/>
    <xf numFmtId="10" fontId="0" fillId="0" borderId="0" xfId="1" applyNumberFormat="1" applyFont="1" applyBorder="1" applyAlignment="1"/>
    <xf numFmtId="168" fontId="2" fillId="0" borderId="3" xfId="0" applyNumberFormat="1" applyFont="1" applyBorder="1"/>
    <xf numFmtId="169" fontId="3" fillId="0" borderId="0" xfId="1" applyNumberFormat="1" applyFont="1" applyBorder="1" applyAlignment="1"/>
    <xf numFmtId="169" fontId="3" fillId="0" borderId="0" xfId="1" applyNumberFormat="1" applyFont="1" applyAlignment="1"/>
    <xf numFmtId="9" fontId="3" fillId="0" borderId="0" xfId="1" applyFont="1" applyAlignment="1"/>
    <xf numFmtId="168" fontId="2" fillId="0" borderId="2" xfId="1" applyNumberFormat="1" applyFont="1" applyBorder="1" applyAlignment="1"/>
    <xf numFmtId="9" fontId="2" fillId="0" borderId="2" xfId="1" applyFont="1" applyBorder="1" applyAlignment="1"/>
    <xf numFmtId="168" fontId="2" fillId="0" borderId="0" xfId="1" applyNumberFormat="1" applyFont="1" applyBorder="1" applyAlignment="1"/>
    <xf numFmtId="9" fontId="2" fillId="0" borderId="0" xfId="1" applyFont="1" applyBorder="1" applyAlignment="1"/>
    <xf numFmtId="168" fontId="1" fillId="0" borderId="0" xfId="1" applyNumberFormat="1" applyFont="1" applyBorder="1" applyAlignment="1"/>
    <xf numFmtId="9" fontId="1" fillId="0" borderId="0" xfId="1" applyFont="1" applyBorder="1" applyAlignment="1"/>
    <xf numFmtId="0" fontId="0" fillId="0" borderId="1" xfId="0" applyBorder="1"/>
    <xf numFmtId="9" fontId="0" fillId="0" borderId="7" xfId="1" applyFont="1" applyBorder="1" applyAlignment="1"/>
    <xf numFmtId="9" fontId="0" fillId="0" borderId="0" xfId="1" applyFont="1" applyBorder="1" applyAlignment="1"/>
    <xf numFmtId="168" fontId="0" fillId="0" borderId="0" xfId="0" applyNumberFormat="1" applyAlignment="1">
      <alignment vertical="center"/>
    </xf>
    <xf numFmtId="169" fontId="2" fillId="0" borderId="0" xfId="1" applyNumberFormat="1" applyFont="1" applyBorder="1" applyAlignment="1"/>
    <xf numFmtId="164" fontId="2" fillId="0" borderId="0" xfId="0" applyNumberFormat="1" applyFont="1"/>
    <xf numFmtId="168" fontId="8" fillId="0" borderId="10" xfId="0" applyNumberFormat="1" applyFont="1" applyBorder="1"/>
    <xf numFmtId="169" fontId="0" fillId="0" borderId="1" xfId="1" applyNumberFormat="1" applyFont="1" applyBorder="1" applyAlignment="1"/>
    <xf numFmtId="169" fontId="0" fillId="0" borderId="2" xfId="1" applyNumberFormat="1" applyFont="1" applyBorder="1" applyAlignment="1">
      <alignment horizontal="center"/>
    </xf>
    <xf numFmtId="169" fontId="0" fillId="0" borderId="0" xfId="1" applyNumberFormat="1" applyFont="1" applyAlignment="1">
      <alignment horizontal="center"/>
    </xf>
    <xf numFmtId="169" fontId="2" fillId="0" borderId="11" xfId="1" applyNumberFormat="1" applyFont="1" applyBorder="1" applyAlignment="1">
      <alignment horizontal="center"/>
    </xf>
    <xf numFmtId="169" fontId="8" fillId="0" borderId="0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9" fontId="1" fillId="0" borderId="2" xfId="1" applyNumberFormat="1" applyFont="1" applyBorder="1" applyAlignment="1">
      <alignment horizontal="center"/>
    </xf>
    <xf numFmtId="169" fontId="1" fillId="0" borderId="0" xfId="1" applyNumberFormat="1" applyFont="1" applyBorder="1" applyAlignment="1">
      <alignment horizontal="center"/>
    </xf>
    <xf numFmtId="169" fontId="1" fillId="0" borderId="3" xfId="1" applyNumberFormat="1" applyFont="1" applyBorder="1" applyAlignment="1">
      <alignment horizontal="center"/>
    </xf>
    <xf numFmtId="10" fontId="8" fillId="0" borderId="2" xfId="0" applyNumberFormat="1" applyFont="1" applyBorder="1" applyAlignment="1">
      <alignment horizontal="left"/>
    </xf>
    <xf numFmtId="168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2712-4E42-4E83-B0E7-1503DF6828FD}">
  <dimension ref="A1:AY447"/>
  <sheetViews>
    <sheetView showGridLines="0" tabSelected="1" zoomScale="85" zoomScaleNormal="85" workbookViewId="0">
      <pane ySplit="5" topLeftCell="A6" activePane="bottomLeft" state="frozen"/>
      <selection pane="bottomLeft" activeCell="L20" sqref="L20"/>
    </sheetView>
  </sheetViews>
  <sheetFormatPr defaultRowHeight="14.6" x14ac:dyDescent="0.4"/>
  <cols>
    <col min="1" max="1" width="4.23046875" style="40" customWidth="1"/>
    <col min="2" max="2" width="36.3828125" style="9" bestFit="1" customWidth="1"/>
    <col min="3" max="3" width="10.15234375" style="3" bestFit="1" customWidth="1"/>
    <col min="4" max="4" width="12.4609375" style="3" bestFit="1" customWidth="1"/>
    <col min="5" max="9" width="9.23046875" style="3"/>
    <col min="10" max="10" width="15" style="3" bestFit="1" customWidth="1"/>
    <col min="11" max="11" width="13" style="3" bestFit="1" customWidth="1"/>
    <col min="12" max="12" width="16.61328125" style="3" bestFit="1" customWidth="1"/>
    <col min="13" max="13" width="9.23046875" style="3"/>
    <col min="14" max="15" width="19.23046875" style="3" bestFit="1" customWidth="1"/>
    <col min="16" max="16384" width="9.23046875" style="3"/>
  </cols>
  <sheetData>
    <row r="1" spans="1:11" customFormat="1" x14ac:dyDescent="0.4">
      <c r="A1" s="40"/>
      <c r="B1" s="7"/>
    </row>
    <row r="2" spans="1:11" customFormat="1" x14ac:dyDescent="0.4">
      <c r="A2" s="40"/>
      <c r="B2" s="7"/>
      <c r="I2" t="s">
        <v>206</v>
      </c>
      <c r="J2" s="4">
        <f>H160-H182</f>
        <v>0.25000000000045475</v>
      </c>
      <c r="K2" s="3"/>
    </row>
    <row r="3" spans="1:11" customFormat="1" x14ac:dyDescent="0.4">
      <c r="A3" s="40"/>
      <c r="B3" s="8" t="s">
        <v>0</v>
      </c>
      <c r="I3" t="str">
        <f>I281</f>
        <v>IRR</v>
      </c>
      <c r="J3" s="54">
        <f>$I$282</f>
        <v>0.27590644890467142</v>
      </c>
    </row>
    <row r="4" spans="1:11" customFormat="1" x14ac:dyDescent="0.4">
      <c r="A4" s="40"/>
      <c r="B4" s="7"/>
      <c r="I4" t="s">
        <v>205</v>
      </c>
      <c r="J4" s="1">
        <f>$J$282</f>
        <v>3.3813814251080014</v>
      </c>
    </row>
    <row r="5" spans="1:11" s="30" customFormat="1" ht="15" thickBot="1" x14ac:dyDescent="0.45">
      <c r="A5" s="41"/>
      <c r="B5" s="31"/>
      <c r="C5" s="57">
        <v>2012</v>
      </c>
      <c r="D5" s="58">
        <f>C5+1</f>
        <v>2013</v>
      </c>
      <c r="E5" s="58">
        <f t="shared" ref="E5:H5" si="0">D5+1</f>
        <v>2014</v>
      </c>
      <c r="F5" s="58">
        <f t="shared" si="0"/>
        <v>2015</v>
      </c>
      <c r="G5" s="58">
        <f t="shared" si="0"/>
        <v>2016</v>
      </c>
      <c r="H5" s="58">
        <f t="shared" si="0"/>
        <v>2017</v>
      </c>
    </row>
    <row r="6" spans="1:11" s="1" customFormat="1" x14ac:dyDescent="0.4">
      <c r="A6" s="40"/>
      <c r="B6" s="9"/>
    </row>
    <row r="7" spans="1:11" s="2" customFormat="1" x14ac:dyDescent="0.4">
      <c r="A7" s="42" t="s">
        <v>99</v>
      </c>
      <c r="B7" s="10" t="s">
        <v>1</v>
      </c>
    </row>
    <row r="8" spans="1:11" s="1" customFormat="1" x14ac:dyDescent="0.4">
      <c r="A8" s="43"/>
      <c r="B8" s="7"/>
    </row>
    <row r="9" spans="1:11" s="1" customFormat="1" x14ac:dyDescent="0.4">
      <c r="A9" s="43"/>
      <c r="B9" s="11" t="s">
        <v>2</v>
      </c>
    </row>
    <row r="11" spans="1:11" x14ac:dyDescent="0.4">
      <c r="B11" s="9" t="s">
        <v>3</v>
      </c>
      <c r="C11" s="1">
        <v>9</v>
      </c>
    </row>
    <row r="12" spans="1:11" x14ac:dyDescent="0.4">
      <c r="B12" s="9" t="s">
        <v>4</v>
      </c>
      <c r="C12" s="1">
        <v>9</v>
      </c>
    </row>
    <row r="14" spans="1:11" x14ac:dyDescent="0.4">
      <c r="B14" s="9" t="s">
        <v>5</v>
      </c>
      <c r="C14" s="4">
        <v>300</v>
      </c>
    </row>
    <row r="15" spans="1:11" x14ac:dyDescent="0.4">
      <c r="B15" s="9" t="s">
        <v>6</v>
      </c>
      <c r="C15" s="4">
        <f>C14*C11</f>
        <v>2700</v>
      </c>
    </row>
    <row r="16" spans="1:11" x14ac:dyDescent="0.4">
      <c r="B16" s="9" t="s">
        <v>47</v>
      </c>
      <c r="C16" s="4">
        <v>500</v>
      </c>
    </row>
    <row r="17" spans="2:12" x14ac:dyDescent="0.4">
      <c r="B17" s="12" t="s">
        <v>48</v>
      </c>
      <c r="C17" s="59">
        <f>C15-C16</f>
        <v>2200</v>
      </c>
    </row>
    <row r="19" spans="2:12" x14ac:dyDescent="0.4">
      <c r="B19" s="9" t="s">
        <v>7</v>
      </c>
      <c r="C19" s="4">
        <v>25</v>
      </c>
    </row>
    <row r="20" spans="2:12" x14ac:dyDescent="0.4">
      <c r="B20" s="9" t="s">
        <v>8</v>
      </c>
      <c r="C20" s="4">
        <v>20</v>
      </c>
    </row>
    <row r="21" spans="2:12" x14ac:dyDescent="0.4">
      <c r="B21" s="9" t="s">
        <v>58</v>
      </c>
      <c r="C21" s="60">
        <v>0.9</v>
      </c>
    </row>
    <row r="22" spans="2:12" x14ac:dyDescent="0.4">
      <c r="B22" s="9" t="s">
        <v>9</v>
      </c>
      <c r="C22" s="60">
        <v>0.1</v>
      </c>
    </row>
    <row r="23" spans="2:12" x14ac:dyDescent="0.4">
      <c r="B23" s="9" t="s">
        <v>10</v>
      </c>
      <c r="C23" s="60">
        <v>0.05</v>
      </c>
    </row>
    <row r="24" spans="2:12" x14ac:dyDescent="0.4">
      <c r="B24" s="9" t="s">
        <v>11</v>
      </c>
      <c r="C24" s="60">
        <v>0.4</v>
      </c>
    </row>
    <row r="25" spans="2:12" x14ac:dyDescent="0.4">
      <c r="C25" s="61"/>
    </row>
    <row r="26" spans="2:12" x14ac:dyDescent="0.4">
      <c r="B26" s="11" t="s">
        <v>13</v>
      </c>
      <c r="C26" s="61"/>
    </row>
    <row r="27" spans="2:12" x14ac:dyDescent="0.4">
      <c r="C27" s="61"/>
      <c r="L27" s="3" t="s">
        <v>12</v>
      </c>
    </row>
    <row r="28" spans="2:12" x14ac:dyDescent="0.4">
      <c r="B28" s="9" t="s">
        <v>21</v>
      </c>
      <c r="C28" s="1">
        <v>0.5</v>
      </c>
    </row>
    <row r="29" spans="2:12" x14ac:dyDescent="0.4">
      <c r="B29" s="13" t="s">
        <v>22</v>
      </c>
      <c r="C29" s="4">
        <f>C28*C14</f>
        <v>150</v>
      </c>
    </row>
    <row r="30" spans="2:12" x14ac:dyDescent="0.4">
      <c r="B30" s="9" t="s">
        <v>15</v>
      </c>
      <c r="C30" s="60">
        <v>0.04</v>
      </c>
    </row>
    <row r="31" spans="2:12" x14ac:dyDescent="0.4">
      <c r="B31" s="9" t="s">
        <v>16</v>
      </c>
      <c r="C31" s="4">
        <v>300</v>
      </c>
    </row>
    <row r="32" spans="2:12" x14ac:dyDescent="0.4">
      <c r="B32" s="9" t="s">
        <v>17</v>
      </c>
      <c r="C32" s="60">
        <v>5.0000000000000001E-3</v>
      </c>
    </row>
    <row r="33" spans="2:3" x14ac:dyDescent="0.4">
      <c r="C33" s="60"/>
    </row>
    <row r="34" spans="2:3" x14ac:dyDescent="0.4">
      <c r="B34" s="9" t="s">
        <v>23</v>
      </c>
      <c r="C34" s="1">
        <v>4</v>
      </c>
    </row>
    <row r="35" spans="2:3" x14ac:dyDescent="0.4">
      <c r="B35" s="9" t="s">
        <v>18</v>
      </c>
      <c r="C35" s="4">
        <f>C34*C14</f>
        <v>1200</v>
      </c>
    </row>
    <row r="36" spans="2:3" x14ac:dyDescent="0.4">
      <c r="B36" s="9" t="s">
        <v>19</v>
      </c>
      <c r="C36" s="60">
        <v>7.0000000000000007E-2</v>
      </c>
    </row>
    <row r="37" spans="2:3" x14ac:dyDescent="0.4">
      <c r="B37" s="9" t="s">
        <v>20</v>
      </c>
      <c r="C37" s="60">
        <v>0.01</v>
      </c>
    </row>
    <row r="39" spans="2:3" x14ac:dyDescent="0.4">
      <c r="B39" s="9" t="s">
        <v>28</v>
      </c>
      <c r="C39" s="1">
        <v>2</v>
      </c>
    </row>
    <row r="40" spans="2:3" x14ac:dyDescent="0.4">
      <c r="B40" s="9" t="s">
        <v>29</v>
      </c>
      <c r="C40" s="4">
        <f>C39*C14</f>
        <v>600</v>
      </c>
    </row>
    <row r="41" spans="2:3" x14ac:dyDescent="0.4">
      <c r="B41" s="9" t="s">
        <v>30</v>
      </c>
      <c r="C41" s="60">
        <v>0.1</v>
      </c>
    </row>
    <row r="42" spans="2:3" x14ac:dyDescent="0.4">
      <c r="B42" s="9" t="s">
        <v>31</v>
      </c>
      <c r="C42" s="60">
        <v>0.05</v>
      </c>
    </row>
    <row r="44" spans="2:3" x14ac:dyDescent="0.4">
      <c r="B44" s="9" t="s">
        <v>32</v>
      </c>
      <c r="C44" s="60">
        <v>2.5000000000000001E-2</v>
      </c>
    </row>
    <row r="45" spans="2:3" x14ac:dyDescent="0.4">
      <c r="B45" s="9" t="s">
        <v>33</v>
      </c>
      <c r="C45" s="60">
        <v>2.5000000000000001E-2</v>
      </c>
    </row>
    <row r="47" spans="2:3" x14ac:dyDescent="0.4">
      <c r="B47" s="9" t="s">
        <v>53</v>
      </c>
      <c r="C47" s="60">
        <v>2.5000000000000001E-2</v>
      </c>
    </row>
    <row r="48" spans="2:3" x14ac:dyDescent="0.4">
      <c r="B48" s="9" t="s">
        <v>155</v>
      </c>
      <c r="C48" s="4">
        <v>10</v>
      </c>
    </row>
    <row r="49" spans="1:7" x14ac:dyDescent="0.4">
      <c r="B49" s="9" t="s">
        <v>34</v>
      </c>
      <c r="C49" s="60">
        <v>0.01</v>
      </c>
    </row>
    <row r="51" spans="1:7" x14ac:dyDescent="0.4">
      <c r="A51" s="40" t="s">
        <v>12</v>
      </c>
      <c r="B51" s="9" t="s">
        <v>35</v>
      </c>
      <c r="C51" s="3" t="s">
        <v>37</v>
      </c>
      <c r="F51" s="3" t="s">
        <v>36</v>
      </c>
      <c r="G51" s="3" t="s">
        <v>37</v>
      </c>
    </row>
    <row r="52" spans="1:7" x14ac:dyDescent="0.4">
      <c r="C52"/>
    </row>
    <row r="53" spans="1:7" x14ac:dyDescent="0.4">
      <c r="B53" s="11" t="s">
        <v>38</v>
      </c>
    </row>
    <row r="54" spans="1:7" x14ac:dyDescent="0.4">
      <c r="B54" s="11"/>
    </row>
    <row r="55" spans="1:7" x14ac:dyDescent="0.4">
      <c r="B55" s="9" t="s">
        <v>136</v>
      </c>
      <c r="C55" s="60">
        <f>1-C56</f>
        <v>0.85</v>
      </c>
    </row>
    <row r="56" spans="1:7" x14ac:dyDescent="0.4">
      <c r="B56" s="9" t="s">
        <v>39</v>
      </c>
      <c r="C56" s="60">
        <v>0.15</v>
      </c>
    </row>
    <row r="57" spans="1:7" x14ac:dyDescent="0.4">
      <c r="B57" s="9" t="s">
        <v>40</v>
      </c>
      <c r="C57" s="4">
        <v>15</v>
      </c>
    </row>
    <row r="59" spans="1:7" x14ac:dyDescent="0.4">
      <c r="B59" s="11" t="s">
        <v>42</v>
      </c>
    </row>
    <row r="61" spans="1:7" x14ac:dyDescent="0.4">
      <c r="B61" s="9" t="s">
        <v>41</v>
      </c>
      <c r="C61" s="60">
        <v>0.1</v>
      </c>
    </row>
    <row r="62" spans="1:7" x14ac:dyDescent="0.4">
      <c r="B62" s="9" t="s">
        <v>43</v>
      </c>
      <c r="C62" s="60">
        <v>0.03</v>
      </c>
    </row>
    <row r="63" spans="1:7" x14ac:dyDescent="0.4">
      <c r="C63" s="60"/>
    </row>
    <row r="64" spans="1:7" x14ac:dyDescent="0.4">
      <c r="B64" s="9" t="s">
        <v>56</v>
      </c>
      <c r="C64" s="4">
        <f>C75-SUM(C70:C72)</f>
        <v>815</v>
      </c>
    </row>
    <row r="66" spans="1:3" s="5" customFormat="1" x14ac:dyDescent="0.4">
      <c r="A66" s="44" t="s">
        <v>99</v>
      </c>
      <c r="B66" s="14" t="s">
        <v>44</v>
      </c>
    </row>
    <row r="68" spans="1:3" x14ac:dyDescent="0.4">
      <c r="B68" s="15" t="s">
        <v>45</v>
      </c>
    </row>
    <row r="70" spans="1:3" x14ac:dyDescent="0.4">
      <c r="B70" s="16" t="s">
        <v>14</v>
      </c>
      <c r="C70" s="4">
        <f>$C$29</f>
        <v>150</v>
      </c>
    </row>
    <row r="71" spans="1:3" x14ac:dyDescent="0.4">
      <c r="B71" s="16" t="s">
        <v>18</v>
      </c>
      <c r="C71" s="4">
        <f>$C$35</f>
        <v>1200</v>
      </c>
    </row>
    <row r="72" spans="1:3" x14ac:dyDescent="0.4">
      <c r="B72" s="16" t="s">
        <v>27</v>
      </c>
      <c r="C72" s="4">
        <f>$C$40</f>
        <v>600</v>
      </c>
    </row>
    <row r="73" spans="1:3" x14ac:dyDescent="0.4">
      <c r="B73" s="16" t="s">
        <v>57</v>
      </c>
      <c r="C73" s="4">
        <f>$C$64*C21</f>
        <v>733.5</v>
      </c>
    </row>
    <row r="74" spans="1:3" x14ac:dyDescent="0.4">
      <c r="B74" s="16" t="s">
        <v>9</v>
      </c>
      <c r="C74" s="4">
        <f>$C$64*C22</f>
        <v>81.5</v>
      </c>
    </row>
    <row r="75" spans="1:3" x14ac:dyDescent="0.4">
      <c r="B75" s="6" t="s">
        <v>55</v>
      </c>
      <c r="C75" s="62">
        <v>2765</v>
      </c>
    </row>
    <row r="77" spans="1:3" x14ac:dyDescent="0.4">
      <c r="B77" s="15" t="s">
        <v>46</v>
      </c>
    </row>
    <row r="79" spans="1:3" x14ac:dyDescent="0.4">
      <c r="B79" s="16" t="s">
        <v>49</v>
      </c>
      <c r="C79" s="4">
        <f>$C$17</f>
        <v>2200</v>
      </c>
    </row>
    <row r="80" spans="1:3" x14ac:dyDescent="0.4">
      <c r="B80" s="16" t="s">
        <v>50</v>
      </c>
      <c r="C80" s="4">
        <f>$C$16</f>
        <v>500</v>
      </c>
    </row>
    <row r="81" spans="1:51" x14ac:dyDescent="0.4">
      <c r="B81" s="16" t="s">
        <v>51</v>
      </c>
      <c r="C81" s="4">
        <f>$C$20</f>
        <v>20</v>
      </c>
    </row>
    <row r="82" spans="1:51" x14ac:dyDescent="0.4">
      <c r="B82" s="16" t="s">
        <v>52</v>
      </c>
      <c r="C82" s="4">
        <f>C47*(C35+C40)</f>
        <v>45</v>
      </c>
    </row>
    <row r="83" spans="1:51" x14ac:dyDescent="0.4">
      <c r="B83" s="6" t="s">
        <v>54</v>
      </c>
      <c r="C83" s="62">
        <f>SUM(C79:C82)</f>
        <v>2765</v>
      </c>
    </row>
    <row r="85" spans="1:51" s="5" customFormat="1" x14ac:dyDescent="0.4">
      <c r="A85" s="44" t="s">
        <v>99</v>
      </c>
      <c r="B85" s="14" t="s">
        <v>59</v>
      </c>
    </row>
    <row r="86" spans="1:51" x14ac:dyDescent="0.4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x14ac:dyDescent="0.4">
      <c r="B87" s="9" t="s">
        <v>60</v>
      </c>
      <c r="C87" s="4">
        <v>1000</v>
      </c>
      <c r="D87" s="4">
        <f>C87*(1+D88)</f>
        <v>1100</v>
      </c>
      <c r="E87" s="4">
        <f t="shared" ref="E87:H87" si="1">D87*(1+E88)</f>
        <v>1210</v>
      </c>
      <c r="F87" s="4">
        <f t="shared" si="1"/>
        <v>1331</v>
      </c>
      <c r="G87" s="4">
        <f t="shared" si="1"/>
        <v>1464.1000000000001</v>
      </c>
      <c r="H87" s="4">
        <f t="shared" si="1"/>
        <v>1610.5100000000002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s="18" customFormat="1" x14ac:dyDescent="0.4">
      <c r="A88" s="45"/>
      <c r="B88" s="19" t="s">
        <v>61</v>
      </c>
      <c r="C88" s="63" t="s">
        <v>12</v>
      </c>
      <c r="D88" s="64">
        <f>C61</f>
        <v>0.1</v>
      </c>
      <c r="E88" s="64">
        <f>D88</f>
        <v>0.1</v>
      </c>
      <c r="F88" s="64">
        <f t="shared" ref="F88:H88" si="2">E88</f>
        <v>0.1</v>
      </c>
      <c r="G88" s="64">
        <f t="shared" si="2"/>
        <v>0.1</v>
      </c>
      <c r="H88" s="64">
        <f t="shared" si="2"/>
        <v>0.1</v>
      </c>
      <c r="I88" s="65"/>
      <c r="J88" s="65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 spans="1:51" x14ac:dyDescent="0.4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x14ac:dyDescent="0.4">
      <c r="B90" s="9" t="s">
        <v>62</v>
      </c>
      <c r="C90" s="4">
        <v>-600</v>
      </c>
      <c r="D90" s="4">
        <f>-D87*D91</f>
        <v>-660</v>
      </c>
      <c r="E90" s="4">
        <f t="shared" ref="E90:H90" si="3">-E87*E91</f>
        <v>-726</v>
      </c>
      <c r="F90" s="4">
        <f t="shared" si="3"/>
        <v>-798.6</v>
      </c>
      <c r="G90" s="4">
        <f t="shared" si="3"/>
        <v>-878.46</v>
      </c>
      <c r="H90" s="4">
        <f t="shared" si="3"/>
        <v>-966.30600000000004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s="18" customFormat="1" x14ac:dyDescent="0.4">
      <c r="A91" s="45"/>
      <c r="B91" s="19" t="s">
        <v>63</v>
      </c>
      <c r="C91" s="63">
        <f>-C90/C87</f>
        <v>0.6</v>
      </c>
      <c r="D91" s="64">
        <f>C91</f>
        <v>0.6</v>
      </c>
      <c r="E91" s="64">
        <f t="shared" ref="E91:H91" si="4">D91</f>
        <v>0.6</v>
      </c>
      <c r="F91" s="64">
        <f t="shared" si="4"/>
        <v>0.6</v>
      </c>
      <c r="G91" s="64">
        <f t="shared" si="4"/>
        <v>0.6</v>
      </c>
      <c r="H91" s="64">
        <f t="shared" si="4"/>
        <v>0.6</v>
      </c>
      <c r="I91" s="65"/>
      <c r="J91" s="65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</row>
    <row r="92" spans="1:51" x14ac:dyDescent="0.4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x14ac:dyDescent="0.4">
      <c r="B93" s="9" t="s">
        <v>64</v>
      </c>
      <c r="C93" s="4">
        <f>SUM(C87+C90)</f>
        <v>400</v>
      </c>
      <c r="D93" s="4">
        <f t="shared" ref="D93:H93" si="5">SUM(D87+D90)</f>
        <v>440</v>
      </c>
      <c r="E93" s="4">
        <f t="shared" si="5"/>
        <v>484</v>
      </c>
      <c r="F93" s="4">
        <f t="shared" si="5"/>
        <v>532.4</v>
      </c>
      <c r="G93" s="4">
        <f t="shared" si="5"/>
        <v>585.6400000000001</v>
      </c>
      <c r="H93" s="4">
        <f t="shared" si="5"/>
        <v>644.20400000000018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s="18" customFormat="1" x14ac:dyDescent="0.4">
      <c r="A94" s="45"/>
      <c r="B94" s="19" t="s">
        <v>65</v>
      </c>
      <c r="C94" s="63">
        <f>C93/C87</f>
        <v>0.4</v>
      </c>
      <c r="D94" s="63">
        <f t="shared" ref="D94:H94" si="6">D93/D87</f>
        <v>0.4</v>
      </c>
      <c r="E94" s="63">
        <f t="shared" si="6"/>
        <v>0.4</v>
      </c>
      <c r="F94" s="63">
        <f t="shared" si="6"/>
        <v>0.39999999999999997</v>
      </c>
      <c r="G94" s="63">
        <f t="shared" si="6"/>
        <v>0.4</v>
      </c>
      <c r="H94" s="63">
        <f t="shared" si="6"/>
        <v>0.40000000000000008</v>
      </c>
      <c r="I94" s="65"/>
      <c r="J94" s="65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 spans="1:51" x14ac:dyDescent="0.4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x14ac:dyDescent="0.4">
      <c r="B96" s="9" t="s">
        <v>66</v>
      </c>
      <c r="C96" s="4">
        <f>C99-C93</f>
        <v>-100</v>
      </c>
      <c r="D96" s="4">
        <f>-D97*D87</f>
        <v>-110</v>
      </c>
      <c r="E96" s="4">
        <f t="shared" ref="E96:H96" si="7">-E97*E87</f>
        <v>-121</v>
      </c>
      <c r="F96" s="4">
        <f t="shared" si="7"/>
        <v>-133.1</v>
      </c>
      <c r="G96" s="4">
        <f t="shared" si="7"/>
        <v>-146.41000000000003</v>
      </c>
      <c r="H96" s="4">
        <f t="shared" si="7"/>
        <v>-161.05100000000004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s="18" customFormat="1" x14ac:dyDescent="0.4">
      <c r="A97" s="45"/>
      <c r="B97" s="19" t="s">
        <v>67</v>
      </c>
      <c r="C97" s="63">
        <f>-C96/C87</f>
        <v>0.1</v>
      </c>
      <c r="D97" s="63">
        <f>C97</f>
        <v>0.1</v>
      </c>
      <c r="E97" s="63">
        <f t="shared" ref="E97:H97" si="8">D97</f>
        <v>0.1</v>
      </c>
      <c r="F97" s="63">
        <f t="shared" si="8"/>
        <v>0.1</v>
      </c>
      <c r="G97" s="63">
        <f t="shared" si="8"/>
        <v>0.1</v>
      </c>
      <c r="H97" s="63">
        <f t="shared" si="8"/>
        <v>0.1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x14ac:dyDescent="0.4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x14ac:dyDescent="0.4">
      <c r="B99" s="15" t="s">
        <v>68</v>
      </c>
      <c r="C99" s="23">
        <v>300</v>
      </c>
      <c r="D99" s="23">
        <f>SUM(D96+D93)</f>
        <v>330</v>
      </c>
      <c r="E99" s="23">
        <f t="shared" ref="E99:H99" si="9">SUM(E96+E93)</f>
        <v>363</v>
      </c>
      <c r="F99" s="23">
        <f t="shared" si="9"/>
        <v>399.29999999999995</v>
      </c>
      <c r="G99" s="23">
        <f t="shared" si="9"/>
        <v>439.23000000000008</v>
      </c>
      <c r="H99" s="23">
        <f t="shared" si="9"/>
        <v>483.15300000000013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s="18" customFormat="1" x14ac:dyDescent="0.4">
      <c r="A100" s="45"/>
      <c r="B100" s="19" t="s">
        <v>69</v>
      </c>
      <c r="C100" s="63">
        <f>C99/C87</f>
        <v>0.3</v>
      </c>
      <c r="D100" s="63">
        <f t="shared" ref="D100:H100" si="10">D99/D87</f>
        <v>0.3</v>
      </c>
      <c r="E100" s="63">
        <f t="shared" si="10"/>
        <v>0.3</v>
      </c>
      <c r="F100" s="63">
        <f t="shared" si="10"/>
        <v>0.3</v>
      </c>
      <c r="G100" s="63">
        <f t="shared" si="10"/>
        <v>0.30000000000000004</v>
      </c>
      <c r="H100" s="63">
        <f t="shared" si="10"/>
        <v>0.30000000000000004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x14ac:dyDescent="0.4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x14ac:dyDescent="0.4">
      <c r="B102" s="9" t="s">
        <v>70</v>
      </c>
      <c r="C102" s="4">
        <v>-20</v>
      </c>
      <c r="D102" s="4">
        <f t="shared" ref="D102:H102" si="11">D338</f>
        <v>-40.950000000000003</v>
      </c>
      <c r="E102" s="4">
        <f t="shared" si="11"/>
        <v>-43.15</v>
      </c>
      <c r="F102" s="4">
        <f t="shared" si="11"/>
        <v>-45.57</v>
      </c>
      <c r="G102" s="4">
        <f t="shared" si="11"/>
        <v>-48.231999999999999</v>
      </c>
      <c r="H102" s="4">
        <f t="shared" si="11"/>
        <v>-51.160200000000003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x14ac:dyDescent="0.4">
      <c r="B103" s="19" t="s">
        <v>71</v>
      </c>
      <c r="C103" s="63">
        <f>-C102/C87</f>
        <v>0.02</v>
      </c>
      <c r="D103" s="63">
        <f>C103</f>
        <v>0.02</v>
      </c>
      <c r="E103" s="63">
        <f t="shared" ref="E103:H103" si="12">D103</f>
        <v>0.02</v>
      </c>
      <c r="F103" s="63">
        <f t="shared" si="12"/>
        <v>0.02</v>
      </c>
      <c r="G103" s="63">
        <f t="shared" si="12"/>
        <v>0.02</v>
      </c>
      <c r="H103" s="63">
        <f t="shared" si="12"/>
        <v>0.02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x14ac:dyDescent="0.4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x14ac:dyDescent="0.4">
      <c r="B105" s="9" t="s">
        <v>72</v>
      </c>
      <c r="C105" s="4">
        <f>SUM(C99,C102)</f>
        <v>280</v>
      </c>
      <c r="D105" s="4">
        <f t="shared" ref="D105:H105" si="13">SUM(D99,D102)</f>
        <v>289.05</v>
      </c>
      <c r="E105" s="4">
        <f t="shared" si="13"/>
        <v>319.85000000000002</v>
      </c>
      <c r="F105" s="4">
        <f t="shared" si="13"/>
        <v>353.72999999999996</v>
      </c>
      <c r="G105" s="4">
        <f t="shared" si="13"/>
        <v>390.99800000000005</v>
      </c>
      <c r="H105" s="4">
        <f t="shared" si="13"/>
        <v>431.9928000000001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x14ac:dyDescent="0.4">
      <c r="B106" s="19" t="s">
        <v>73</v>
      </c>
      <c r="C106" s="63">
        <f>C105/C87</f>
        <v>0.28000000000000003</v>
      </c>
      <c r="D106" s="63">
        <f t="shared" ref="D106:H106" si="14">D105/D87</f>
        <v>0.26277272727272727</v>
      </c>
      <c r="E106" s="63">
        <f t="shared" si="14"/>
        <v>0.26433884297520666</v>
      </c>
      <c r="F106" s="63">
        <f t="shared" si="14"/>
        <v>0.26576258452291507</v>
      </c>
      <c r="G106" s="63">
        <f t="shared" si="14"/>
        <v>0.26705689502083191</v>
      </c>
      <c r="H106" s="63">
        <f t="shared" si="14"/>
        <v>0.26823354092802904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x14ac:dyDescent="0.4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x14ac:dyDescent="0.4">
      <c r="B108" s="9" t="s">
        <v>74</v>
      </c>
      <c r="C108" s="4">
        <v>0</v>
      </c>
      <c r="D108" s="4">
        <f>D249</f>
        <v>-180.75</v>
      </c>
      <c r="E108" s="4">
        <f>E249</f>
        <v>-181.75245000000001</v>
      </c>
      <c r="F108" s="4">
        <f>F249</f>
        <v>-181.74030290000002</v>
      </c>
      <c r="G108" s="4">
        <f>G249</f>
        <v>-178.03843562180003</v>
      </c>
      <c r="H108" s="4">
        <f>H249</f>
        <v>-172.96835391791564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x14ac:dyDescent="0.4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4">
      <c r="B110" s="9" t="s">
        <v>75</v>
      </c>
      <c r="C110" s="4">
        <f>SUM(C105,C108)</f>
        <v>280</v>
      </c>
      <c r="D110" s="4">
        <f t="shared" ref="D110:H110" si="15">SUM(D105,D108)</f>
        <v>108.30000000000001</v>
      </c>
      <c r="E110" s="4">
        <f t="shared" si="15"/>
        <v>138.09755000000001</v>
      </c>
      <c r="F110" s="4">
        <f t="shared" si="15"/>
        <v>171.98969709999994</v>
      </c>
      <c r="G110" s="4">
        <f t="shared" si="15"/>
        <v>212.95956437820001</v>
      </c>
      <c r="H110" s="4">
        <f t="shared" si="15"/>
        <v>259.02444608208447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s="22" customFormat="1" x14ac:dyDescent="0.4">
      <c r="A111" s="46"/>
      <c r="B111" s="20" t="s">
        <v>76</v>
      </c>
      <c r="C111" s="21">
        <f>-C110*$C$24</f>
        <v>-112</v>
      </c>
      <c r="D111" s="21">
        <f t="shared" ref="D111:H111" si="16">-D110*$C$24</f>
        <v>-43.320000000000007</v>
      </c>
      <c r="E111" s="21">
        <f t="shared" si="16"/>
        <v>-55.239020000000011</v>
      </c>
      <c r="F111" s="21">
        <f t="shared" si="16"/>
        <v>-68.795878839999986</v>
      </c>
      <c r="G111" s="21">
        <f t="shared" si="16"/>
        <v>-85.183825751280011</v>
      </c>
      <c r="H111" s="21">
        <f t="shared" si="16"/>
        <v>-103.60977843283379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</row>
    <row r="112" spans="1:51" s="24" customFormat="1" x14ac:dyDescent="0.4">
      <c r="A112" s="47"/>
      <c r="B112" s="15" t="s">
        <v>77</v>
      </c>
      <c r="C112" s="23">
        <f>SUM(C110:C111)</f>
        <v>168</v>
      </c>
      <c r="D112" s="23">
        <f t="shared" ref="D112:H112" si="17">SUM(D110:D111)</f>
        <v>64.98</v>
      </c>
      <c r="E112" s="23">
        <f t="shared" si="17"/>
        <v>82.858530000000002</v>
      </c>
      <c r="F112" s="23">
        <f t="shared" si="17"/>
        <v>103.19381825999996</v>
      </c>
      <c r="G112" s="23">
        <f t="shared" si="17"/>
        <v>127.77573862692</v>
      </c>
      <c r="H112" s="23">
        <f t="shared" si="17"/>
        <v>155.41466764925067</v>
      </c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</row>
    <row r="113" spans="1:51" x14ac:dyDescent="0.4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s="5" customFormat="1" x14ac:dyDescent="0.4">
      <c r="A114" s="44" t="s">
        <v>99</v>
      </c>
      <c r="B114" s="14" t="s">
        <v>78</v>
      </c>
    </row>
    <row r="115" spans="1:51" x14ac:dyDescent="0.4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4">
      <c r="B116" s="15" t="s">
        <v>79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4">
      <c r="B117" s="16" t="s">
        <v>77</v>
      </c>
      <c r="C117" s="4"/>
      <c r="D117" s="4">
        <f t="shared" ref="D117:H117" si="18">D112</f>
        <v>64.98</v>
      </c>
      <c r="E117" s="4">
        <f t="shared" si="18"/>
        <v>82.858530000000002</v>
      </c>
      <c r="F117" s="4">
        <f t="shared" si="18"/>
        <v>103.19381825999996</v>
      </c>
      <c r="G117" s="4">
        <f t="shared" si="18"/>
        <v>127.77573862692</v>
      </c>
      <c r="H117" s="4">
        <f t="shared" si="18"/>
        <v>155.41466764925067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4">
      <c r="B118" s="16" t="s">
        <v>70</v>
      </c>
      <c r="C118" s="4"/>
      <c r="D118" s="4">
        <f t="shared" ref="D118:H118" si="19">-D102</f>
        <v>40.950000000000003</v>
      </c>
      <c r="E118" s="4">
        <f t="shared" si="19"/>
        <v>43.15</v>
      </c>
      <c r="F118" s="4">
        <f t="shared" si="19"/>
        <v>45.57</v>
      </c>
      <c r="G118" s="4">
        <f t="shared" si="19"/>
        <v>48.231999999999999</v>
      </c>
      <c r="H118" s="4">
        <f t="shared" si="19"/>
        <v>51.160200000000003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4">
      <c r="B119" s="16" t="s">
        <v>82</v>
      </c>
      <c r="C119" s="4"/>
      <c r="D119" s="4">
        <f>-D248</f>
        <v>30</v>
      </c>
      <c r="E119" s="4">
        <f>-E248</f>
        <v>31.5</v>
      </c>
      <c r="F119" s="4">
        <f>-F248</f>
        <v>33.075000000000003</v>
      </c>
      <c r="G119" s="4">
        <f>-G248</f>
        <v>34.728750000000005</v>
      </c>
      <c r="H119" s="4">
        <f>-H248</f>
        <v>36.465187500000006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4">
      <c r="B120" s="16" t="s">
        <v>83</v>
      </c>
      <c r="C120" s="4"/>
      <c r="D120" s="4">
        <f>C151-D151</f>
        <v>-20</v>
      </c>
      <c r="E120" s="4">
        <f t="shared" ref="E120:H120" si="20">D151-E151</f>
        <v>-22</v>
      </c>
      <c r="F120" s="4">
        <f t="shared" si="20"/>
        <v>-24.199999999999989</v>
      </c>
      <c r="G120" s="4">
        <f t="shared" si="20"/>
        <v>-26.620000000000005</v>
      </c>
      <c r="H120" s="4">
        <f t="shared" si="20"/>
        <v>-29.282000000000039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4">
      <c r="B121" s="16" t="s">
        <v>84</v>
      </c>
      <c r="C121" s="4"/>
      <c r="D121" s="4">
        <f>C152-D152</f>
        <v>-10</v>
      </c>
      <c r="E121" s="4">
        <f t="shared" ref="E121:H121" si="21">D152-E152</f>
        <v>-11</v>
      </c>
      <c r="F121" s="4">
        <f t="shared" si="21"/>
        <v>-12.099999999999994</v>
      </c>
      <c r="G121" s="4">
        <f t="shared" si="21"/>
        <v>-13.310000000000002</v>
      </c>
      <c r="H121" s="4">
        <f t="shared" si="21"/>
        <v>-14.640999999999991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4">
      <c r="B122" s="16" t="s">
        <v>85</v>
      </c>
      <c r="C122" s="4"/>
      <c r="D122" s="4">
        <f>D167-C167</f>
        <v>10</v>
      </c>
      <c r="E122" s="4">
        <f t="shared" ref="E122:H123" si="22">E167-D167</f>
        <v>11</v>
      </c>
      <c r="F122" s="4">
        <f t="shared" si="22"/>
        <v>12.099999999999994</v>
      </c>
      <c r="G122" s="4">
        <f t="shared" si="22"/>
        <v>13.310000000000002</v>
      </c>
      <c r="H122" s="4">
        <f t="shared" si="22"/>
        <v>14.640999999999991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4">
      <c r="B123" s="16" t="s">
        <v>86</v>
      </c>
      <c r="C123" s="4"/>
      <c r="D123" s="4">
        <f>D168-C168</f>
        <v>5</v>
      </c>
      <c r="E123" s="4">
        <f t="shared" si="22"/>
        <v>5.5</v>
      </c>
      <c r="F123" s="4">
        <f t="shared" si="22"/>
        <v>6.0499999999999972</v>
      </c>
      <c r="G123" s="4">
        <f t="shared" si="22"/>
        <v>6.6550000000000153</v>
      </c>
      <c r="H123" s="4">
        <f t="shared" si="22"/>
        <v>7.3205000000000098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s="26" customFormat="1" x14ac:dyDescent="0.4">
      <c r="A124" s="48"/>
      <c r="B124" s="6" t="s">
        <v>87</v>
      </c>
      <c r="C124" s="25"/>
      <c r="D124" s="25">
        <f t="shared" ref="D124:H124" si="23">SUM(D117:D123)</f>
        <v>120.93</v>
      </c>
      <c r="E124" s="25">
        <f t="shared" si="23"/>
        <v>141.00853000000001</v>
      </c>
      <c r="F124" s="25">
        <f t="shared" si="23"/>
        <v>163.68881826000001</v>
      </c>
      <c r="G124" s="25">
        <f t="shared" si="23"/>
        <v>190.77148862692002</v>
      </c>
      <c r="H124" s="25">
        <f t="shared" si="23"/>
        <v>221.07855514925066</v>
      </c>
      <c r="I124" s="25" t="s">
        <v>12</v>
      </c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</row>
    <row r="125" spans="1:51" s="24" customFormat="1" x14ac:dyDescent="0.4">
      <c r="A125" s="47"/>
      <c r="B125" s="15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</row>
    <row r="126" spans="1:51" x14ac:dyDescent="0.4">
      <c r="B126" s="15" t="s">
        <v>80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s="22" customFormat="1" x14ac:dyDescent="0.4">
      <c r="A127" s="46"/>
      <c r="B127" s="20" t="s">
        <v>88</v>
      </c>
      <c r="C127" s="21"/>
      <c r="D127" s="21">
        <f>-D306</f>
        <v>-33</v>
      </c>
      <c r="E127" s="21">
        <f>-E306</f>
        <v>-36.299999999999997</v>
      </c>
      <c r="F127" s="21">
        <f>-F306</f>
        <v>-39.93</v>
      </c>
      <c r="G127" s="21">
        <f>-G306</f>
        <v>-43.923000000000002</v>
      </c>
      <c r="H127" s="21">
        <f>-H306</f>
        <v>-48.315300000000008</v>
      </c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</row>
    <row r="128" spans="1:51" s="24" customFormat="1" x14ac:dyDescent="0.4">
      <c r="A128" s="47"/>
      <c r="B128" s="15" t="s">
        <v>92</v>
      </c>
      <c r="C128" s="23"/>
      <c r="D128" s="23">
        <f t="shared" ref="D128:H128" si="24">D127</f>
        <v>-33</v>
      </c>
      <c r="E128" s="23">
        <f t="shared" si="24"/>
        <v>-36.299999999999997</v>
      </c>
      <c r="F128" s="23">
        <f t="shared" si="24"/>
        <v>-39.93</v>
      </c>
      <c r="G128" s="23">
        <f t="shared" si="24"/>
        <v>-43.923000000000002</v>
      </c>
      <c r="H128" s="23">
        <f t="shared" si="24"/>
        <v>-48.315300000000008</v>
      </c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</row>
    <row r="129" spans="1:51" x14ac:dyDescent="0.4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s="24" customFormat="1" x14ac:dyDescent="0.4">
      <c r="A130" s="47"/>
      <c r="B130" s="15" t="s">
        <v>91</v>
      </c>
      <c r="C130" s="23"/>
      <c r="D130" s="23">
        <f t="shared" ref="D130:H130" si="25">SUM(D124,D128)</f>
        <v>87.93</v>
      </c>
      <c r="E130" s="23">
        <f t="shared" si="25"/>
        <v>104.70853000000001</v>
      </c>
      <c r="F130" s="23">
        <f t="shared" si="25"/>
        <v>123.75881826</v>
      </c>
      <c r="G130" s="23">
        <f t="shared" si="25"/>
        <v>146.84848862692002</v>
      </c>
      <c r="H130" s="23">
        <f t="shared" si="25"/>
        <v>172.76325514925065</v>
      </c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</row>
    <row r="131" spans="1:51" x14ac:dyDescent="0.4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4">
      <c r="B132" s="15" t="s">
        <v>81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4">
      <c r="B133" s="16" t="s">
        <v>96</v>
      </c>
      <c r="C133" s="4"/>
      <c r="D133" s="4">
        <f>SUM(D206:D207)</f>
        <v>-75.930000000000007</v>
      </c>
      <c r="E133" s="4">
        <f>SUM(E206:E207)</f>
        <v>-74.069999999999993</v>
      </c>
      <c r="F133" s="4">
        <f>SUM(F206:F207)</f>
        <v>0</v>
      </c>
      <c r="G133" s="4">
        <f>SUM(G206:G207)</f>
        <v>0</v>
      </c>
      <c r="H133" s="4">
        <f>SUM(H206:H207)</f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4">
      <c r="B134" s="16" t="s">
        <v>95</v>
      </c>
      <c r="C134" s="4"/>
      <c r="D134" s="4">
        <f>SUM(D225:D226)</f>
        <v>0</v>
      </c>
      <c r="E134" s="4">
        <f>SUM(E225:E226)</f>
        <v>-18.638530000000003</v>
      </c>
      <c r="F134" s="4">
        <f>SUM(F225:F226)</f>
        <v>-111.75881826</v>
      </c>
      <c r="G134" s="4">
        <f>SUM(G225:G226)</f>
        <v>-134.84848862692002</v>
      </c>
      <c r="H134" s="4">
        <f>SUM(H225:H226)</f>
        <v>-160.76325514925065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4">
      <c r="B135" s="16" t="s">
        <v>94</v>
      </c>
      <c r="C135" s="4"/>
      <c r="D135" s="3">
        <f>SUM(D235:D236)</f>
        <v>0</v>
      </c>
      <c r="E135" s="3">
        <f>SUM(E235:E236)</f>
        <v>0</v>
      </c>
      <c r="F135" s="3">
        <f>SUM(F235:F236)</f>
        <v>0</v>
      </c>
      <c r="G135" s="3">
        <f>SUM(G235:G236)</f>
        <v>0</v>
      </c>
      <c r="H135" s="3">
        <f>SUM(H235:H236)</f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4">
      <c r="B136" s="16" t="s">
        <v>93</v>
      </c>
      <c r="C136" s="4"/>
      <c r="D136" s="4">
        <f>D227</f>
        <v>-12</v>
      </c>
      <c r="E136" s="4">
        <f>E227</f>
        <v>-12</v>
      </c>
      <c r="F136" s="4">
        <f>F227</f>
        <v>-12</v>
      </c>
      <c r="G136" s="4">
        <f>G227</f>
        <v>-12</v>
      </c>
      <c r="H136" s="4">
        <f>H227</f>
        <v>-12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s="27" customFormat="1" x14ac:dyDescent="0.4">
      <c r="A137" s="49"/>
      <c r="B137" s="28" t="s">
        <v>97</v>
      </c>
      <c r="C137" s="66"/>
      <c r="D137" s="66">
        <f>SUM(D133:D136)</f>
        <v>-87.93</v>
      </c>
      <c r="E137" s="66">
        <f>SUM(E133:E136)</f>
        <v>-104.70853</v>
      </c>
      <c r="F137" s="66">
        <f>SUM(F133:F136)</f>
        <v>-123.75881826</v>
      </c>
      <c r="G137" s="66">
        <f>SUM(G133:G136)</f>
        <v>-146.84848862692002</v>
      </c>
      <c r="H137" s="66">
        <f>SUM(H133:H136)</f>
        <v>-172.76325514925065</v>
      </c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51" s="36" customFormat="1" x14ac:dyDescent="0.4">
      <c r="A138" s="50"/>
      <c r="B138" s="37"/>
      <c r="C138" s="68"/>
      <c r="D138" s="68"/>
      <c r="E138" s="68"/>
      <c r="F138" s="68"/>
      <c r="G138" s="68"/>
      <c r="H138" s="68"/>
      <c r="I138" s="69"/>
      <c r="J138" s="69"/>
      <c r="K138" s="69"/>
      <c r="L138" s="69"/>
      <c r="M138" s="69"/>
      <c r="N138" s="69"/>
      <c r="O138" s="69"/>
      <c r="P138" s="69"/>
      <c r="Q138" s="69"/>
      <c r="R138" s="69"/>
    </row>
    <row r="139" spans="1:51" s="36" customFormat="1" x14ac:dyDescent="0.4">
      <c r="A139" s="50"/>
      <c r="B139" s="37" t="s">
        <v>189</v>
      </c>
      <c r="C139" s="68"/>
      <c r="D139" s="70">
        <f>SUM(D130,D137)</f>
        <v>0</v>
      </c>
      <c r="E139" s="70">
        <f t="shared" ref="E139:H139" si="26">SUM(E130,E137)</f>
        <v>0</v>
      </c>
      <c r="F139" s="70">
        <f t="shared" si="26"/>
        <v>0</v>
      </c>
      <c r="G139" s="70">
        <f t="shared" si="26"/>
        <v>0</v>
      </c>
      <c r="H139" s="70">
        <f t="shared" si="26"/>
        <v>0</v>
      </c>
      <c r="I139" s="69"/>
      <c r="J139" s="69"/>
      <c r="K139" s="69"/>
      <c r="L139" s="69"/>
      <c r="M139" s="69"/>
      <c r="N139" s="69"/>
      <c r="O139" s="69"/>
      <c r="P139" s="69"/>
      <c r="Q139" s="69"/>
      <c r="R139" s="69"/>
    </row>
    <row r="140" spans="1:51" s="36" customFormat="1" x14ac:dyDescent="0.4">
      <c r="A140" s="50"/>
      <c r="B140" s="37"/>
      <c r="C140" s="68"/>
      <c r="D140" s="68"/>
      <c r="E140" s="68"/>
      <c r="F140" s="68"/>
      <c r="G140" s="68"/>
      <c r="H140" s="68"/>
      <c r="I140" s="69"/>
      <c r="J140" s="69"/>
      <c r="K140" s="69"/>
      <c r="L140" s="69"/>
      <c r="M140" s="69"/>
      <c r="N140" s="69"/>
      <c r="O140" s="69"/>
      <c r="P140" s="69"/>
      <c r="Q140" s="69"/>
      <c r="R140" s="69"/>
    </row>
    <row r="141" spans="1:51" s="39" customFormat="1" x14ac:dyDescent="0.4">
      <c r="A141" s="51"/>
      <c r="B141" s="38" t="s">
        <v>190</v>
      </c>
      <c r="C141" s="70"/>
      <c r="D141" s="70">
        <f>C150</f>
        <v>25</v>
      </c>
      <c r="E141" s="70">
        <f>D142</f>
        <v>25</v>
      </c>
      <c r="F141" s="70">
        <f t="shared" ref="F141:H141" si="27">E142</f>
        <v>25</v>
      </c>
      <c r="G141" s="70">
        <f t="shared" si="27"/>
        <v>25</v>
      </c>
      <c r="H141" s="70">
        <f t="shared" si="27"/>
        <v>25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71"/>
    </row>
    <row r="142" spans="1:51" x14ac:dyDescent="0.4">
      <c r="B142" s="38" t="s">
        <v>191</v>
      </c>
      <c r="C142" s="4"/>
      <c r="D142" s="4">
        <f>SUM(D139,D141)</f>
        <v>25</v>
      </c>
      <c r="E142" s="4">
        <f t="shared" ref="E142:H142" si="28">SUM(E139,E141)</f>
        <v>25</v>
      </c>
      <c r="F142" s="4">
        <f t="shared" si="28"/>
        <v>25</v>
      </c>
      <c r="G142" s="4">
        <f t="shared" si="28"/>
        <v>25</v>
      </c>
      <c r="H142" s="4">
        <f t="shared" si="28"/>
        <v>25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ht="0.9" customHeight="1" x14ac:dyDescent="0.4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ht="15.45" customHeight="1" x14ac:dyDescent="0.4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s="5" customFormat="1" x14ac:dyDescent="0.4">
      <c r="A145" s="44" t="s">
        <v>99</v>
      </c>
      <c r="B145" s="14" t="s">
        <v>98</v>
      </c>
    </row>
    <row r="146" spans="1:51" ht="14.15" customHeight="1" x14ac:dyDescent="0.4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125</v>
      </c>
      <c r="O146" s="24"/>
      <c r="R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4">
      <c r="B147" s="11" t="s">
        <v>100</v>
      </c>
      <c r="C147" s="4"/>
      <c r="D147" s="4"/>
      <c r="E147" s="4"/>
      <c r="F147" s="4"/>
      <c r="G147" s="4"/>
      <c r="H147" s="4"/>
      <c r="I147" s="4"/>
      <c r="J147" s="72" t="s">
        <v>123</v>
      </c>
      <c r="K147" s="21"/>
      <c r="L147" s="21"/>
      <c r="M147" s="4"/>
      <c r="N147" s="4" t="s">
        <v>126</v>
      </c>
      <c r="O147" s="24"/>
      <c r="R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4">
      <c r="C148" s="4"/>
      <c r="D148" s="4"/>
      <c r="E148" s="4"/>
      <c r="F148" s="4"/>
      <c r="G148" s="4"/>
      <c r="H148" s="4"/>
      <c r="I148" s="4"/>
      <c r="J148" s="73" t="s">
        <v>120</v>
      </c>
      <c r="K148" s="73" t="s">
        <v>121</v>
      </c>
      <c r="L148" s="73" t="s">
        <v>122</v>
      </c>
      <c r="M148" s="4"/>
      <c r="N148" s="4" t="s">
        <v>127</v>
      </c>
      <c r="R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4">
      <c r="B149" s="15" t="s">
        <v>101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128</v>
      </c>
      <c r="R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4">
      <c r="B150" s="16" t="s">
        <v>102</v>
      </c>
      <c r="C150" s="4">
        <f>L150</f>
        <v>25</v>
      </c>
      <c r="D150" s="4">
        <f>D142</f>
        <v>25</v>
      </c>
      <c r="E150" s="4">
        <f t="shared" ref="E150:H150" si="29">E142</f>
        <v>25</v>
      </c>
      <c r="F150" s="4">
        <f t="shared" si="29"/>
        <v>25</v>
      </c>
      <c r="G150" s="4">
        <f t="shared" si="29"/>
        <v>25</v>
      </c>
      <c r="H150" s="4">
        <f t="shared" si="29"/>
        <v>25</v>
      </c>
      <c r="I150" s="4"/>
      <c r="J150" s="4">
        <v>50</v>
      </c>
      <c r="K150" s="4">
        <f>C19-J150</f>
        <v>-25</v>
      </c>
      <c r="L150" s="4">
        <f>SUM(J150:K150)</f>
        <v>25</v>
      </c>
      <c r="M150" s="4"/>
      <c r="N150" s="4" t="s">
        <v>129</v>
      </c>
      <c r="O150" s="4"/>
      <c r="R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4">
      <c r="B151" s="16" t="s">
        <v>103</v>
      </c>
      <c r="C151" s="4">
        <f t="shared" ref="C151:C152" si="30">L151</f>
        <v>200</v>
      </c>
      <c r="D151" s="4">
        <f t="shared" ref="D151:H152" si="31">D311</f>
        <v>220</v>
      </c>
      <c r="E151" s="4">
        <f t="shared" si="31"/>
        <v>242</v>
      </c>
      <c r="F151" s="4">
        <f t="shared" si="31"/>
        <v>266.2</v>
      </c>
      <c r="G151" s="4">
        <f t="shared" si="31"/>
        <v>292.82</v>
      </c>
      <c r="H151" s="4">
        <f t="shared" si="31"/>
        <v>322.10200000000003</v>
      </c>
      <c r="I151" s="4"/>
      <c r="J151" s="4">
        <v>200</v>
      </c>
      <c r="K151" s="4">
        <v>0</v>
      </c>
      <c r="L151" s="4">
        <f t="shared" ref="L151:L152" si="32">SUM(J151:K151)</f>
        <v>200</v>
      </c>
      <c r="M151" s="4"/>
      <c r="N151" s="4" t="s">
        <v>130</v>
      </c>
      <c r="O151" s="4"/>
      <c r="P151" s="4"/>
      <c r="R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4">
      <c r="B152" s="16" t="s">
        <v>25</v>
      </c>
      <c r="C152" s="4">
        <f t="shared" si="30"/>
        <v>100</v>
      </c>
      <c r="D152" s="4">
        <f t="shared" si="31"/>
        <v>110</v>
      </c>
      <c r="E152" s="4">
        <f t="shared" si="31"/>
        <v>121</v>
      </c>
      <c r="F152" s="4">
        <f t="shared" si="31"/>
        <v>133.1</v>
      </c>
      <c r="G152" s="4">
        <f t="shared" si="31"/>
        <v>146.41</v>
      </c>
      <c r="H152" s="4">
        <f t="shared" si="31"/>
        <v>161.05099999999999</v>
      </c>
      <c r="I152" s="4"/>
      <c r="J152" s="4">
        <v>100</v>
      </c>
      <c r="K152" s="4">
        <v>0</v>
      </c>
      <c r="L152" s="4">
        <f t="shared" si="32"/>
        <v>100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s="26" customFormat="1" x14ac:dyDescent="0.4">
      <c r="A153" s="48"/>
      <c r="B153" s="6" t="s">
        <v>104</v>
      </c>
      <c r="C153" s="25">
        <f>SUM(C150:C152)</f>
        <v>325</v>
      </c>
      <c r="D153" s="25">
        <f t="shared" ref="D153:L153" si="33">SUM(D150:D152)</f>
        <v>355</v>
      </c>
      <c r="E153" s="25">
        <f t="shared" si="33"/>
        <v>388</v>
      </c>
      <c r="F153" s="25">
        <f t="shared" si="33"/>
        <v>424.29999999999995</v>
      </c>
      <c r="G153" s="25">
        <f t="shared" si="33"/>
        <v>464.23</v>
      </c>
      <c r="H153" s="25">
        <f t="shared" si="33"/>
        <v>508.15300000000002</v>
      </c>
      <c r="I153" s="25"/>
      <c r="J153" s="25">
        <f t="shared" si="33"/>
        <v>350</v>
      </c>
      <c r="K153" s="25"/>
      <c r="L153" s="25">
        <f t="shared" si="33"/>
        <v>325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x14ac:dyDescent="0.4">
      <c r="B154" s="15" t="s">
        <v>105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4">
      <c r="B155" s="16" t="s">
        <v>26</v>
      </c>
      <c r="C155" s="4">
        <f t="shared" ref="C155:C157" si="34">L155</f>
        <v>1217</v>
      </c>
      <c r="D155" s="4">
        <f>D357</f>
        <v>1213.55</v>
      </c>
      <c r="E155" s="4">
        <f t="shared" ref="E155:H155" si="35">E357</f>
        <v>1211.1999999999998</v>
      </c>
      <c r="F155" s="4">
        <f t="shared" si="35"/>
        <v>1210.06</v>
      </c>
      <c r="G155" s="4">
        <f t="shared" si="35"/>
        <v>1210.251</v>
      </c>
      <c r="H155" s="4">
        <f t="shared" si="35"/>
        <v>1211.9060999999999</v>
      </c>
      <c r="I155" s="4"/>
      <c r="J155" s="4">
        <v>1000</v>
      </c>
      <c r="K155" s="4">
        <v>216.75</v>
      </c>
      <c r="L155" s="4">
        <v>1217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4">
      <c r="B156" s="16" t="s">
        <v>124</v>
      </c>
      <c r="C156" s="4">
        <f t="shared" si="34"/>
        <v>45</v>
      </c>
      <c r="D156" s="4">
        <f>C156+D337</f>
        <v>40.5</v>
      </c>
      <c r="E156" s="4">
        <f>D156+E337</f>
        <v>36</v>
      </c>
      <c r="F156" s="4">
        <f>E156+F337</f>
        <v>31.5</v>
      </c>
      <c r="G156" s="4">
        <f>F156+G337</f>
        <v>27</v>
      </c>
      <c r="H156" s="4">
        <f>G156+H337</f>
        <v>22.5</v>
      </c>
      <c r="I156" s="4"/>
      <c r="J156" s="4">
        <v>0</v>
      </c>
      <c r="K156" s="4">
        <f>$C$82</f>
        <v>45</v>
      </c>
      <c r="L156" s="4">
        <f>SUM(J156:K156)</f>
        <v>45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4">
      <c r="B157" s="16" t="s">
        <v>106</v>
      </c>
      <c r="C157" s="4">
        <f t="shared" si="34"/>
        <v>1328.25</v>
      </c>
      <c r="D157" s="4">
        <f>C157</f>
        <v>1328.25</v>
      </c>
      <c r="E157" s="4">
        <f t="shared" ref="E157" si="36">D157</f>
        <v>1328.25</v>
      </c>
      <c r="F157" s="4">
        <f>E157</f>
        <v>1328.25</v>
      </c>
      <c r="G157" s="4">
        <f>F157</f>
        <v>1328.25</v>
      </c>
      <c r="H157" s="4">
        <f>G157</f>
        <v>1328.25</v>
      </c>
      <c r="I157" s="4"/>
      <c r="J157" s="4">
        <v>100</v>
      </c>
      <c r="K157" s="4">
        <v>1228.25</v>
      </c>
      <c r="L157" s="4">
        <f>SUM(J157:K157)</f>
        <v>1328.25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s="26" customFormat="1" x14ac:dyDescent="0.4">
      <c r="A158" s="48"/>
      <c r="B158" s="6" t="s">
        <v>105</v>
      </c>
      <c r="C158" s="25">
        <f>SUM(C155:C157)</f>
        <v>2590.25</v>
      </c>
      <c r="D158" s="25">
        <f t="shared" ref="D158:L158" si="37">SUM(D155:D157)</f>
        <v>2582.3000000000002</v>
      </c>
      <c r="E158" s="25">
        <f t="shared" si="37"/>
        <v>2575.4499999999998</v>
      </c>
      <c r="F158" s="25">
        <f t="shared" si="37"/>
        <v>2569.81</v>
      </c>
      <c r="G158" s="25">
        <f t="shared" si="37"/>
        <v>2565.5010000000002</v>
      </c>
      <c r="H158" s="25">
        <f t="shared" si="37"/>
        <v>2562.6561000000002</v>
      </c>
      <c r="I158" s="25"/>
      <c r="J158" s="25">
        <f t="shared" si="37"/>
        <v>1100</v>
      </c>
      <c r="K158" s="25"/>
      <c r="L158" s="25">
        <f t="shared" si="37"/>
        <v>2590.25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x14ac:dyDescent="0.4">
      <c r="B159" s="1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s="24" customFormat="1" x14ac:dyDescent="0.4">
      <c r="A160" s="47"/>
      <c r="B160" s="15" t="s">
        <v>107</v>
      </c>
      <c r="C160" s="23">
        <f t="shared" ref="C160:H160" si="38">SUM(C153,C158)</f>
        <v>2915.25</v>
      </c>
      <c r="D160" s="23">
        <f t="shared" si="38"/>
        <v>2937.3</v>
      </c>
      <c r="E160" s="23">
        <f t="shared" si="38"/>
        <v>2963.45</v>
      </c>
      <c r="F160" s="23">
        <f t="shared" si="38"/>
        <v>2994.1099999999997</v>
      </c>
      <c r="G160" s="23">
        <f t="shared" si="38"/>
        <v>3029.7310000000002</v>
      </c>
      <c r="H160" s="23">
        <f t="shared" si="38"/>
        <v>3070.8091000000004</v>
      </c>
      <c r="I160" s="23"/>
      <c r="J160" s="23">
        <f>SUM(J153,J158)</f>
        <v>1450</v>
      </c>
      <c r="K160" s="23"/>
      <c r="L160" s="23">
        <f>SUM(L153,L158)</f>
        <v>2915.25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</row>
    <row r="161" spans="1:51" x14ac:dyDescent="0.4">
      <c r="B161" s="1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4">
      <c r="B162" s="11" t="s">
        <v>108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4">
      <c r="B163" s="1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4">
      <c r="B164" s="11" t="s">
        <v>109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4">
      <c r="B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4">
      <c r="B166" s="29" t="s">
        <v>112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4">
      <c r="B167" s="16" t="s">
        <v>110</v>
      </c>
      <c r="C167" s="4">
        <f t="shared" ref="C167:C168" si="39">L167</f>
        <v>100</v>
      </c>
      <c r="D167" s="4">
        <f t="shared" ref="D167:H168" si="40">D316</f>
        <v>110</v>
      </c>
      <c r="E167" s="4">
        <f t="shared" si="40"/>
        <v>121</v>
      </c>
      <c r="F167" s="4">
        <f t="shared" si="40"/>
        <v>133.1</v>
      </c>
      <c r="G167" s="4">
        <f t="shared" si="40"/>
        <v>146.41</v>
      </c>
      <c r="H167" s="4">
        <f t="shared" si="40"/>
        <v>161.05099999999999</v>
      </c>
      <c r="I167" s="4"/>
      <c r="J167" s="4">
        <v>100</v>
      </c>
      <c r="K167" s="4"/>
      <c r="L167" s="4">
        <v>100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4">
      <c r="B168" s="16" t="s">
        <v>111</v>
      </c>
      <c r="C168" s="4">
        <f t="shared" si="39"/>
        <v>50</v>
      </c>
      <c r="D168" s="4">
        <f t="shared" si="40"/>
        <v>55</v>
      </c>
      <c r="E168" s="4">
        <f t="shared" si="40"/>
        <v>60.5</v>
      </c>
      <c r="F168" s="4">
        <f t="shared" si="40"/>
        <v>66.55</v>
      </c>
      <c r="G168" s="4">
        <f t="shared" si="40"/>
        <v>73.205000000000013</v>
      </c>
      <c r="H168" s="4">
        <f t="shared" si="40"/>
        <v>80.525500000000022</v>
      </c>
      <c r="I168" s="4"/>
      <c r="J168" s="4">
        <v>50</v>
      </c>
      <c r="K168" s="4"/>
      <c r="L168" s="4">
        <v>50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s="26" customFormat="1" x14ac:dyDescent="0.4">
      <c r="A169" s="48"/>
      <c r="B169" s="6" t="s">
        <v>115</v>
      </c>
      <c r="C169" s="25">
        <f>SUM(C167:C168)</f>
        <v>150</v>
      </c>
      <c r="D169" s="25">
        <f t="shared" ref="D169:L169" si="41">SUM(D167:D168)</f>
        <v>165</v>
      </c>
      <c r="E169" s="25">
        <f t="shared" si="41"/>
        <v>181.5</v>
      </c>
      <c r="F169" s="25">
        <f t="shared" si="41"/>
        <v>199.64999999999998</v>
      </c>
      <c r="G169" s="25">
        <f t="shared" si="41"/>
        <v>219.61500000000001</v>
      </c>
      <c r="H169" s="25">
        <f t="shared" si="41"/>
        <v>241.57650000000001</v>
      </c>
      <c r="I169" s="25"/>
      <c r="J169" s="25">
        <f t="shared" si="41"/>
        <v>150</v>
      </c>
      <c r="K169" s="25"/>
      <c r="L169" s="25">
        <f t="shared" si="41"/>
        <v>150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</row>
    <row r="170" spans="1:51" x14ac:dyDescent="0.4">
      <c r="C170" s="4"/>
      <c r="D170" s="4"/>
      <c r="E170" s="4" t="s">
        <v>12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4">
      <c r="B171" s="29" t="s">
        <v>113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4">
      <c r="B172" s="9" t="s">
        <v>47</v>
      </c>
      <c r="C172" s="4">
        <f t="shared" ref="C172:C175" si="42">L172</f>
        <v>0</v>
      </c>
      <c r="D172" s="4">
        <f>C172</f>
        <v>0</v>
      </c>
      <c r="E172" s="4">
        <f t="shared" ref="E172:H172" si="43">D172</f>
        <v>0</v>
      </c>
      <c r="F172" s="4">
        <f t="shared" si="43"/>
        <v>0</v>
      </c>
      <c r="G172" s="4">
        <f t="shared" si="43"/>
        <v>0</v>
      </c>
      <c r="H172" s="4">
        <f t="shared" si="43"/>
        <v>0</v>
      </c>
      <c r="I172" s="4"/>
      <c r="J172" s="4">
        <v>500</v>
      </c>
      <c r="K172" s="4">
        <f>-J172</f>
        <v>-500</v>
      </c>
      <c r="L172" s="4">
        <f>SUM(J172:K172)</f>
        <v>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4">
      <c r="B173" s="9" t="s">
        <v>14</v>
      </c>
      <c r="C173" s="4">
        <f t="shared" si="42"/>
        <v>150</v>
      </c>
      <c r="D173" s="4">
        <f>D208</f>
        <v>74.069999999999993</v>
      </c>
      <c r="E173" s="4">
        <f>E208</f>
        <v>0</v>
      </c>
      <c r="F173" s="4">
        <f>F208</f>
        <v>0</v>
      </c>
      <c r="G173" s="4">
        <f>G208</f>
        <v>0</v>
      </c>
      <c r="H173" s="4">
        <f>H208</f>
        <v>0</v>
      </c>
      <c r="I173" s="4"/>
      <c r="J173" s="4">
        <v>0</v>
      </c>
      <c r="K173" s="4">
        <f>$C$29</f>
        <v>150</v>
      </c>
      <c r="L173" s="4">
        <f>SUM(J173:K173)</f>
        <v>150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4">
      <c r="B174" s="9" t="s">
        <v>18</v>
      </c>
      <c r="C174" s="4">
        <f t="shared" si="42"/>
        <v>1200</v>
      </c>
      <c r="D174" s="4">
        <f>D228</f>
        <v>1188</v>
      </c>
      <c r="E174" s="4">
        <f>E228</f>
        <v>1157.3614700000001</v>
      </c>
      <c r="F174" s="4">
        <f>F228</f>
        <v>1033.6026517400001</v>
      </c>
      <c r="G174" s="4">
        <f>G228</f>
        <v>886.75416311308004</v>
      </c>
      <c r="H174" s="4">
        <f>H228</f>
        <v>713.99090796382939</v>
      </c>
      <c r="I174" s="4"/>
      <c r="J174" s="4">
        <v>0</v>
      </c>
      <c r="K174" s="4">
        <f>$C$35</f>
        <v>1200</v>
      </c>
      <c r="L174" s="4">
        <f>SUM(J174:K174)</f>
        <v>1200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4">
      <c r="B175" s="9" t="s">
        <v>27</v>
      </c>
      <c r="C175" s="4">
        <f t="shared" si="42"/>
        <v>600</v>
      </c>
      <c r="D175" s="4">
        <f>D238</f>
        <v>630</v>
      </c>
      <c r="E175" s="4">
        <f>E238</f>
        <v>661.5</v>
      </c>
      <c r="F175" s="4">
        <f>F238</f>
        <v>694.57500000000005</v>
      </c>
      <c r="G175" s="4">
        <f>G238</f>
        <v>729.30375000000004</v>
      </c>
      <c r="H175" s="4">
        <f>H238</f>
        <v>765.76893749999999</v>
      </c>
      <c r="I175" s="4"/>
      <c r="J175" s="4">
        <v>0</v>
      </c>
      <c r="K175" s="4">
        <f>$C$40</f>
        <v>600</v>
      </c>
      <c r="L175" s="4">
        <f t="shared" ref="L175" si="44">SUM(J175:K175)</f>
        <v>600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s="26" customFormat="1" x14ac:dyDescent="0.4">
      <c r="A176" s="48"/>
      <c r="B176" s="6" t="s">
        <v>114</v>
      </c>
      <c r="C176" s="25">
        <f>SUM(C172:C175)</f>
        <v>1950</v>
      </c>
      <c r="D176" s="25">
        <f t="shared" ref="D176:H176" si="45">SUM(D172:D175)</f>
        <v>1892.07</v>
      </c>
      <c r="E176" s="25">
        <f t="shared" si="45"/>
        <v>1818.8614700000001</v>
      </c>
      <c r="F176" s="25">
        <f t="shared" si="45"/>
        <v>1728.1776517400001</v>
      </c>
      <c r="G176" s="25">
        <f t="shared" si="45"/>
        <v>1616.0579131130801</v>
      </c>
      <c r="H176" s="25">
        <f t="shared" si="45"/>
        <v>1479.7598454638294</v>
      </c>
      <c r="I176" s="25"/>
      <c r="J176" s="25">
        <f>SUM(J172:J175)</f>
        <v>500</v>
      </c>
      <c r="K176" s="25"/>
      <c r="L176" s="25">
        <f>SUM(L172:L175)</f>
        <v>1950</v>
      </c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</row>
    <row r="177" spans="1:51" s="24" customFormat="1" x14ac:dyDescent="0.4">
      <c r="A177" s="47"/>
      <c r="B177" s="15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</row>
    <row r="178" spans="1:51" s="24" customFormat="1" x14ac:dyDescent="0.4">
      <c r="A178" s="47"/>
      <c r="B178" s="15" t="s">
        <v>116</v>
      </c>
      <c r="C178" s="23">
        <f>SUM(C169,C176)</f>
        <v>2100</v>
      </c>
      <c r="D178" s="23">
        <f t="shared" ref="D178:H178" si="46">SUM(D169,D176)</f>
        <v>2057.0699999999997</v>
      </c>
      <c r="E178" s="23">
        <f t="shared" si="46"/>
        <v>2000.3614700000001</v>
      </c>
      <c r="F178" s="23">
        <f t="shared" si="46"/>
        <v>1927.82765174</v>
      </c>
      <c r="G178" s="23">
        <f t="shared" si="46"/>
        <v>1835.6729131130801</v>
      </c>
      <c r="H178" s="23">
        <f t="shared" si="46"/>
        <v>1721.3363454638293</v>
      </c>
      <c r="I178" s="23"/>
      <c r="J178" s="23">
        <f>SUM(J169,J176)</f>
        <v>650</v>
      </c>
      <c r="K178" s="23"/>
      <c r="L178" s="23">
        <f>SUM(L169,L176)</f>
        <v>2100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</row>
    <row r="179" spans="1:51" s="24" customFormat="1" x14ac:dyDescent="0.4">
      <c r="A179" s="47"/>
      <c r="B179" s="15"/>
      <c r="C179" s="23"/>
      <c r="D179" s="23"/>
      <c r="E179" s="23"/>
      <c r="F179" s="23"/>
      <c r="G179" s="23"/>
      <c r="H179" s="23"/>
      <c r="I179" s="23"/>
      <c r="J179" s="23"/>
      <c r="K179" s="23"/>
      <c r="L179" s="23" t="s">
        <v>12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</row>
    <row r="180" spans="1:51" s="24" customFormat="1" x14ac:dyDescent="0.4">
      <c r="A180" s="47"/>
      <c r="B180" s="15" t="s">
        <v>117</v>
      </c>
      <c r="C180" s="4">
        <f t="shared" ref="C180" si="47">L180</f>
        <v>815</v>
      </c>
      <c r="D180" s="4">
        <f>C180+D112</f>
        <v>879.98</v>
      </c>
      <c r="E180" s="4">
        <f>D180+E112</f>
        <v>962.83852999999999</v>
      </c>
      <c r="F180" s="4">
        <f>E180+F112</f>
        <v>1066.0323482599999</v>
      </c>
      <c r="G180" s="4">
        <f>F180+G112</f>
        <v>1193.8080868869199</v>
      </c>
      <c r="H180" s="4">
        <f>G180+H112</f>
        <v>1349.2227545361707</v>
      </c>
      <c r="I180" s="23"/>
      <c r="J180" s="23">
        <v>800</v>
      </c>
      <c r="K180" s="23">
        <f>-J180+C73+C74</f>
        <v>15</v>
      </c>
      <c r="L180" s="23">
        <f>SUM(J180:K180)</f>
        <v>815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</row>
    <row r="181" spans="1:51" s="24" customFormat="1" x14ac:dyDescent="0.4">
      <c r="A181" s="47"/>
      <c r="B181" s="15"/>
      <c r="C181" s="23"/>
      <c r="D181" s="23"/>
      <c r="E181" s="23"/>
      <c r="F181" s="23"/>
      <c r="G181" s="23"/>
      <c r="H181" s="23"/>
      <c r="I181" s="23"/>
      <c r="J181" s="23" t="s">
        <v>12</v>
      </c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</row>
    <row r="182" spans="1:51" s="24" customFormat="1" x14ac:dyDescent="0.4">
      <c r="A182" s="47"/>
      <c r="B182" s="15" t="s">
        <v>118</v>
      </c>
      <c r="C182" s="23">
        <f>SUM(C178,C180)</f>
        <v>2915</v>
      </c>
      <c r="D182" s="23">
        <f t="shared" ref="D182:H182" si="48">SUM(D178,D180)</f>
        <v>2937.0499999999997</v>
      </c>
      <c r="E182" s="23">
        <f t="shared" si="48"/>
        <v>2963.2</v>
      </c>
      <c r="F182" s="23">
        <f t="shared" si="48"/>
        <v>2993.8599999999997</v>
      </c>
      <c r="G182" s="23">
        <f t="shared" si="48"/>
        <v>3029.4809999999998</v>
      </c>
      <c r="H182" s="23">
        <f t="shared" si="48"/>
        <v>3070.5590999999999</v>
      </c>
      <c r="I182" s="23"/>
      <c r="J182" s="23">
        <f>SUM(J178,J180)</f>
        <v>1450</v>
      </c>
      <c r="K182" s="23"/>
      <c r="L182" s="23">
        <f>SUM(L178,L180)</f>
        <v>2915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</row>
    <row r="183" spans="1:51" s="24" customFormat="1" x14ac:dyDescent="0.4">
      <c r="A183" s="47"/>
      <c r="B183" s="9" t="s">
        <v>119</v>
      </c>
      <c r="C183" s="4">
        <f>C160-C182</f>
        <v>0.25</v>
      </c>
      <c r="D183" s="4">
        <f t="shared" ref="D183:H183" si="49">D160-D182</f>
        <v>0.25000000000045475</v>
      </c>
      <c r="E183" s="4">
        <f t="shared" si="49"/>
        <v>0.25</v>
      </c>
      <c r="F183" s="4">
        <f t="shared" si="49"/>
        <v>0.25</v>
      </c>
      <c r="G183" s="4">
        <f t="shared" si="49"/>
        <v>0.25000000000045475</v>
      </c>
      <c r="H183" s="4">
        <f t="shared" si="49"/>
        <v>0.25000000000045475</v>
      </c>
      <c r="I183" s="23"/>
      <c r="J183" s="91">
        <f>J160-J182</f>
        <v>0</v>
      </c>
      <c r="K183" s="23"/>
      <c r="L183" s="91">
        <f>L160-L182</f>
        <v>0.25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</row>
    <row r="184" spans="1:51" s="24" customFormat="1" x14ac:dyDescent="0.4">
      <c r="A184" s="47"/>
      <c r="B184" s="15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</row>
    <row r="185" spans="1:51" s="5" customFormat="1" x14ac:dyDescent="0.4">
      <c r="A185" s="44" t="s">
        <v>99</v>
      </c>
      <c r="B185" s="14" t="s">
        <v>131</v>
      </c>
    </row>
    <row r="186" spans="1:51" s="24" customFormat="1" x14ac:dyDescent="0.4">
      <c r="A186" s="47"/>
      <c r="B186" s="15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</row>
    <row r="187" spans="1:51" s="24" customFormat="1" x14ac:dyDescent="0.4">
      <c r="A187" s="47"/>
      <c r="B187" s="15" t="s">
        <v>132</v>
      </c>
      <c r="C187" s="4">
        <v>1465</v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</row>
    <row r="188" spans="1:51" s="24" customFormat="1" x14ac:dyDescent="0.4">
      <c r="A188" s="47"/>
      <c r="B188" s="15" t="s">
        <v>133</v>
      </c>
      <c r="C188" s="4">
        <v>20</v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</row>
    <row r="189" spans="1:51" s="26" customFormat="1" x14ac:dyDescent="0.4">
      <c r="A189" s="48"/>
      <c r="B189" s="6" t="s">
        <v>134</v>
      </c>
      <c r="C189" s="25">
        <f>C187-C188</f>
        <v>1445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</row>
    <row r="190" spans="1:51" s="24" customFormat="1" x14ac:dyDescent="0.4">
      <c r="A190" s="47"/>
      <c r="B190" s="9" t="s">
        <v>135</v>
      </c>
      <c r="C190" s="4">
        <f>C189*C55</f>
        <v>1228.25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</row>
    <row r="191" spans="1:51" s="24" customFormat="1" x14ac:dyDescent="0.4">
      <c r="A191" s="47"/>
      <c r="B191" s="9" t="s">
        <v>137</v>
      </c>
      <c r="C191" s="4">
        <f>C189*C56</f>
        <v>216.75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</row>
    <row r="192" spans="1:51" s="24" customFormat="1" x14ac:dyDescent="0.4">
      <c r="A192" s="47"/>
      <c r="B192" s="9" t="s">
        <v>164</v>
      </c>
      <c r="C192" s="4">
        <f>C191*C24</f>
        <v>86.7</v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</row>
    <row r="193" spans="1:51" x14ac:dyDescent="0.4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s="5" customFormat="1" x14ac:dyDescent="0.4">
      <c r="A194" s="44" t="s">
        <v>99</v>
      </c>
      <c r="B194" s="14" t="s">
        <v>165</v>
      </c>
    </row>
    <row r="195" spans="1:51" x14ac:dyDescent="0.4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4">
      <c r="B196" s="11" t="s">
        <v>14</v>
      </c>
    </row>
    <row r="198" spans="1:51" x14ac:dyDescent="0.4">
      <c r="B198" s="15" t="s">
        <v>166</v>
      </c>
    </row>
    <row r="199" spans="1:51" x14ac:dyDescent="0.4">
      <c r="B199" s="16" t="s">
        <v>167</v>
      </c>
      <c r="D199" s="4">
        <f>D$130</f>
        <v>87.93</v>
      </c>
      <c r="E199" s="4">
        <f t="shared" ref="E199:H199" si="50">E$130</f>
        <v>104.70853000000001</v>
      </c>
      <c r="F199" s="4">
        <f t="shared" si="50"/>
        <v>123.75881826</v>
      </c>
      <c r="G199" s="4">
        <f t="shared" si="50"/>
        <v>146.84848862692002</v>
      </c>
      <c r="H199" s="4">
        <f t="shared" si="50"/>
        <v>172.76325514925065</v>
      </c>
    </row>
    <row r="200" spans="1:51" x14ac:dyDescent="0.4">
      <c r="B200" s="16" t="s">
        <v>168</v>
      </c>
      <c r="D200" s="4">
        <f>C$150</f>
        <v>25</v>
      </c>
      <c r="E200" s="4">
        <f t="shared" ref="E200:H200" si="51">D$150</f>
        <v>25</v>
      </c>
      <c r="F200" s="4">
        <f t="shared" si="51"/>
        <v>25</v>
      </c>
      <c r="G200" s="4">
        <f t="shared" si="51"/>
        <v>25</v>
      </c>
      <c r="H200" s="4">
        <f t="shared" si="51"/>
        <v>25</v>
      </c>
    </row>
    <row r="201" spans="1:51" x14ac:dyDescent="0.4">
      <c r="B201" s="16" t="s">
        <v>169</v>
      </c>
      <c r="D201" s="4">
        <f>-$C$19</f>
        <v>-25</v>
      </c>
      <c r="E201" s="4">
        <f t="shared" ref="E201:H201" si="52">-$C$19</f>
        <v>-25</v>
      </c>
      <c r="F201" s="4">
        <f t="shared" si="52"/>
        <v>-25</v>
      </c>
      <c r="G201" s="4">
        <f t="shared" si="52"/>
        <v>-25</v>
      </c>
      <c r="H201" s="4">
        <f t="shared" si="52"/>
        <v>-25</v>
      </c>
    </row>
    <row r="202" spans="1:51" x14ac:dyDescent="0.4">
      <c r="B202" s="16" t="s">
        <v>170</v>
      </c>
      <c r="D202" s="4">
        <f>D227</f>
        <v>-12</v>
      </c>
      <c r="E202" s="4">
        <f t="shared" ref="E202:H202" si="53">E227</f>
        <v>-12</v>
      </c>
      <c r="F202" s="4">
        <f t="shared" si="53"/>
        <v>-12</v>
      </c>
      <c r="G202" s="4">
        <f t="shared" si="53"/>
        <v>-12</v>
      </c>
      <c r="H202" s="4">
        <f t="shared" si="53"/>
        <v>-12</v>
      </c>
    </row>
    <row r="203" spans="1:51" s="26" customFormat="1" x14ac:dyDescent="0.4">
      <c r="A203" s="48"/>
      <c r="B203" s="6" t="s">
        <v>166</v>
      </c>
      <c r="D203" s="25">
        <f>SUM(D199:D202)</f>
        <v>75.930000000000007</v>
      </c>
      <c r="E203" s="25">
        <f t="shared" ref="E203:H203" si="54">SUM(E199:E202)</f>
        <v>92.708529999999996</v>
      </c>
      <c r="F203" s="25">
        <f t="shared" si="54"/>
        <v>111.75881826</v>
      </c>
      <c r="G203" s="25">
        <f t="shared" si="54"/>
        <v>134.84848862692002</v>
      </c>
      <c r="H203" s="25">
        <f t="shared" si="54"/>
        <v>160.76325514925065</v>
      </c>
    </row>
    <row r="204" spans="1:51" x14ac:dyDescent="0.4">
      <c r="A204" s="52"/>
    </row>
    <row r="205" spans="1:51" x14ac:dyDescent="0.4">
      <c r="B205" s="9" t="s">
        <v>159</v>
      </c>
      <c r="D205" s="4">
        <f>$C$70</f>
        <v>150</v>
      </c>
      <c r="E205" s="4">
        <f>D208</f>
        <v>74.069999999999993</v>
      </c>
      <c r="F205" s="4">
        <f t="shared" ref="F205:H205" si="55">E208</f>
        <v>0</v>
      </c>
      <c r="G205" s="4">
        <f t="shared" si="55"/>
        <v>0</v>
      </c>
      <c r="H205" s="4">
        <f t="shared" si="55"/>
        <v>0</v>
      </c>
    </row>
    <row r="206" spans="1:51" x14ac:dyDescent="0.4">
      <c r="B206" s="35" t="s">
        <v>171</v>
      </c>
      <c r="D206" s="4">
        <f>-MIN(D203,0)</f>
        <v>0</v>
      </c>
      <c r="E206" s="4">
        <f>-MIN(E203,0)</f>
        <v>0</v>
      </c>
      <c r="F206" s="4">
        <f>-MIN(F203,0)</f>
        <v>0</v>
      </c>
      <c r="G206" s="4">
        <f>-MIN(G203,0)</f>
        <v>0</v>
      </c>
      <c r="H206" s="4">
        <f>-MIN(H203,0)</f>
        <v>0</v>
      </c>
    </row>
    <row r="207" spans="1:51" x14ac:dyDescent="0.4">
      <c r="B207" s="35" t="s">
        <v>172</v>
      </c>
      <c r="D207" s="4">
        <f>-MAX(MIN(D203,D205),0)</f>
        <v>-75.930000000000007</v>
      </c>
      <c r="E207" s="4">
        <f t="shared" ref="E207:H207" si="56">-MAX(MIN(E203,E205),0)</f>
        <v>-74.069999999999993</v>
      </c>
      <c r="F207" s="4">
        <f t="shared" si="56"/>
        <v>0</v>
      </c>
      <c r="G207" s="4">
        <f t="shared" si="56"/>
        <v>0</v>
      </c>
      <c r="H207" s="4">
        <f t="shared" si="56"/>
        <v>0</v>
      </c>
    </row>
    <row r="208" spans="1:51" s="26" customFormat="1" x14ac:dyDescent="0.4">
      <c r="A208" s="48"/>
      <c r="B208" s="6" t="s">
        <v>163</v>
      </c>
      <c r="D208" s="25">
        <f>SUM(D205:D207)</f>
        <v>74.069999999999993</v>
      </c>
      <c r="E208" s="25">
        <f t="shared" ref="E208" si="57">SUM(E205:E207)</f>
        <v>0</v>
      </c>
      <c r="F208" s="25">
        <f t="shared" ref="F208" si="58">SUM(F205:F207)</f>
        <v>0</v>
      </c>
      <c r="G208" s="25">
        <f t="shared" ref="G208" si="59">SUM(G205:G207)</f>
        <v>0</v>
      </c>
      <c r="H208" s="25">
        <f t="shared" ref="H208" si="60">SUM(H205:H207)</f>
        <v>0</v>
      </c>
    </row>
    <row r="209" spans="1:8" x14ac:dyDescent="0.4">
      <c r="B209" s="9" t="s">
        <v>175</v>
      </c>
      <c r="D209" s="60">
        <f>$C$30</f>
        <v>0.04</v>
      </c>
      <c r="E209" s="60">
        <f t="shared" ref="E209:H209" si="61">$C$30</f>
        <v>0.04</v>
      </c>
      <c r="F209" s="60">
        <f t="shared" si="61"/>
        <v>0.04</v>
      </c>
      <c r="G209" s="60">
        <f t="shared" si="61"/>
        <v>0.04</v>
      </c>
      <c r="H209" s="60">
        <f t="shared" si="61"/>
        <v>0.04</v>
      </c>
    </row>
    <row r="210" spans="1:8" x14ac:dyDescent="0.4">
      <c r="B210" s="9" t="s">
        <v>177</v>
      </c>
      <c r="D210" s="4">
        <f>IF($C$51="No",-D205*D209,-AVERAGE(D205,D208)*D209)</f>
        <v>-6</v>
      </c>
      <c r="E210" s="4">
        <f t="shared" ref="E210:H210" si="62">IF($C$51="No",-E205*E209,-AVERAGE(E205,E208)*E209)</f>
        <v>-2.9627999999999997</v>
      </c>
      <c r="F210" s="4">
        <f t="shared" si="62"/>
        <v>0</v>
      </c>
      <c r="G210" s="4">
        <f t="shared" si="62"/>
        <v>0</v>
      </c>
      <c r="H210" s="4">
        <f t="shared" si="62"/>
        <v>0</v>
      </c>
    </row>
    <row r="212" spans="1:8" x14ac:dyDescent="0.4">
      <c r="B212" s="9" t="s">
        <v>24</v>
      </c>
      <c r="D212" s="4">
        <f>$C$31</f>
        <v>300</v>
      </c>
      <c r="E212" s="4">
        <f t="shared" ref="E212:H212" si="63">$C$31</f>
        <v>300</v>
      </c>
      <c r="F212" s="4">
        <f t="shared" si="63"/>
        <v>300</v>
      </c>
      <c r="G212" s="4">
        <f t="shared" si="63"/>
        <v>300</v>
      </c>
      <c r="H212" s="4">
        <f t="shared" si="63"/>
        <v>300</v>
      </c>
    </row>
    <row r="213" spans="1:8" x14ac:dyDescent="0.4">
      <c r="B213" s="9" t="s">
        <v>180</v>
      </c>
      <c r="D213" s="4">
        <f>IF($C$51="No",D212-D205,D212-AVERAGE(D205,D208))</f>
        <v>150</v>
      </c>
      <c r="E213" s="4">
        <f t="shared" ref="E213:H213" si="64">IF($C$51="No",E212-E205,E212-AVERAGE(E205,E208))</f>
        <v>225.93</v>
      </c>
      <c r="F213" s="4">
        <f t="shared" si="64"/>
        <v>300</v>
      </c>
      <c r="G213" s="4">
        <f t="shared" si="64"/>
        <v>300</v>
      </c>
      <c r="H213" s="4">
        <f t="shared" si="64"/>
        <v>300</v>
      </c>
    </row>
    <row r="214" spans="1:8" x14ac:dyDescent="0.4">
      <c r="B214" s="9" t="s">
        <v>182</v>
      </c>
      <c r="D214" s="60">
        <f>$C$32</f>
        <v>5.0000000000000001E-3</v>
      </c>
      <c r="E214" s="60">
        <f t="shared" ref="E214:H214" si="65">$C$32</f>
        <v>5.0000000000000001E-3</v>
      </c>
      <c r="F214" s="60">
        <f t="shared" si="65"/>
        <v>5.0000000000000001E-3</v>
      </c>
      <c r="G214" s="60">
        <f t="shared" si="65"/>
        <v>5.0000000000000001E-3</v>
      </c>
      <c r="H214" s="60">
        <f t="shared" si="65"/>
        <v>5.0000000000000001E-3</v>
      </c>
    </row>
    <row r="215" spans="1:8" s="24" customFormat="1" x14ac:dyDescent="0.4">
      <c r="A215" s="47"/>
      <c r="B215" s="9" t="s">
        <v>181</v>
      </c>
      <c r="D215" s="4">
        <f>-D213*D214</f>
        <v>-0.75</v>
      </c>
      <c r="E215" s="4">
        <f t="shared" ref="E215:H215" si="66">-E213*E214</f>
        <v>-1.12965</v>
      </c>
      <c r="F215" s="4">
        <f t="shared" si="66"/>
        <v>-1.5</v>
      </c>
      <c r="G215" s="4">
        <f t="shared" si="66"/>
        <v>-1.5</v>
      </c>
      <c r="H215" s="4">
        <f t="shared" si="66"/>
        <v>-1.5</v>
      </c>
    </row>
    <row r="217" spans="1:8" x14ac:dyDescent="0.4">
      <c r="B217" s="11" t="s">
        <v>18</v>
      </c>
    </row>
    <row r="219" spans="1:8" x14ac:dyDescent="0.4">
      <c r="B219" s="15" t="s">
        <v>173</v>
      </c>
    </row>
    <row r="220" spans="1:8" x14ac:dyDescent="0.4">
      <c r="B220" s="16" t="s">
        <v>166</v>
      </c>
      <c r="D220" s="4">
        <f>D203</f>
        <v>75.930000000000007</v>
      </c>
      <c r="E220" s="4">
        <f>E203</f>
        <v>92.708529999999996</v>
      </c>
      <c r="F220" s="4">
        <f>F203</f>
        <v>111.75881826</v>
      </c>
      <c r="G220" s="4">
        <f>G203</f>
        <v>134.84848862692002</v>
      </c>
      <c r="H220" s="4">
        <f>H203</f>
        <v>160.76325514925065</v>
      </c>
    </row>
    <row r="221" spans="1:8" x14ac:dyDescent="0.4">
      <c r="B221" s="16" t="s">
        <v>174</v>
      </c>
      <c r="D221" s="4">
        <f>SUM(D206:D207)</f>
        <v>-75.930000000000007</v>
      </c>
      <c r="E221" s="4">
        <f>SUM(E206:E207)</f>
        <v>-74.069999999999993</v>
      </c>
      <c r="F221" s="4">
        <f>SUM(F206:F207)</f>
        <v>0</v>
      </c>
      <c r="G221" s="4">
        <f>SUM(G206:G207)</f>
        <v>0</v>
      </c>
      <c r="H221" s="4">
        <f>SUM(H206:H207)</f>
        <v>0</v>
      </c>
    </row>
    <row r="222" spans="1:8" s="26" customFormat="1" x14ac:dyDescent="0.4">
      <c r="A222" s="48"/>
      <c r="B222" s="6" t="s">
        <v>173</v>
      </c>
      <c r="D222" s="25">
        <f>SUM(D220:D221)</f>
        <v>0</v>
      </c>
      <c r="E222" s="25">
        <f t="shared" ref="E222:G222" si="67">SUM(E220:E221)</f>
        <v>18.638530000000003</v>
      </c>
      <c r="F222" s="25">
        <f t="shared" si="67"/>
        <v>111.75881826</v>
      </c>
      <c r="G222" s="25">
        <f t="shared" si="67"/>
        <v>134.84848862692002</v>
      </c>
      <c r="H222" s="25">
        <f>SUM(H220:H221)</f>
        <v>160.76325514925065</v>
      </c>
    </row>
    <row r="224" spans="1:8" x14ac:dyDescent="0.4">
      <c r="B224" s="9" t="s">
        <v>159</v>
      </c>
      <c r="D224" s="4">
        <f>$C$71</f>
        <v>1200</v>
      </c>
      <c r="E224" s="4">
        <f>D228</f>
        <v>1188</v>
      </c>
      <c r="F224" s="4">
        <f>E228</f>
        <v>1157.3614700000001</v>
      </c>
      <c r="G224" s="4">
        <f>F228</f>
        <v>1033.6026517400001</v>
      </c>
      <c r="H224" s="4">
        <f>G228</f>
        <v>886.75416311308004</v>
      </c>
    </row>
    <row r="225" spans="1:8" x14ac:dyDescent="0.4">
      <c r="A225" s="52"/>
      <c r="B225" s="16" t="s">
        <v>171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</row>
    <row r="226" spans="1:8" x14ac:dyDescent="0.4">
      <c r="B226" s="16" t="s">
        <v>172</v>
      </c>
      <c r="D226" s="4">
        <f>-MAX(MIN(D224,D222),0)</f>
        <v>0</v>
      </c>
      <c r="E226" s="4">
        <f t="shared" ref="E226" si="68">-MAX(MIN(E224,E222),0)</f>
        <v>-18.638530000000003</v>
      </c>
      <c r="F226" s="4">
        <f t="shared" ref="F226:H226" si="69">-MAX(MIN(F224,F222),0)</f>
        <v>-111.75881826</v>
      </c>
      <c r="G226" s="4">
        <f t="shared" si="69"/>
        <v>-134.84848862692002</v>
      </c>
      <c r="H226" s="4">
        <f t="shared" si="69"/>
        <v>-160.76325514925065</v>
      </c>
    </row>
    <row r="227" spans="1:8" x14ac:dyDescent="0.4">
      <c r="B227" s="16" t="s">
        <v>170</v>
      </c>
      <c r="D227" s="4">
        <f>-$D$224*$C$37</f>
        <v>-12</v>
      </c>
      <c r="E227" s="4">
        <f>-$D$224*$C$37</f>
        <v>-12</v>
      </c>
      <c r="F227" s="4">
        <f>-$D$224*$C$37</f>
        <v>-12</v>
      </c>
      <c r="G227" s="4">
        <f>-$D$224*$C$37</f>
        <v>-12</v>
      </c>
      <c r="H227" s="4">
        <f>-$D$224*$C$37</f>
        <v>-12</v>
      </c>
    </row>
    <row r="228" spans="1:8" s="26" customFormat="1" x14ac:dyDescent="0.4">
      <c r="A228" s="48"/>
      <c r="B228" s="6" t="s">
        <v>163</v>
      </c>
      <c r="D228" s="25">
        <f>SUM(D224:D227)</f>
        <v>1188</v>
      </c>
      <c r="E228" s="25">
        <f>SUM(E224:E227)</f>
        <v>1157.3614700000001</v>
      </c>
      <c r="F228" s="25">
        <f>SUM(F224:F227)</f>
        <v>1033.6026517400001</v>
      </c>
      <c r="G228" s="25">
        <f>SUM(G224:G227)</f>
        <v>886.75416311308004</v>
      </c>
      <c r="H228" s="25">
        <f>SUM(H224:H227)</f>
        <v>713.99090796382939</v>
      </c>
    </row>
    <row r="229" spans="1:8" s="24" customFormat="1" x14ac:dyDescent="0.4">
      <c r="A229" s="47"/>
      <c r="B229" s="16" t="s">
        <v>175</v>
      </c>
      <c r="D229" s="74">
        <f>$C$36</f>
        <v>7.0000000000000007E-2</v>
      </c>
      <c r="E229" s="74">
        <f t="shared" ref="E229:H229" si="70">$C$36</f>
        <v>7.0000000000000007E-2</v>
      </c>
      <c r="F229" s="74">
        <f t="shared" si="70"/>
        <v>7.0000000000000007E-2</v>
      </c>
      <c r="G229" s="74">
        <f t="shared" si="70"/>
        <v>7.0000000000000007E-2</v>
      </c>
      <c r="H229" s="74">
        <f t="shared" si="70"/>
        <v>7.0000000000000007E-2</v>
      </c>
    </row>
    <row r="230" spans="1:8" s="24" customFormat="1" x14ac:dyDescent="0.4">
      <c r="A230" s="47"/>
      <c r="B230" s="16" t="s">
        <v>177</v>
      </c>
      <c r="D230" s="4">
        <f>-IF($C$51="No",D224*D229,AVERAGE(D224,D228)*D229)</f>
        <v>-84.000000000000014</v>
      </c>
      <c r="E230" s="4">
        <f t="shared" ref="E230:H230" si="71">-IF($C$51="No",E224*E229,AVERAGE(E224,E228)*E229)</f>
        <v>-83.160000000000011</v>
      </c>
      <c r="F230" s="4">
        <f t="shared" si="71"/>
        <v>-81.015302900000009</v>
      </c>
      <c r="G230" s="4">
        <f t="shared" si="71"/>
        <v>-72.352185621800004</v>
      </c>
      <c r="H230" s="4">
        <f t="shared" si="71"/>
        <v>-62.07279141791561</v>
      </c>
    </row>
    <row r="231" spans="1:8" s="24" customFormat="1" x14ac:dyDescent="0.4">
      <c r="A231" s="47"/>
      <c r="B231" s="16"/>
      <c r="D231" s="4"/>
      <c r="E231" s="4"/>
      <c r="F231" s="4"/>
      <c r="G231" s="4"/>
      <c r="H231" s="4"/>
    </row>
    <row r="232" spans="1:8" x14ac:dyDescent="0.4">
      <c r="B232" s="11" t="s">
        <v>27</v>
      </c>
    </row>
    <row r="233" spans="1:8" x14ac:dyDescent="0.4">
      <c r="B233" s="11"/>
    </row>
    <row r="234" spans="1:8" x14ac:dyDescent="0.4">
      <c r="B234" s="9" t="s">
        <v>159</v>
      </c>
      <c r="D234" s="4">
        <f>C72</f>
        <v>600</v>
      </c>
      <c r="E234" s="4">
        <f>D238</f>
        <v>630</v>
      </c>
      <c r="F234" s="4">
        <f t="shared" ref="F234:H234" si="72">E238</f>
        <v>661.5</v>
      </c>
      <c r="G234" s="4">
        <f t="shared" si="72"/>
        <v>694.57500000000005</v>
      </c>
      <c r="H234" s="4">
        <f t="shared" si="72"/>
        <v>729.30375000000004</v>
      </c>
    </row>
    <row r="235" spans="1:8" x14ac:dyDescent="0.4">
      <c r="B235" s="16" t="s">
        <v>171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</row>
    <row r="236" spans="1:8" x14ac:dyDescent="0.4">
      <c r="B236" s="16" t="s">
        <v>172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</row>
    <row r="237" spans="1:8" x14ac:dyDescent="0.4">
      <c r="B237" s="16" t="s">
        <v>179</v>
      </c>
      <c r="D237" s="4">
        <f>-D242</f>
        <v>30</v>
      </c>
      <c r="E237" s="4">
        <f t="shared" ref="E237:H237" si="73">-E242</f>
        <v>31.5</v>
      </c>
      <c r="F237" s="4">
        <f t="shared" si="73"/>
        <v>33.075000000000003</v>
      </c>
      <c r="G237" s="4">
        <f t="shared" si="73"/>
        <v>34.728750000000005</v>
      </c>
      <c r="H237" s="4">
        <f t="shared" si="73"/>
        <v>36.465187500000006</v>
      </c>
    </row>
    <row r="238" spans="1:8" s="26" customFormat="1" x14ac:dyDescent="0.4">
      <c r="A238" s="48"/>
      <c r="B238" s="6" t="s">
        <v>163</v>
      </c>
      <c r="D238" s="59">
        <f>SUM(D234:D237)</f>
        <v>630</v>
      </c>
      <c r="E238" s="59">
        <f>SUM(E234:E237)</f>
        <v>661.5</v>
      </c>
      <c r="F238" s="59">
        <f>SUM(F234:F237)</f>
        <v>694.57500000000005</v>
      </c>
      <c r="G238" s="59">
        <f>SUM(G234:G237)</f>
        <v>729.30375000000004</v>
      </c>
      <c r="H238" s="59">
        <f>SUM(H234:H237)</f>
        <v>765.76893749999999</v>
      </c>
    </row>
    <row r="239" spans="1:8" x14ac:dyDescent="0.4">
      <c r="B239" s="9" t="s">
        <v>175</v>
      </c>
      <c r="D239" s="60">
        <f>$C$41</f>
        <v>0.1</v>
      </c>
      <c r="E239" s="60">
        <f>D239</f>
        <v>0.1</v>
      </c>
      <c r="F239" s="60">
        <f t="shared" ref="F239:H239" si="74">E239</f>
        <v>0.1</v>
      </c>
      <c r="G239" s="60">
        <f t="shared" si="74"/>
        <v>0.1</v>
      </c>
      <c r="H239" s="60">
        <f t="shared" si="74"/>
        <v>0.1</v>
      </c>
    </row>
    <row r="240" spans="1:8" x14ac:dyDescent="0.4">
      <c r="B240" s="9" t="s">
        <v>177</v>
      </c>
      <c r="D240" s="4">
        <f>IF($C$51="No",-D$234*D239,-AVERAGE(D234,D$238)*D239)</f>
        <v>-60</v>
      </c>
      <c r="E240" s="4">
        <f>IF($C$51="No",-E$234*E239,-AVERAGE(E234,E$238)*E239)</f>
        <v>-63</v>
      </c>
      <c r="F240" s="4">
        <f>IF($C$51="No",-F$234*F239,-AVERAGE(F234,F$238)*F239)</f>
        <v>-66.150000000000006</v>
      </c>
      <c r="G240" s="4">
        <f>IF($C$51="No",-G$234*G239,-AVERAGE(G234,G$238)*G239)</f>
        <v>-69.45750000000001</v>
      </c>
      <c r="H240" s="4">
        <f>IF($C$51="No",-H$234*H239,-AVERAGE(H234,H$238)*H239)</f>
        <v>-72.930375000000012</v>
      </c>
    </row>
    <row r="241" spans="1:51" x14ac:dyDescent="0.4">
      <c r="B241" s="9" t="s">
        <v>176</v>
      </c>
      <c r="D241" s="60">
        <f>$C$42</f>
        <v>0.05</v>
      </c>
      <c r="E241" s="60">
        <f t="shared" ref="E241:H241" si="75">$C$42</f>
        <v>0.05</v>
      </c>
      <c r="F241" s="60">
        <f t="shared" si="75"/>
        <v>0.05</v>
      </c>
      <c r="G241" s="60">
        <f t="shared" si="75"/>
        <v>0.05</v>
      </c>
      <c r="H241" s="60">
        <f t="shared" si="75"/>
        <v>0.05</v>
      </c>
    </row>
    <row r="242" spans="1:51" x14ac:dyDescent="0.4">
      <c r="B242" s="9" t="s">
        <v>178</v>
      </c>
      <c r="D242" s="4">
        <f>IF($C$51="No",-D$234*D241,-AVERAGE(D236,D$238)*D241)</f>
        <v>-30</v>
      </c>
      <c r="E242" s="4">
        <f>IF($C$51="No",-E$234*E241,-AVERAGE(E236,E$238)*E241)</f>
        <v>-31.5</v>
      </c>
      <c r="F242" s="4">
        <f>IF($C$51="No",-F$234*F241,-AVERAGE(F236,F$238)*F241)</f>
        <v>-33.075000000000003</v>
      </c>
      <c r="G242" s="4">
        <f>IF($C$51="No",-G$234*G241,-AVERAGE(G236,G$238)*G241)</f>
        <v>-34.728750000000005</v>
      </c>
      <c r="H242" s="4">
        <f>IF($C$51="No",-H$234*H241,-AVERAGE(H236,H$238)*H241)</f>
        <v>-36.465187500000006</v>
      </c>
    </row>
    <row r="244" spans="1:51" s="24" customFormat="1" x14ac:dyDescent="0.4">
      <c r="A244" s="53"/>
      <c r="B244" s="11" t="s">
        <v>186</v>
      </c>
    </row>
    <row r="245" spans="1:51" x14ac:dyDescent="0.4">
      <c r="B245" s="15" t="s">
        <v>187</v>
      </c>
      <c r="D245" s="23">
        <f>SUM(D208,D228,D238)</f>
        <v>1892.07</v>
      </c>
      <c r="E245" s="23">
        <f>SUM(E208,E228,E238)</f>
        <v>1818.8614700000001</v>
      </c>
      <c r="F245" s="23">
        <f>SUM(F208,F228,F238)</f>
        <v>1728.1776517400001</v>
      </c>
      <c r="G245" s="23">
        <f>SUM(G208,G228,G238)</f>
        <v>1616.0579131130801</v>
      </c>
      <c r="H245" s="23">
        <f>SUM(H208,H228,H238)</f>
        <v>1479.7598454638294</v>
      </c>
    </row>
    <row r="246" spans="1:51" x14ac:dyDescent="0.4">
      <c r="B246" s="9" t="s">
        <v>188</v>
      </c>
      <c r="D246" s="1">
        <f>D245/D99</f>
        <v>5.7335454545454541</v>
      </c>
      <c r="E246" s="1">
        <f>E245/E99</f>
        <v>5.0106376584022039</v>
      </c>
      <c r="F246" s="1">
        <f>F245/F99</f>
        <v>4.3280181611319817</v>
      </c>
      <c r="G246" s="1">
        <f>G245/G99</f>
        <v>3.6792976643514326</v>
      </c>
      <c r="H246" s="1">
        <f>H245/H99</f>
        <v>3.0627148035173724</v>
      </c>
    </row>
    <row r="247" spans="1:51" x14ac:dyDescent="0.4">
      <c r="B247" s="9" t="s">
        <v>183</v>
      </c>
      <c r="D247" s="4">
        <f>SUM(D210,D215,D230,D240)</f>
        <v>-150.75</v>
      </c>
      <c r="E247" s="4">
        <f>SUM(E210,E215,E230,E240)</f>
        <v>-150.25245000000001</v>
      </c>
      <c r="F247" s="4">
        <f>SUM(F210,F215,F230,F240)</f>
        <v>-148.66530290000003</v>
      </c>
      <c r="G247" s="4">
        <f>SUM(G210,G215,G230,G240)</f>
        <v>-143.30968562180001</v>
      </c>
      <c r="H247" s="4">
        <f>SUM(H210,H215,H230,H240)</f>
        <v>-136.50316641791562</v>
      </c>
    </row>
    <row r="248" spans="1:51" x14ac:dyDescent="0.4">
      <c r="B248" s="9" t="s">
        <v>184</v>
      </c>
      <c r="D248" s="4">
        <f>-D237</f>
        <v>-30</v>
      </c>
      <c r="E248" s="4">
        <f>-E237</f>
        <v>-31.5</v>
      </c>
      <c r="F248" s="4">
        <f>-F237</f>
        <v>-33.075000000000003</v>
      </c>
      <c r="G248" s="4">
        <f>-G237</f>
        <v>-34.728750000000005</v>
      </c>
      <c r="H248" s="4">
        <f>-H237</f>
        <v>-36.465187500000006</v>
      </c>
    </row>
    <row r="249" spans="1:51" x14ac:dyDescent="0.4">
      <c r="B249" s="9" t="s">
        <v>185</v>
      </c>
      <c r="D249" s="4">
        <f>SUM(D247:D248)</f>
        <v>-180.75</v>
      </c>
      <c r="E249" s="4">
        <f t="shared" ref="E249:H249" si="76">SUM(E247:E248)</f>
        <v>-181.75245000000001</v>
      </c>
      <c r="F249" s="4">
        <f t="shared" si="76"/>
        <v>-181.74030290000002</v>
      </c>
      <c r="G249" s="4">
        <f t="shared" si="76"/>
        <v>-178.03843562180003</v>
      </c>
      <c r="H249" s="4">
        <f t="shared" si="76"/>
        <v>-172.96835391791564</v>
      </c>
    </row>
    <row r="250" spans="1:51" ht="15.45" customHeight="1" x14ac:dyDescent="0.4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s="5" customFormat="1" x14ac:dyDescent="0.4">
      <c r="A251" s="44" t="s">
        <v>99</v>
      </c>
      <c r="B251" s="14" t="s">
        <v>192</v>
      </c>
    </row>
    <row r="252" spans="1:51" ht="14.15" customHeight="1" x14ac:dyDescent="0.4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24"/>
      <c r="R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4">
      <c r="B253" s="9" t="s">
        <v>193</v>
      </c>
      <c r="C253" s="4">
        <f>$H$99</f>
        <v>483.15300000000013</v>
      </c>
      <c r="D253" s="4"/>
      <c r="E253" s="4"/>
      <c r="F253" s="4"/>
      <c r="G253" s="4"/>
      <c r="H253" s="4"/>
      <c r="I253" s="4"/>
      <c r="J253" s="4"/>
      <c r="K253" s="4"/>
      <c r="L253" s="4"/>
    </row>
    <row r="254" spans="1:51" x14ac:dyDescent="0.4">
      <c r="B254" s="9" t="s">
        <v>4</v>
      </c>
      <c r="C254" s="1">
        <f>$C$12</f>
        <v>9</v>
      </c>
      <c r="D254" s="4"/>
      <c r="E254" s="4"/>
      <c r="F254" s="4"/>
      <c r="G254" s="4"/>
      <c r="H254" s="4"/>
      <c r="I254" s="4"/>
      <c r="J254" s="4"/>
      <c r="K254" s="4"/>
      <c r="L254" s="4"/>
    </row>
    <row r="255" spans="1:51" x14ac:dyDescent="0.4">
      <c r="B255" s="12" t="s">
        <v>6</v>
      </c>
      <c r="C255" s="59">
        <f>C253*C254</f>
        <v>4348.3770000000013</v>
      </c>
      <c r="D255" s="4"/>
      <c r="E255" s="4"/>
      <c r="F255" s="4"/>
      <c r="G255" s="4"/>
      <c r="H255" s="4"/>
      <c r="I255" s="4"/>
      <c r="J255" s="4"/>
      <c r="K255" s="4"/>
      <c r="L255" s="4"/>
    </row>
    <row r="256" spans="1:51" x14ac:dyDescent="0.4">
      <c r="B256" s="16" t="s">
        <v>194</v>
      </c>
      <c r="C256" s="4">
        <f>-$H$245</f>
        <v>-1479.7598454638294</v>
      </c>
      <c r="D256" s="4"/>
      <c r="E256" s="4"/>
      <c r="F256" s="4"/>
      <c r="G256" s="4"/>
      <c r="H256" s="4"/>
      <c r="I256" s="4"/>
      <c r="J256" s="4"/>
      <c r="K256" s="4"/>
      <c r="L256" s="4"/>
    </row>
    <row r="257" spans="2:12" x14ac:dyDescent="0.4">
      <c r="B257" s="16" t="s">
        <v>195</v>
      </c>
      <c r="C257" s="4">
        <f>$H$150</f>
        <v>25</v>
      </c>
      <c r="D257" s="4"/>
      <c r="E257" s="4"/>
      <c r="F257" s="4"/>
      <c r="G257" s="4"/>
      <c r="H257" s="4"/>
      <c r="I257" s="4"/>
      <c r="J257" s="4"/>
      <c r="K257" s="4"/>
      <c r="L257" s="4"/>
    </row>
    <row r="258" spans="2:12" x14ac:dyDescent="0.4">
      <c r="B258" s="16" t="s">
        <v>196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2:12" x14ac:dyDescent="0.4">
      <c r="B259" s="6" t="s">
        <v>197</v>
      </c>
      <c r="C259" s="25">
        <f>SUM(C255:C258)</f>
        <v>2893.6171545361722</v>
      </c>
      <c r="D259" s="4"/>
      <c r="E259" s="4"/>
      <c r="F259" s="4"/>
      <c r="G259" s="4"/>
      <c r="H259" s="4"/>
      <c r="I259" s="4"/>
      <c r="J259" s="4"/>
      <c r="K259" s="4"/>
      <c r="L259" s="4"/>
    </row>
    <row r="260" spans="2:12" x14ac:dyDescent="0.4"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2:12" x14ac:dyDescent="0.4">
      <c r="B261" s="15" t="s">
        <v>198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2:12" x14ac:dyDescent="0.4">
      <c r="B262" s="16" t="s">
        <v>57</v>
      </c>
      <c r="C262" s="4">
        <f>$C$73</f>
        <v>733.5</v>
      </c>
      <c r="D262" s="4"/>
      <c r="E262" s="4"/>
      <c r="F262" s="4"/>
      <c r="G262" s="4"/>
      <c r="H262" s="4"/>
      <c r="I262" s="4"/>
      <c r="J262" s="4"/>
      <c r="K262" s="4"/>
      <c r="L262" s="4"/>
    </row>
    <row r="263" spans="2:12" x14ac:dyDescent="0.4">
      <c r="B263" s="16" t="s">
        <v>9</v>
      </c>
      <c r="C263" s="4">
        <f>$C$74</f>
        <v>81.5</v>
      </c>
      <c r="D263" s="4"/>
      <c r="E263" s="4"/>
      <c r="F263" s="4"/>
      <c r="G263" s="4"/>
      <c r="H263" s="4"/>
      <c r="I263" s="4"/>
      <c r="J263" s="4"/>
      <c r="K263" s="4"/>
      <c r="L263" s="4"/>
    </row>
    <row r="264" spans="2:12" x14ac:dyDescent="0.4">
      <c r="B264" s="16" t="s">
        <v>10</v>
      </c>
      <c r="C264" s="4">
        <f>SUM(C262:C263)*$C$23</f>
        <v>40.75</v>
      </c>
      <c r="D264" s="4"/>
      <c r="E264" s="4"/>
      <c r="F264" s="4"/>
      <c r="G264" s="4"/>
      <c r="H264" s="4"/>
      <c r="I264" s="4"/>
      <c r="J264" s="4"/>
      <c r="K264" s="4"/>
      <c r="L264" s="4"/>
    </row>
    <row r="265" spans="2:12" x14ac:dyDescent="0.4">
      <c r="B265" s="12" t="s">
        <v>199</v>
      </c>
      <c r="C265" s="59">
        <f>SUM(C262:C264)</f>
        <v>855.75</v>
      </c>
      <c r="D265" s="4"/>
      <c r="E265" s="4"/>
      <c r="F265" s="4"/>
      <c r="G265" s="4"/>
      <c r="H265" s="4"/>
      <c r="I265" s="4"/>
      <c r="J265" s="4"/>
      <c r="K265" s="4"/>
      <c r="L265" s="4"/>
    </row>
    <row r="266" spans="2:12" x14ac:dyDescent="0.4"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2:12" x14ac:dyDescent="0.4">
      <c r="B267" s="15" t="s">
        <v>200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2:12" x14ac:dyDescent="0.4">
      <c r="B268" s="16" t="s">
        <v>57</v>
      </c>
      <c r="C268" s="60">
        <f>C262/C265</f>
        <v>0.8571428571428571</v>
      </c>
      <c r="D268" s="4"/>
      <c r="E268" s="4"/>
      <c r="F268" s="4"/>
      <c r="G268" s="4"/>
      <c r="H268" s="4"/>
      <c r="I268" s="4"/>
      <c r="J268" s="4"/>
      <c r="K268" s="4"/>
      <c r="L268" s="4"/>
    </row>
    <row r="269" spans="2:12" x14ac:dyDescent="0.4">
      <c r="B269" s="16" t="s">
        <v>9</v>
      </c>
      <c r="C269" s="60">
        <f>C263/C265</f>
        <v>9.5238095238095233E-2</v>
      </c>
      <c r="D269" s="4"/>
      <c r="E269" s="4"/>
      <c r="F269" s="4"/>
      <c r="G269" s="4"/>
      <c r="H269" s="4"/>
      <c r="I269" s="4"/>
      <c r="J269" s="4"/>
      <c r="K269" s="4"/>
      <c r="L269" s="4"/>
    </row>
    <row r="270" spans="2:12" x14ac:dyDescent="0.4">
      <c r="B270" s="16" t="s">
        <v>10</v>
      </c>
      <c r="C270" s="60">
        <f>C264/C265</f>
        <v>4.7619047619047616E-2</v>
      </c>
      <c r="D270" s="4"/>
      <c r="E270" s="4"/>
      <c r="F270" s="4"/>
      <c r="G270" s="4"/>
      <c r="H270" s="4"/>
      <c r="I270" s="4"/>
      <c r="J270" s="4"/>
      <c r="K270" s="4"/>
      <c r="L270" s="4"/>
    </row>
    <row r="271" spans="2:12" x14ac:dyDescent="0.4">
      <c r="B271" s="12" t="s">
        <v>199</v>
      </c>
      <c r="C271" s="55">
        <f>SUM(C268:C270)</f>
        <v>1</v>
      </c>
      <c r="D271" s="4"/>
      <c r="E271" s="4"/>
      <c r="F271" s="4"/>
      <c r="G271" s="4"/>
      <c r="H271" s="4"/>
      <c r="I271" s="4"/>
      <c r="J271" s="4"/>
      <c r="K271" s="4"/>
      <c r="L271" s="4"/>
    </row>
    <row r="272" spans="2:12" x14ac:dyDescent="0.4"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2:12" x14ac:dyDescent="0.4">
      <c r="B273" s="15" t="s">
        <v>201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2:12" x14ac:dyDescent="0.4">
      <c r="B274" s="16" t="s">
        <v>57</v>
      </c>
      <c r="C274" s="4">
        <f>C268*C259</f>
        <v>2480.2432753167191</v>
      </c>
      <c r="D274" s="4"/>
      <c r="E274" s="4"/>
      <c r="F274" s="4"/>
      <c r="G274" s="4"/>
      <c r="H274" s="4"/>
      <c r="I274" s="4"/>
      <c r="J274" s="4"/>
      <c r="K274" s="4"/>
      <c r="L274" s="4"/>
    </row>
    <row r="275" spans="2:12" x14ac:dyDescent="0.4">
      <c r="B275" s="16" t="s">
        <v>9</v>
      </c>
      <c r="C275" s="4">
        <f>C269*C259</f>
        <v>275.58258614630211</v>
      </c>
      <c r="D275" s="4"/>
      <c r="E275" s="4"/>
      <c r="F275" s="4"/>
      <c r="G275" s="4"/>
      <c r="H275" s="4"/>
      <c r="I275" s="4"/>
      <c r="J275" s="4"/>
      <c r="K275" s="4"/>
      <c r="L275" s="4"/>
    </row>
    <row r="276" spans="2:12" x14ac:dyDescent="0.4">
      <c r="B276" s="16" t="s">
        <v>10</v>
      </c>
      <c r="C276" s="4">
        <f>C270*C259</f>
        <v>137.79129307315105</v>
      </c>
      <c r="D276" s="4"/>
      <c r="E276" s="4"/>
      <c r="F276" s="4"/>
      <c r="G276" s="4"/>
      <c r="H276" s="4"/>
      <c r="I276" s="4"/>
      <c r="J276" s="4"/>
      <c r="K276" s="4"/>
      <c r="L276" s="4"/>
    </row>
    <row r="277" spans="2:12" x14ac:dyDescent="0.4">
      <c r="B277" s="6" t="s">
        <v>199</v>
      </c>
      <c r="C277" s="25">
        <f>SUM(C274:C276)</f>
        <v>2893.6171545361722</v>
      </c>
      <c r="D277" s="4"/>
      <c r="E277" s="4"/>
      <c r="F277" s="4"/>
      <c r="G277" s="4"/>
      <c r="H277" s="4"/>
      <c r="I277" s="4"/>
      <c r="J277" s="4"/>
      <c r="K277" s="4"/>
      <c r="L277" s="4"/>
    </row>
    <row r="278" spans="2:12" x14ac:dyDescent="0.4"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2:12" x14ac:dyDescent="0.4">
      <c r="B279" s="11" t="s">
        <v>202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2:12" x14ac:dyDescent="0.4"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2:12" x14ac:dyDescent="0.4">
      <c r="B281" s="9" t="s">
        <v>203</v>
      </c>
      <c r="C281" s="4">
        <v>0</v>
      </c>
      <c r="D281" s="75">
        <f>C281+1</f>
        <v>1</v>
      </c>
      <c r="E281" s="4">
        <f t="shared" ref="E281:H281" si="77">D281+1</f>
        <v>2</v>
      </c>
      <c r="F281" s="4">
        <f t="shared" si="77"/>
        <v>3</v>
      </c>
      <c r="G281" s="4">
        <f t="shared" si="77"/>
        <v>4</v>
      </c>
      <c r="H281" s="4">
        <f t="shared" si="77"/>
        <v>5</v>
      </c>
      <c r="I281" s="4" t="s">
        <v>202</v>
      </c>
      <c r="J281" s="4" t="s">
        <v>205</v>
      </c>
      <c r="K281" s="4"/>
      <c r="L281" s="4"/>
    </row>
    <row r="282" spans="2:12" x14ac:dyDescent="0.4">
      <c r="B282" s="9" t="s">
        <v>204</v>
      </c>
      <c r="C282" s="4">
        <f>-$C$73</f>
        <v>-733.5</v>
      </c>
      <c r="D282" s="4">
        <v>0</v>
      </c>
      <c r="E282" s="4">
        <v>0</v>
      </c>
      <c r="F282" s="4">
        <v>0</v>
      </c>
      <c r="G282" s="4">
        <v>0</v>
      </c>
      <c r="H282" s="4">
        <f>C274</f>
        <v>2480.2432753167191</v>
      </c>
      <c r="I282" s="54">
        <f>IRR(C282:H282)</f>
        <v>0.27590644890467142</v>
      </c>
      <c r="J282" s="1">
        <f>-H282/C282</f>
        <v>3.3813814251080014</v>
      </c>
      <c r="K282" s="4"/>
      <c r="L282" s="4"/>
    </row>
    <row r="283" spans="2:12" x14ac:dyDescent="0.4">
      <c r="C283" s="4"/>
      <c r="D283" s="4"/>
      <c r="E283" s="4"/>
      <c r="F283" s="4"/>
      <c r="G283" s="4"/>
      <c r="H283" s="23"/>
      <c r="I283" s="76"/>
      <c r="J283" s="77"/>
      <c r="K283" s="4"/>
      <c r="L283" s="4"/>
    </row>
    <row r="284" spans="2:12" x14ac:dyDescent="0.4">
      <c r="C284" s="4"/>
      <c r="D284" s="4"/>
      <c r="E284" s="4"/>
      <c r="F284" s="4"/>
      <c r="G284" s="4"/>
      <c r="H284" s="23"/>
      <c r="I284" s="76"/>
      <c r="J284" s="77"/>
      <c r="K284" s="4"/>
      <c r="L284" s="4"/>
    </row>
    <row r="285" spans="2:12" x14ac:dyDescent="0.4">
      <c r="C285" s="4"/>
      <c r="D285" s="4" t="s">
        <v>207</v>
      </c>
      <c r="E285" s="4"/>
      <c r="F285" s="4"/>
      <c r="G285" s="4"/>
      <c r="H285" s="23"/>
      <c r="I285" s="76"/>
      <c r="J285" s="77"/>
      <c r="K285" s="4"/>
      <c r="L285" s="4"/>
    </row>
    <row r="286" spans="2:12" x14ac:dyDescent="0.4">
      <c r="C286" s="83">
        <f>I282</f>
        <v>0.27590644890467142</v>
      </c>
      <c r="D286" s="84">
        <v>7</v>
      </c>
      <c r="E286" s="84">
        <v>8</v>
      </c>
      <c r="F286" s="84">
        <v>9</v>
      </c>
      <c r="G286" s="84">
        <v>10</v>
      </c>
      <c r="H286" s="84">
        <v>11</v>
      </c>
      <c r="I286" s="4"/>
      <c r="J286" s="4"/>
      <c r="K286" s="4"/>
      <c r="L286" s="4"/>
    </row>
    <row r="287" spans="2:12" x14ac:dyDescent="0.4">
      <c r="C287" s="85">
        <v>7</v>
      </c>
      <c r="D287" s="80">
        <f t="dataTable" ref="D287:H291" dt2D="1" dtr="1" r1="C12" r2="C11"/>
        <v>0.17630782336152806</v>
      </c>
      <c r="E287" s="80">
        <v>0.23012927459055477</v>
      </c>
      <c r="F287" s="80">
        <v>0.27590644890467142</v>
      </c>
      <c r="G287" s="80">
        <v>0.31592433589077817</v>
      </c>
      <c r="H287" s="80">
        <v>0.35159429555968447</v>
      </c>
      <c r="I287" s="4"/>
      <c r="J287" s="4"/>
      <c r="K287" s="4"/>
      <c r="L287" s="4"/>
    </row>
    <row r="288" spans="2:12" x14ac:dyDescent="0.4">
      <c r="C288" s="85">
        <v>8</v>
      </c>
      <c r="D288" s="81">
        <v>0.17630782336152806</v>
      </c>
      <c r="E288" s="81">
        <v>0.23012927459055477</v>
      </c>
      <c r="F288" s="81">
        <v>0.27590644890467142</v>
      </c>
      <c r="G288" s="81">
        <v>0.31592433589077817</v>
      </c>
      <c r="H288" s="81">
        <v>0.35159429555968447</v>
      </c>
      <c r="I288" s="4"/>
      <c r="J288" s="4"/>
      <c r="K288" s="4"/>
      <c r="L288" s="4"/>
    </row>
    <row r="289" spans="1:51" x14ac:dyDescent="0.4">
      <c r="B289" s="9" t="s">
        <v>3</v>
      </c>
      <c r="C289" s="85">
        <v>9</v>
      </c>
      <c r="D289" s="81">
        <v>0.17630782336152806</v>
      </c>
      <c r="E289" s="81">
        <v>0.23012927459055477</v>
      </c>
      <c r="F289" s="82">
        <v>0.27590644890467142</v>
      </c>
      <c r="G289" s="81">
        <v>0.31592433589077817</v>
      </c>
      <c r="H289" s="81">
        <v>0.35159429555968447</v>
      </c>
      <c r="I289" s="4"/>
      <c r="J289" s="4"/>
      <c r="K289" s="4"/>
      <c r="L289" s="4"/>
    </row>
    <row r="290" spans="1:51" x14ac:dyDescent="0.4">
      <c r="C290" s="85">
        <v>10</v>
      </c>
      <c r="D290" s="81">
        <v>0.17630782336152806</v>
      </c>
      <c r="E290" s="81">
        <v>0.23012927459055477</v>
      </c>
      <c r="F290" s="81">
        <v>0.27590644890467142</v>
      </c>
      <c r="G290" s="81">
        <v>0.31592433589077817</v>
      </c>
      <c r="H290" s="81">
        <v>0.35159429555968447</v>
      </c>
      <c r="I290" s="4"/>
      <c r="J290" s="4"/>
      <c r="K290" s="4"/>
      <c r="L290" s="4"/>
    </row>
    <row r="291" spans="1:51" x14ac:dyDescent="0.4">
      <c r="C291" s="85">
        <v>11</v>
      </c>
      <c r="D291" s="81">
        <v>0.17630782336152806</v>
      </c>
      <c r="E291" s="81">
        <v>0.23012927459055477</v>
      </c>
      <c r="F291" s="81">
        <v>0.27590644890467142</v>
      </c>
      <c r="G291" s="81">
        <v>0.31592433589077817</v>
      </c>
      <c r="H291" s="81">
        <v>0.35159429555968447</v>
      </c>
      <c r="I291" s="4"/>
      <c r="J291" s="4"/>
      <c r="K291" s="4"/>
      <c r="L291" s="4"/>
    </row>
    <row r="292" spans="1:51" x14ac:dyDescent="0.4"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51" x14ac:dyDescent="0.4">
      <c r="C293" s="4"/>
      <c r="D293" s="4" t="s">
        <v>28</v>
      </c>
      <c r="F293" s="4"/>
      <c r="G293" s="4"/>
      <c r="H293" s="4"/>
      <c r="I293" s="4"/>
      <c r="J293" s="4"/>
      <c r="K293" s="4"/>
      <c r="L293" s="4"/>
    </row>
    <row r="294" spans="1:51" x14ac:dyDescent="0.4">
      <c r="C294" s="4"/>
      <c r="D294" s="86">
        <v>0</v>
      </c>
      <c r="E294" s="84">
        <v>1</v>
      </c>
      <c r="F294" s="84">
        <v>2</v>
      </c>
      <c r="G294" s="4"/>
      <c r="H294" s="4"/>
      <c r="I294" s="4"/>
      <c r="J294" s="4"/>
      <c r="K294" s="4"/>
      <c r="L294" s="4"/>
    </row>
    <row r="295" spans="1:51" x14ac:dyDescent="0.4">
      <c r="C295" s="78">
        <f>I282</f>
        <v>0.27590644890467142</v>
      </c>
      <c r="D295" s="87">
        <f t="dataTable" ref="D295:F295" dt2D="0" dtr="1" r1="C39" ca="1"/>
        <v>0.20656241747946202</v>
      </c>
      <c r="E295" s="87">
        <v>0.23373887406159266</v>
      </c>
      <c r="F295" s="82">
        <v>0.27590644890467142</v>
      </c>
      <c r="G295" s="4"/>
      <c r="H295" s="4"/>
      <c r="I295" s="4"/>
      <c r="J295" s="4"/>
      <c r="K295" s="4"/>
      <c r="L295" s="4"/>
    </row>
    <row r="296" spans="1:51" x14ac:dyDescent="0.4"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51" x14ac:dyDescent="0.4">
      <c r="C297" s="4"/>
      <c r="D297" s="4" t="s">
        <v>41</v>
      </c>
      <c r="E297" s="4"/>
      <c r="F297" s="4"/>
      <c r="G297" s="4"/>
      <c r="H297" s="4"/>
      <c r="I297" s="4"/>
      <c r="J297" s="4"/>
      <c r="K297" s="4"/>
      <c r="L297" s="4"/>
    </row>
    <row r="298" spans="1:51" x14ac:dyDescent="0.4">
      <c r="C298" s="4"/>
      <c r="D298" s="88">
        <v>0.05</v>
      </c>
      <c r="E298" s="88">
        <v>7.4999999999999997E-2</v>
      </c>
      <c r="F298" s="88">
        <v>0.1</v>
      </c>
      <c r="G298" s="88">
        <v>0.125</v>
      </c>
      <c r="H298" s="88">
        <v>0.15</v>
      </c>
      <c r="I298" s="4"/>
      <c r="J298" s="4"/>
      <c r="K298" s="4"/>
      <c r="L298" s="4"/>
    </row>
    <row r="299" spans="1:51" x14ac:dyDescent="0.4">
      <c r="B299" s="56"/>
      <c r="C299" s="78">
        <f>I282</f>
        <v>0.27590644890467142</v>
      </c>
      <c r="D299" s="89">
        <f t="dataTable" ref="D299:H299" dt2D="0" dtr="1" r1="C61" ca="1"/>
        <v>0.17210581828442262</v>
      </c>
      <c r="E299" s="87">
        <v>0.22609714300255224</v>
      </c>
      <c r="F299" s="82">
        <v>0.27590644890467142</v>
      </c>
      <c r="G299" s="87">
        <v>0.32260921219317784</v>
      </c>
      <c r="H299" s="87">
        <v>0.3669237639438796</v>
      </c>
      <c r="I299" s="4"/>
      <c r="J299" s="4"/>
      <c r="K299" s="4"/>
      <c r="L299" s="4"/>
    </row>
    <row r="300" spans="1:51" x14ac:dyDescent="0.4"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51" x14ac:dyDescent="0.4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</row>
    <row r="302" spans="1:51" s="5" customFormat="1" x14ac:dyDescent="0.4">
      <c r="A302" s="44" t="s">
        <v>99</v>
      </c>
      <c r="B302" s="14" t="s">
        <v>89</v>
      </c>
    </row>
    <row r="303" spans="1:51" x14ac:dyDescent="0.4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</row>
    <row r="304" spans="1:51" x14ac:dyDescent="0.4">
      <c r="B304" s="9" t="s">
        <v>60</v>
      </c>
      <c r="C304" s="4" cm="1">
        <f t="array" ref="C304:H304">C87:H87</f>
        <v>1000</v>
      </c>
      <c r="D304" s="4">
        <v>1100</v>
      </c>
      <c r="E304" s="4">
        <v>1210</v>
      </c>
      <c r="F304" s="4">
        <v>1331</v>
      </c>
      <c r="G304" s="4">
        <v>1464.1000000000001</v>
      </c>
      <c r="H304" s="4">
        <v>1610.5100000000002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</row>
    <row r="305" spans="1:51" s="22" customFormat="1" x14ac:dyDescent="0.4">
      <c r="A305" s="46"/>
      <c r="B305" s="20" t="s">
        <v>90</v>
      </c>
      <c r="C305" s="79">
        <f>$C$62</f>
        <v>0.03</v>
      </c>
      <c r="D305" s="79">
        <f>C305</f>
        <v>0.03</v>
      </c>
      <c r="E305" s="79">
        <f t="shared" ref="E305:H305" si="78">D305</f>
        <v>0.03</v>
      </c>
      <c r="F305" s="79">
        <f t="shared" si="78"/>
        <v>0.03</v>
      </c>
      <c r="G305" s="79">
        <f t="shared" si="78"/>
        <v>0.03</v>
      </c>
      <c r="H305" s="79">
        <f t="shared" si="78"/>
        <v>0.03</v>
      </c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</row>
    <row r="306" spans="1:51" s="24" customFormat="1" x14ac:dyDescent="0.4">
      <c r="A306" s="47"/>
      <c r="B306" s="15" t="s">
        <v>88</v>
      </c>
      <c r="C306" s="23">
        <f>C304*C305</f>
        <v>30</v>
      </c>
      <c r="D306" s="23">
        <f t="shared" ref="D306:H306" si="79">D304*D305</f>
        <v>33</v>
      </c>
      <c r="E306" s="23">
        <f t="shared" si="79"/>
        <v>36.299999999999997</v>
      </c>
      <c r="F306" s="23">
        <f t="shared" si="79"/>
        <v>39.93</v>
      </c>
      <c r="G306" s="23">
        <f t="shared" si="79"/>
        <v>43.923000000000002</v>
      </c>
      <c r="H306" s="23">
        <f t="shared" si="79"/>
        <v>48.315300000000008</v>
      </c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</row>
    <row r="307" spans="1:51" x14ac:dyDescent="0.4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</row>
    <row r="308" spans="1:51" s="5" customFormat="1" x14ac:dyDescent="0.4">
      <c r="A308" s="44" t="s">
        <v>99</v>
      </c>
      <c r="B308" s="14" t="s">
        <v>138</v>
      </c>
    </row>
    <row r="309" spans="1:51" x14ac:dyDescent="0.4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51" x14ac:dyDescent="0.4">
      <c r="B310" s="15" t="s">
        <v>101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51" x14ac:dyDescent="0.4">
      <c r="B311" s="16" t="s">
        <v>103</v>
      </c>
      <c r="C311" s="4">
        <f>C151</f>
        <v>200</v>
      </c>
      <c r="D311" s="4">
        <f>D323*D328/D326</f>
        <v>220</v>
      </c>
      <c r="E311" s="4">
        <f t="shared" ref="E311:H311" si="80">E323*E328/E326</f>
        <v>242</v>
      </c>
      <c r="F311" s="4">
        <f t="shared" si="80"/>
        <v>266.2</v>
      </c>
      <c r="G311" s="4">
        <f t="shared" si="80"/>
        <v>292.82</v>
      </c>
      <c r="H311" s="4">
        <f t="shared" si="80"/>
        <v>322.10200000000003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51" x14ac:dyDescent="0.4">
      <c r="B312" s="16" t="s">
        <v>139</v>
      </c>
      <c r="C312" s="4">
        <f>C152</f>
        <v>100</v>
      </c>
      <c r="D312" s="4">
        <f>D324*D329/D326</f>
        <v>110</v>
      </c>
      <c r="E312" s="4">
        <f t="shared" ref="E312:H312" si="81">E324*E329/E326</f>
        <v>121</v>
      </c>
      <c r="F312" s="4">
        <f t="shared" si="81"/>
        <v>133.1</v>
      </c>
      <c r="G312" s="4">
        <f t="shared" si="81"/>
        <v>146.41</v>
      </c>
      <c r="H312" s="4">
        <f t="shared" si="81"/>
        <v>161.05099999999999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</row>
    <row r="313" spans="1:51" s="26" customFormat="1" x14ac:dyDescent="0.4">
      <c r="A313" s="48"/>
      <c r="B313" s="6" t="s">
        <v>104</v>
      </c>
      <c r="C313" s="25">
        <f t="shared" ref="C313:H313" si="82">SUM(C311:C312)</f>
        <v>300</v>
      </c>
      <c r="D313" s="25">
        <f t="shared" si="82"/>
        <v>330</v>
      </c>
      <c r="E313" s="25">
        <f t="shared" si="82"/>
        <v>363</v>
      </c>
      <c r="F313" s="25">
        <f t="shared" si="82"/>
        <v>399.29999999999995</v>
      </c>
      <c r="G313" s="25">
        <f t="shared" si="82"/>
        <v>439.23</v>
      </c>
      <c r="H313" s="25">
        <f t="shared" si="82"/>
        <v>483.15300000000002</v>
      </c>
      <c r="I313" s="25"/>
      <c r="J313" s="25">
        <f t="shared" ref="J313" si="83">SUM(J311:J312)</f>
        <v>0</v>
      </c>
      <c r="K313" s="25"/>
      <c r="L313" s="25">
        <f t="shared" ref="L313" si="84">SUM(L311:L312)</f>
        <v>0</v>
      </c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spans="1:51" x14ac:dyDescent="0.4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51" x14ac:dyDescent="0.4">
      <c r="B315" s="15" t="s">
        <v>112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51" x14ac:dyDescent="0.4">
      <c r="B316" s="16" t="s">
        <v>110</v>
      </c>
      <c r="C316" s="4">
        <f>C167</f>
        <v>100</v>
      </c>
      <c r="D316" s="4">
        <f>D324*D330/D326</f>
        <v>110</v>
      </c>
      <c r="E316" s="4">
        <f>E324*E330/E326</f>
        <v>121</v>
      </c>
      <c r="F316" s="4">
        <f>F324*F330/F326</f>
        <v>133.1</v>
      </c>
      <c r="G316" s="4">
        <f>G324*G330/G326</f>
        <v>146.41</v>
      </c>
      <c r="H316" s="4">
        <f t="shared" ref="H316" si="85">H324*H330/H326</f>
        <v>161.05099999999999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51" x14ac:dyDescent="0.4">
      <c r="B317" s="16" t="s">
        <v>111</v>
      </c>
      <c r="C317" s="4">
        <f>C168</f>
        <v>50</v>
      </c>
      <c r="D317" s="4">
        <f>D323*D331</f>
        <v>55</v>
      </c>
      <c r="E317" s="4">
        <f t="shared" ref="E317:H317" si="86">E323*E331</f>
        <v>60.5</v>
      </c>
      <c r="F317" s="4">
        <f t="shared" si="86"/>
        <v>66.55</v>
      </c>
      <c r="G317" s="4">
        <f t="shared" si="86"/>
        <v>73.205000000000013</v>
      </c>
      <c r="H317" s="4">
        <f t="shared" si="86"/>
        <v>80.525500000000022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51" s="26" customFormat="1" x14ac:dyDescent="0.4">
      <c r="A318" s="48"/>
      <c r="B318" s="6" t="s">
        <v>115</v>
      </c>
      <c r="C318" s="25">
        <f>SUM(C316:C317)</f>
        <v>150</v>
      </c>
      <c r="D318" s="25">
        <f t="shared" ref="D318:H318" si="87">SUM(D316:D317)</f>
        <v>165</v>
      </c>
      <c r="E318" s="25">
        <f t="shared" si="87"/>
        <v>181.5</v>
      </c>
      <c r="F318" s="25">
        <f t="shared" si="87"/>
        <v>199.64999999999998</v>
      </c>
      <c r="G318" s="25">
        <f t="shared" si="87"/>
        <v>219.61500000000001</v>
      </c>
      <c r="H318" s="25">
        <f t="shared" si="87"/>
        <v>241.57650000000001</v>
      </c>
      <c r="I318" s="25"/>
      <c r="J318" s="25">
        <f t="shared" ref="J318" si="88">SUM(J316:J317)</f>
        <v>0</v>
      </c>
      <c r="K318" s="25"/>
      <c r="L318" s="25">
        <f t="shared" ref="L318" si="89">SUM(L316:L317)</f>
        <v>0</v>
      </c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spans="1:51" x14ac:dyDescent="0.4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51" s="24" customFormat="1" x14ac:dyDescent="0.4">
      <c r="A320" s="47"/>
      <c r="B320" s="15" t="s">
        <v>140</v>
      </c>
      <c r="C320" s="23">
        <f>C313-C318</f>
        <v>150</v>
      </c>
      <c r="D320" s="23">
        <f t="shared" ref="D320:H320" si="90">D313-D318</f>
        <v>165</v>
      </c>
      <c r="E320" s="23">
        <f t="shared" si="90"/>
        <v>181.5</v>
      </c>
      <c r="F320" s="23">
        <f t="shared" si="90"/>
        <v>199.64999999999998</v>
      </c>
      <c r="G320" s="23">
        <f t="shared" si="90"/>
        <v>219.61500000000001</v>
      </c>
      <c r="H320" s="23">
        <f t="shared" si="90"/>
        <v>241.57650000000001</v>
      </c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</row>
    <row r="321" spans="1:51" x14ac:dyDescent="0.4">
      <c r="B321" s="9" t="s">
        <v>141</v>
      </c>
      <c r="C321" s="4"/>
      <c r="D321" s="4">
        <f>C320-D320</f>
        <v>-15</v>
      </c>
      <c r="E321" s="4">
        <f t="shared" ref="E321:H321" si="91">D320-E320</f>
        <v>-16.5</v>
      </c>
      <c r="F321" s="4">
        <f t="shared" si="91"/>
        <v>-18.149999999999977</v>
      </c>
      <c r="G321" s="4">
        <f t="shared" si="91"/>
        <v>-19.965000000000032</v>
      </c>
      <c r="H321" s="4">
        <f t="shared" si="91"/>
        <v>-21.961500000000001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4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4">
      <c r="B323" s="9" t="s">
        <v>142</v>
      </c>
      <c r="C323" s="4">
        <f t="shared" ref="C323:H323" si="92">C87</f>
        <v>1000</v>
      </c>
      <c r="D323" s="4">
        <f t="shared" si="92"/>
        <v>1100</v>
      </c>
      <c r="E323" s="4">
        <f t="shared" si="92"/>
        <v>1210</v>
      </c>
      <c r="F323" s="4">
        <f t="shared" si="92"/>
        <v>1331</v>
      </c>
      <c r="G323" s="4">
        <f t="shared" si="92"/>
        <v>1464.1000000000001</v>
      </c>
      <c r="H323" s="4">
        <f t="shared" si="92"/>
        <v>1610.5100000000002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4">
      <c r="B324" s="9" t="s">
        <v>143</v>
      </c>
      <c r="C324" s="4">
        <f t="shared" ref="C324:H324" si="93">-C90</f>
        <v>600</v>
      </c>
      <c r="D324" s="4">
        <f t="shared" si="93"/>
        <v>660</v>
      </c>
      <c r="E324" s="4">
        <f t="shared" si="93"/>
        <v>726</v>
      </c>
      <c r="F324" s="4">
        <f t="shared" si="93"/>
        <v>798.6</v>
      </c>
      <c r="G324" s="4">
        <f t="shared" si="93"/>
        <v>878.46</v>
      </c>
      <c r="H324" s="4">
        <f t="shared" si="93"/>
        <v>966.30600000000004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4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4">
      <c r="B326" s="9" t="s">
        <v>144</v>
      </c>
      <c r="C326" s="4">
        <v>365</v>
      </c>
      <c r="D326" s="4">
        <f>C326</f>
        <v>365</v>
      </c>
      <c r="E326" s="4">
        <f t="shared" ref="E326:H326" si="94">D326</f>
        <v>365</v>
      </c>
      <c r="F326" s="4">
        <f t="shared" si="94"/>
        <v>365</v>
      </c>
      <c r="G326" s="4">
        <f t="shared" si="94"/>
        <v>365</v>
      </c>
      <c r="H326" s="4">
        <f t="shared" si="94"/>
        <v>365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4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4">
      <c r="B328" s="9" t="s">
        <v>148</v>
      </c>
      <c r="C328" s="4">
        <f>C311/C323*C326</f>
        <v>73</v>
      </c>
      <c r="D328" s="4">
        <f>C328</f>
        <v>73</v>
      </c>
      <c r="E328" s="4">
        <f t="shared" ref="E328:H328" si="95">D328</f>
        <v>73</v>
      </c>
      <c r="F328" s="4">
        <f t="shared" si="95"/>
        <v>73</v>
      </c>
      <c r="G328" s="4">
        <f t="shared" si="95"/>
        <v>73</v>
      </c>
      <c r="H328" s="4">
        <f t="shared" si="95"/>
        <v>73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4">
      <c r="B329" s="9" t="s">
        <v>145</v>
      </c>
      <c r="C329" s="4">
        <f>C312/C324*C326</f>
        <v>60.833333333333329</v>
      </c>
      <c r="D329" s="4">
        <f t="shared" ref="D329:H331" si="96">C329</f>
        <v>60.833333333333329</v>
      </c>
      <c r="E329" s="4">
        <f t="shared" si="96"/>
        <v>60.833333333333329</v>
      </c>
      <c r="F329" s="4">
        <f t="shared" si="96"/>
        <v>60.833333333333329</v>
      </c>
      <c r="G329" s="4">
        <f t="shared" si="96"/>
        <v>60.833333333333329</v>
      </c>
      <c r="H329" s="4">
        <f t="shared" si="96"/>
        <v>60.833333333333329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4">
      <c r="B330" s="9" t="s">
        <v>146</v>
      </c>
      <c r="C330" s="4">
        <f>C316/C324*C326</f>
        <v>60.833333333333329</v>
      </c>
      <c r="D330" s="4">
        <f t="shared" si="96"/>
        <v>60.833333333333329</v>
      </c>
      <c r="E330" s="4">
        <f t="shared" si="96"/>
        <v>60.833333333333329</v>
      </c>
      <c r="F330" s="4">
        <f t="shared" si="96"/>
        <v>60.833333333333329</v>
      </c>
      <c r="G330" s="4">
        <f t="shared" si="96"/>
        <v>60.833333333333329</v>
      </c>
      <c r="H330" s="4">
        <f t="shared" si="96"/>
        <v>60.833333333333329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4">
      <c r="B331" s="9" t="s">
        <v>147</v>
      </c>
      <c r="C331" s="63">
        <f>C317/C323</f>
        <v>0.05</v>
      </c>
      <c r="D331" s="63">
        <f t="shared" si="96"/>
        <v>0.05</v>
      </c>
      <c r="E331" s="63">
        <f t="shared" si="96"/>
        <v>0.05</v>
      </c>
      <c r="F331" s="63">
        <f t="shared" si="96"/>
        <v>0.05</v>
      </c>
      <c r="G331" s="63">
        <f t="shared" si="96"/>
        <v>0.05</v>
      </c>
      <c r="H331" s="63">
        <f t="shared" si="96"/>
        <v>0.05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4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s="5" customFormat="1" x14ac:dyDescent="0.4">
      <c r="A333" s="44" t="s">
        <v>99</v>
      </c>
      <c r="B333" s="14" t="s">
        <v>149</v>
      </c>
    </row>
    <row r="334" spans="1:51" x14ac:dyDescent="0.4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4">
      <c r="B335" s="16" t="s">
        <v>150</v>
      </c>
      <c r="C335" s="4">
        <f>C102</f>
        <v>-20</v>
      </c>
      <c r="D335" s="4">
        <f>-D340*D341</f>
        <v>-22</v>
      </c>
      <c r="E335" s="4">
        <f t="shared" ref="E335" si="97">-E340*E341</f>
        <v>-24.2</v>
      </c>
      <c r="F335" s="4">
        <f>-F340*F341</f>
        <v>-26.62</v>
      </c>
      <c r="G335" s="4">
        <f>-G340*G341</f>
        <v>-29.282000000000004</v>
      </c>
      <c r="H335" s="4">
        <f>-H340*H341</f>
        <v>-32.210200000000007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4">
      <c r="B336" s="16" t="s">
        <v>151</v>
      </c>
      <c r="C336" s="4"/>
      <c r="D336" s="4">
        <f t="shared" ref="D336:H336" si="98">-$C$345</f>
        <v>-14.45</v>
      </c>
      <c r="E336" s="4">
        <f t="shared" si="98"/>
        <v>-14.45</v>
      </c>
      <c r="F336" s="4">
        <f t="shared" si="98"/>
        <v>-14.45</v>
      </c>
      <c r="G336" s="4">
        <f t="shared" si="98"/>
        <v>-14.45</v>
      </c>
      <c r="H336" s="4">
        <f t="shared" si="98"/>
        <v>-14.45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4">
      <c r="A337" s="52"/>
      <c r="B337" s="16" t="s">
        <v>157</v>
      </c>
      <c r="C337" s="4"/>
      <c r="D337" s="4">
        <f t="shared" ref="D337:H337" si="99">-$C$349</f>
        <v>-4.5</v>
      </c>
      <c r="E337" s="4">
        <f t="shared" si="99"/>
        <v>-4.5</v>
      </c>
      <c r="F337" s="4">
        <f t="shared" si="99"/>
        <v>-4.5</v>
      </c>
      <c r="G337" s="4">
        <f t="shared" si="99"/>
        <v>-4.5</v>
      </c>
      <c r="H337" s="4">
        <f t="shared" si="99"/>
        <v>-4.5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s="26" customFormat="1" x14ac:dyDescent="0.4">
      <c r="A338" s="48"/>
      <c r="B338" s="6" t="s">
        <v>152</v>
      </c>
      <c r="C338" s="25"/>
      <c r="D338" s="25">
        <f t="shared" ref="D338:H338" si="100">SUM(D335:D337)</f>
        <v>-40.950000000000003</v>
      </c>
      <c r="E338" s="25">
        <f t="shared" si="100"/>
        <v>-43.15</v>
      </c>
      <c r="F338" s="25">
        <f t="shared" si="100"/>
        <v>-45.57</v>
      </c>
      <c r="G338" s="25">
        <f t="shared" si="100"/>
        <v>-48.231999999999999</v>
      </c>
      <c r="H338" s="25">
        <f t="shared" si="100"/>
        <v>-51.160200000000003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spans="1:51" x14ac:dyDescent="0.4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4">
      <c r="B340" s="9" t="s">
        <v>142</v>
      </c>
      <c r="C340" s="4">
        <f t="shared" ref="C340:H340" si="101">C87</f>
        <v>1000</v>
      </c>
      <c r="D340" s="4">
        <f t="shared" si="101"/>
        <v>1100</v>
      </c>
      <c r="E340" s="4">
        <f t="shared" si="101"/>
        <v>1210</v>
      </c>
      <c r="F340" s="4">
        <f t="shared" si="101"/>
        <v>1331</v>
      </c>
      <c r="G340" s="4">
        <f t="shared" si="101"/>
        <v>1464.1000000000001</v>
      </c>
      <c r="H340" s="4">
        <f t="shared" si="101"/>
        <v>1610.5100000000002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4">
      <c r="B341" s="9" t="s">
        <v>150</v>
      </c>
      <c r="C341" s="74">
        <f>-C335/C340</f>
        <v>0.02</v>
      </c>
      <c r="D341" s="74">
        <f>C341</f>
        <v>0.02</v>
      </c>
      <c r="E341" s="74">
        <f t="shared" ref="E341:H341" si="102">D341</f>
        <v>0.02</v>
      </c>
      <c r="F341" s="74">
        <f t="shared" si="102"/>
        <v>0.02</v>
      </c>
      <c r="G341" s="74">
        <f t="shared" si="102"/>
        <v>0.02</v>
      </c>
      <c r="H341" s="74">
        <f t="shared" si="102"/>
        <v>0.02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4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4">
      <c r="B343" s="9" t="s">
        <v>153</v>
      </c>
      <c r="C343" s="4">
        <f>C191</f>
        <v>216.75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4">
      <c r="B344" s="9" t="s">
        <v>154</v>
      </c>
      <c r="C344" s="4">
        <f>C57</f>
        <v>15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4">
      <c r="B345" s="12" t="s">
        <v>151</v>
      </c>
      <c r="C345" s="59">
        <f>C343/C344</f>
        <v>14.45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4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4">
      <c r="B347" s="9" t="s">
        <v>52</v>
      </c>
      <c r="C347" s="4">
        <f>C82</f>
        <v>45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4">
      <c r="A348" s="52"/>
      <c r="B348" s="9" t="s">
        <v>156</v>
      </c>
      <c r="C348" s="4">
        <f>C48</f>
        <v>10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4">
      <c r="B349" s="12" t="s">
        <v>157</v>
      </c>
      <c r="C349" s="59">
        <f>C347/C348</f>
        <v>4.5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4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s="5" customFormat="1" x14ac:dyDescent="0.4">
      <c r="A351" s="44" t="s">
        <v>99</v>
      </c>
      <c r="B351" s="14" t="s">
        <v>158</v>
      </c>
    </row>
    <row r="352" spans="1:51" x14ac:dyDescent="0.4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4">
      <c r="B353" s="9" t="s">
        <v>159</v>
      </c>
      <c r="D353" s="4">
        <f>C155</f>
        <v>1217</v>
      </c>
      <c r="E353" s="4">
        <f>D357</f>
        <v>1213.55</v>
      </c>
      <c r="F353" s="4">
        <f t="shared" ref="F353:H353" si="103">E357</f>
        <v>1211.1999999999998</v>
      </c>
      <c r="G353" s="4">
        <f t="shared" si="103"/>
        <v>1210.06</v>
      </c>
      <c r="H353" s="4">
        <f t="shared" si="103"/>
        <v>1210.251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4">
      <c r="B354" s="32" t="s">
        <v>160</v>
      </c>
      <c r="D354" s="4">
        <f>-D127</f>
        <v>33</v>
      </c>
      <c r="E354" s="4">
        <f>-E127</f>
        <v>36.299999999999997</v>
      </c>
      <c r="F354" s="4">
        <f>-F127</f>
        <v>39.93</v>
      </c>
      <c r="G354" s="4">
        <f>-G127</f>
        <v>43.923000000000002</v>
      </c>
      <c r="H354" s="4">
        <f>-H127</f>
        <v>48.315300000000008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4">
      <c r="B355" s="32" t="s">
        <v>161</v>
      </c>
      <c r="D355" s="4">
        <f>D335</f>
        <v>-22</v>
      </c>
      <c r="E355" s="4">
        <f t="shared" ref="E355:H355" si="104">E335</f>
        <v>-24.2</v>
      </c>
      <c r="F355" s="4">
        <f t="shared" si="104"/>
        <v>-26.62</v>
      </c>
      <c r="G355" s="4">
        <f t="shared" si="104"/>
        <v>-29.282000000000004</v>
      </c>
      <c r="H355" s="4">
        <f t="shared" si="104"/>
        <v>-32.210200000000007</v>
      </c>
    </row>
    <row r="356" spans="1:51" x14ac:dyDescent="0.4">
      <c r="B356" s="32" t="s">
        <v>162</v>
      </c>
      <c r="D356" s="4">
        <f>D336</f>
        <v>-14.45</v>
      </c>
      <c r="E356" s="4">
        <f t="shared" ref="E356:H356" si="105">E336</f>
        <v>-14.45</v>
      </c>
      <c r="F356" s="4">
        <f t="shared" si="105"/>
        <v>-14.45</v>
      </c>
      <c r="G356" s="4">
        <f t="shared" si="105"/>
        <v>-14.45</v>
      </c>
      <c r="H356" s="4">
        <f t="shared" si="105"/>
        <v>-14.45</v>
      </c>
    </row>
    <row r="357" spans="1:51" s="33" customFormat="1" x14ac:dyDescent="0.4">
      <c r="A357" s="90" t="s">
        <v>99</v>
      </c>
      <c r="B357" s="34" t="s">
        <v>163</v>
      </c>
      <c r="D357" s="25">
        <f>SUM(D353:D356)</f>
        <v>1213.55</v>
      </c>
      <c r="E357" s="25">
        <f>SUM(E353:E356)</f>
        <v>1211.1999999999998</v>
      </c>
      <c r="F357" s="25">
        <f>SUM(F353:F356)</f>
        <v>1210.06</v>
      </c>
      <c r="G357" s="25">
        <f>SUM(G353:G356)</f>
        <v>1210.251</v>
      </c>
      <c r="H357" s="25">
        <f>SUM(H353:H356)</f>
        <v>1211.9060999999999</v>
      </c>
    </row>
    <row r="358" spans="1:51" x14ac:dyDescent="0.4"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51" x14ac:dyDescent="0.4">
      <c r="A359" s="52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51" x14ac:dyDescent="0.4"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51" x14ac:dyDescent="0.4"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51" x14ac:dyDescent="0.4"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51" x14ac:dyDescent="0.4"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51" x14ac:dyDescent="0.4"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51" x14ac:dyDescent="0.4"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51" x14ac:dyDescent="0.4"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51" x14ac:dyDescent="0.4"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51" x14ac:dyDescent="0.4"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3:12" x14ac:dyDescent="0.4"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3:12" x14ac:dyDescent="0.4"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3:12" x14ac:dyDescent="0.4"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3:12" x14ac:dyDescent="0.4"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3:12" x14ac:dyDescent="0.4"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3:12" x14ac:dyDescent="0.4"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3:12" x14ac:dyDescent="0.4"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3:12" x14ac:dyDescent="0.4"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3:12" x14ac:dyDescent="0.4"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3:12" x14ac:dyDescent="0.4"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3:12" x14ac:dyDescent="0.4"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3:12" x14ac:dyDescent="0.4"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3:12" x14ac:dyDescent="0.4"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3:12" x14ac:dyDescent="0.4"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3:12" x14ac:dyDescent="0.4"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3:12" x14ac:dyDescent="0.4"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3:12" x14ac:dyDescent="0.4"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3:12" x14ac:dyDescent="0.4"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3:12" x14ac:dyDescent="0.4"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3:12" x14ac:dyDescent="0.4"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3:12" x14ac:dyDescent="0.4"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3:12" x14ac:dyDescent="0.4"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3:12" x14ac:dyDescent="0.4"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3:12" x14ac:dyDescent="0.4"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3:12" x14ac:dyDescent="0.4"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3:12" x14ac:dyDescent="0.4"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3:12" x14ac:dyDescent="0.4"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3:12" x14ac:dyDescent="0.4"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3:12" x14ac:dyDescent="0.4"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3:12" x14ac:dyDescent="0.4"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3:12" x14ac:dyDescent="0.4"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3:12" x14ac:dyDescent="0.4"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3:12" x14ac:dyDescent="0.4"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3:12" x14ac:dyDescent="0.4"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3:12" x14ac:dyDescent="0.4"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3:12" x14ac:dyDescent="0.4"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3:12" x14ac:dyDescent="0.4"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3:12" x14ac:dyDescent="0.4"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3:12" x14ac:dyDescent="0.4"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3:12" x14ac:dyDescent="0.4"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3:12" x14ac:dyDescent="0.4"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3:12" x14ac:dyDescent="0.4"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3:12" x14ac:dyDescent="0.4"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3:12" x14ac:dyDescent="0.4"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3:12" x14ac:dyDescent="0.4"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3:12" x14ac:dyDescent="0.4"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3:12" x14ac:dyDescent="0.4"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3:12" x14ac:dyDescent="0.4"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3:12" x14ac:dyDescent="0.4"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3:12" x14ac:dyDescent="0.4"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3:12" x14ac:dyDescent="0.4"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3:12" x14ac:dyDescent="0.4"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3:12" x14ac:dyDescent="0.4"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3:12" x14ac:dyDescent="0.4"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3:12" x14ac:dyDescent="0.4"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3:12" x14ac:dyDescent="0.4"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3:12" x14ac:dyDescent="0.4"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3:12" x14ac:dyDescent="0.4"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3:12" x14ac:dyDescent="0.4"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3:12" x14ac:dyDescent="0.4"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3:12" x14ac:dyDescent="0.4"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3:12" x14ac:dyDescent="0.4"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3:12" x14ac:dyDescent="0.4"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3:12" x14ac:dyDescent="0.4"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3:12" x14ac:dyDescent="0.4"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3:12" x14ac:dyDescent="0.4"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3:12" x14ac:dyDescent="0.4"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3:12" x14ac:dyDescent="0.4"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3:12" x14ac:dyDescent="0.4"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3:12" x14ac:dyDescent="0.4"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3:12" x14ac:dyDescent="0.4"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3:12" x14ac:dyDescent="0.4"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3:12" x14ac:dyDescent="0.4"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3:12" x14ac:dyDescent="0.4"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3:12" x14ac:dyDescent="0.4"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3:12" x14ac:dyDescent="0.4"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3:12" x14ac:dyDescent="0.4"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3:12" x14ac:dyDescent="0.4"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3:12" x14ac:dyDescent="0.4">
      <c r="C447" s="4"/>
      <c r="D447" s="4"/>
      <c r="E447" s="4"/>
      <c r="F447" s="4"/>
      <c r="G447" s="4"/>
      <c r="H447" s="4"/>
      <c r="I447" s="4"/>
      <c r="J447" s="4"/>
      <c r="K447" s="4"/>
      <c r="L447" s="4"/>
    </row>
  </sheetData>
  <dataValidations count="1">
    <dataValidation type="list" allowBlank="1" showInputMessage="1" showErrorMessage="1" sqref="C51:C52" xr:uid="{84D5E041-4D61-4F92-8A57-02BF578BEB50}">
      <formula1>$F$51:$G$51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0C17-3D52-4913-AA8F-3D2DED16A402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BE99-C146-4C7C-84BE-A2D9A4329111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B K p u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B K p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q b l a + + K 9 6 A Q E A A K c B A A A T A B w A R m 9 y b X V s Y X M v U 2 V j d G l v b j E u b S C i G A A o o B Q A A A A A A A A A A A A A A A A A A A A A A A A A A A B 1 j 0 F r g 0 A Q h e + C / 2 H Z X B Q W i S 2 9 N H i p I R A o N F R 7 U g 9 b H a N E d 2 V n U 1 r E / 9 4 1 G k M K n c v C e 2 / m e 4 u Q 6 1 o K E k 2 v v 7 E t 2 8 K K K y j I i s b 8 s 4 H 1 + o k 4 B 3 4 E 4 r u U B K Q B b V v E T C T P K g e j H I r S u 0 T R 2 d U N e K E U G o R G h 4 b P 6 Q e C w r S q N W C 6 B T x p 2 a W v L 2 9 p l I P g q p Z e V 5 T U Z S T Z t 1 0 D r d n j Y 5 O A + t 4 j z V w 2 s Z Y m w Y z t k 3 0 R L A V p N i R b r n k 2 x 1 c 0 r L g 4 m k / E P x 2 M r S 9 J L 1 Z c Y C l V G 8 r m 3 I r R R O d 6 h P U 9 n X S f M q K N R z R 8 6 4 G R q / 5 w p w / u Q n u H V n 4 Z 2 h T D G 3 A y Z t n 5 U 4 v d e I N r W 7 X 4 7 9 z m F 1 B L A Q I t A B Q A A g A I A A S q b l Z I s u X 4 p A A A A P Y A A A A S A A A A A A A A A A A A A A A A A A A A A A B D b 2 5 m a W c v U G F j a 2 F n Z S 5 4 b W x Q S w E C L Q A U A A I A C A A E q m 5 W D 8 r p q 6 Q A A A D p A A A A E w A A A A A A A A A A A A A A A A D w A A A A W 0 N v b n R l b n R f V H l w Z X N d L n h t b F B L A Q I t A B Q A A g A I A A S q b l a + + K 9 6 A Q E A A K c B A A A T A A A A A A A A A A A A A A A A A O E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J A A A A A A A A U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0 V D E 0 O j I 2 O j E y L j g y O D E 0 N j F a I i A v P j x F b n R y e S B U e X B l P S J G a W x s Q 2 9 s d W 1 u V H l w Z X M i I F Z h b H V l P S J z Q m c 9 P S I g L z 4 8 R W 5 0 c n k g V H l w Z T 0 i R m l s b E N v b H V t b k 5 h b W V z I i B W Y W x 1 Z T 0 i c 1 s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S k v Q X V 0 b 1 J l b W 9 2 Z W R D b 2 x 1 b W 5 z M S 5 7 Q 2 9 s d W 1 u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A w N S A o U G F n Z S A x K S 9 B d X R v U m V t b 3 Z l Z E N v b H V t b n M x L n t D b 2 x 1 b W 4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E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E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0 8 w J K d z R N g j q 0 6 6 J A m V U A A A A A A g A A A A A A E G Y A A A A B A A A g A A A A 3 O H / 6 R 1 9 P A c y n K M y w a r 0 b l c R p + u 0 T O V U S 3 Y O c r K N I c A A A A A A D o A A A A A C A A A g A A A A x O N T d w U 9 J 4 y A D Y w y Z 7 c 4 8 F M e Q L q P 4 2 7 5 W Z S j x C 3 S 3 7 N Q A A A A q 1 S Y V f f p b x z 1 D F f F k D F N A f g W R c u 5 N T 6 l F v r c Q x m R c f c U g A 0 b R 1 b 0 U 2 I y X M t C 4 c Z J r L T c 6 4 j t 5 6 U x U D f E G 1 L E E p Y 5 2 k 8 d W p 4 o z R J Z z r Y l k J x A A A A A I I t s d v 7 f 6 R L s 8 B y Q 5 / c P + S G o a X P s k N p 3 F + r X I 1 6 2 V G d i M I e W s N 2 Q 9 A Z k v E d G W + U f R q Y K L s D / V t C H 5 T c V U r 7 X 4 g = = < / D a t a M a s h u p > 
</file>

<file path=customXml/itemProps1.xml><?xml version="1.0" encoding="utf-8"?>
<ds:datastoreItem xmlns:ds="http://schemas.openxmlformats.org/officeDocument/2006/customXml" ds:itemID="{0CE15742-033E-415A-B475-83B4BA334B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tesh</dc:creator>
  <cp:lastModifiedBy>tesh</cp:lastModifiedBy>
  <dcterms:created xsi:type="dcterms:W3CDTF">2023-03-14T11:51:57Z</dcterms:created>
  <dcterms:modified xsi:type="dcterms:W3CDTF">2023-03-17T05:36:12Z</dcterms:modified>
</cp:coreProperties>
</file>