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F55B3417-F340-7449-BB39-65CFB421A608}" xr6:coauthVersionLast="47" xr6:coauthVersionMax="47" xr10:uidLastSave="{00000000-0000-0000-0000-000000000000}"/>
  <bookViews>
    <workbookView xWindow="-100" yWindow="500" windowWidth="24900" windowHeight="15040" tabRatio="758" xr2:uid="{57AD984A-4828-4804-9A3F-6BF4C7E9EC15}"/>
    <workbookView xWindow="5580" yWindow="1420" windowWidth="14160" windowHeight="10780" activeTab="1" xr2:uid="{F9993727-425D-428D-9FD7-08F9E4F04B02}"/>
  </bookViews>
  <sheets>
    <sheet name="Model" sheetId="1" r:id="rId1"/>
    <sheet name="Balance Sheet" sheetId="9" r:id="rId2"/>
    <sheet name="Cash flow" sheetId="10" r:id="rId3"/>
    <sheet name="Income Statement" sheetId="8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" l="1"/>
  <c r="C175" i="1"/>
  <c r="D175" i="1"/>
  <c r="E175" i="1"/>
  <c r="F175" i="1"/>
  <c r="G175" i="1"/>
  <c r="B175" i="1"/>
  <c r="C167" i="1" l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B170" i="1"/>
  <c r="B169" i="1"/>
  <c r="B168" i="1"/>
  <c r="B16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B164" i="1"/>
  <c r="B163" i="1"/>
  <c r="B162" i="1"/>
  <c r="B161" i="1"/>
  <c r="B160" i="1"/>
  <c r="B159" i="1"/>
  <c r="B158" i="1"/>
  <c r="C147" i="1"/>
  <c r="D147" i="1"/>
  <c r="E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B152" i="1"/>
  <c r="B151" i="1"/>
  <c r="B150" i="1"/>
  <c r="B149" i="1"/>
  <c r="B148" i="1"/>
  <c r="B147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B144" i="1"/>
  <c r="B143" i="1"/>
  <c r="B142" i="1"/>
  <c r="B141" i="1"/>
  <c r="B140" i="1"/>
  <c r="H122" i="1"/>
  <c r="I122" i="1"/>
  <c r="J122" i="1"/>
  <c r="K122" i="1"/>
  <c r="L122" i="1"/>
  <c r="C98" i="1"/>
  <c r="D98" i="1"/>
  <c r="E98" i="1"/>
  <c r="F98" i="1"/>
  <c r="G98" i="1"/>
  <c r="B98" i="1"/>
  <c r="C97" i="1"/>
  <c r="D97" i="1"/>
  <c r="E97" i="1"/>
  <c r="F97" i="1"/>
  <c r="G97" i="1"/>
  <c r="B97" i="1"/>
  <c r="B111" i="1"/>
  <c r="C111" i="1"/>
  <c r="D111" i="1"/>
  <c r="E111" i="1"/>
  <c r="F111" i="1"/>
  <c r="G111" i="1"/>
  <c r="B99" i="1"/>
  <c r="C99" i="1"/>
  <c r="D99" i="1"/>
  <c r="E99" i="1"/>
  <c r="F99" i="1"/>
  <c r="G99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H104" i="1"/>
  <c r="H105" i="1"/>
  <c r="H106" i="1"/>
  <c r="H107" i="1"/>
  <c r="H108" i="1"/>
  <c r="I86" i="1"/>
  <c r="J86" i="1" s="1"/>
  <c r="K86" i="1" s="1"/>
  <c r="L86" i="1" s="1"/>
  <c r="I80" i="1"/>
  <c r="J80" i="1" s="1"/>
  <c r="K80" i="1" s="1"/>
  <c r="L80" i="1" s="1"/>
  <c r="I72" i="1"/>
  <c r="J72" i="1" s="1"/>
  <c r="J69" i="1"/>
  <c r="K69" i="1" s="1"/>
  <c r="B196" i="1"/>
  <c r="B192" i="1"/>
  <c r="B194" i="1" s="1"/>
  <c r="F153" i="1" l="1"/>
  <c r="B171" i="1"/>
  <c r="D171" i="1"/>
  <c r="G171" i="1"/>
  <c r="F171" i="1"/>
  <c r="E171" i="1"/>
  <c r="C171" i="1"/>
  <c r="C165" i="1"/>
  <c r="D165" i="1"/>
  <c r="F165" i="1"/>
  <c r="E165" i="1"/>
  <c r="G165" i="1"/>
  <c r="B165" i="1"/>
  <c r="D153" i="1"/>
  <c r="G153" i="1"/>
  <c r="B153" i="1"/>
  <c r="E153" i="1"/>
  <c r="B145" i="1"/>
  <c r="C153" i="1"/>
  <c r="F145" i="1"/>
  <c r="D145" i="1"/>
  <c r="G145" i="1"/>
  <c r="E145" i="1"/>
  <c r="C145" i="1"/>
  <c r="I109" i="1"/>
  <c r="K109" i="1"/>
  <c r="L109" i="1"/>
  <c r="J109" i="1"/>
  <c r="H109" i="1"/>
  <c r="B198" i="1"/>
  <c r="K72" i="1"/>
  <c r="L72" i="1" s="1"/>
  <c r="B77" i="1"/>
  <c r="B78" i="1"/>
  <c r="B102" i="1"/>
  <c r="C102" i="1"/>
  <c r="D102" i="1"/>
  <c r="E102" i="1"/>
  <c r="F102" i="1"/>
  <c r="G102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C104" i="1"/>
  <c r="D104" i="1"/>
  <c r="E104" i="1"/>
  <c r="F104" i="1"/>
  <c r="G104" i="1"/>
  <c r="B104" i="1"/>
  <c r="B101" i="1"/>
  <c r="C101" i="1"/>
  <c r="D101" i="1"/>
  <c r="E101" i="1"/>
  <c r="F101" i="1"/>
  <c r="G101" i="1"/>
  <c r="B84" i="1"/>
  <c r="C84" i="1"/>
  <c r="D84" i="1"/>
  <c r="E84" i="1"/>
  <c r="F84" i="1"/>
  <c r="G84" i="1"/>
  <c r="C78" i="1"/>
  <c r="D78" i="1"/>
  <c r="E78" i="1"/>
  <c r="F78" i="1"/>
  <c r="G78" i="1"/>
  <c r="C83" i="1"/>
  <c r="D83" i="1"/>
  <c r="E83" i="1"/>
  <c r="F83" i="1"/>
  <c r="G83" i="1"/>
  <c r="B83" i="1"/>
  <c r="C77" i="1"/>
  <c r="D77" i="1"/>
  <c r="E77" i="1"/>
  <c r="F77" i="1"/>
  <c r="G77" i="1"/>
  <c r="C71" i="1"/>
  <c r="D71" i="1"/>
  <c r="E71" i="1"/>
  <c r="F71" i="1"/>
  <c r="G71" i="1"/>
  <c r="B71" i="1"/>
  <c r="B68" i="1"/>
  <c r="C68" i="1"/>
  <c r="D68" i="1"/>
  <c r="E68" i="1"/>
  <c r="F68" i="1"/>
  <c r="G68" i="1"/>
  <c r="H68" i="1" s="1"/>
  <c r="C4" i="1"/>
  <c r="D4" i="1" s="1"/>
  <c r="E4" i="1" s="1"/>
  <c r="F4" i="1" s="1"/>
  <c r="B53" i="1"/>
  <c r="C47" i="1"/>
  <c r="D47" i="1"/>
  <c r="E47" i="1"/>
  <c r="F47" i="1"/>
  <c r="B47" i="1"/>
  <c r="C46" i="1"/>
  <c r="D46" i="1" s="1"/>
  <c r="E46" i="1" s="1"/>
  <c r="F46" i="1" s="1"/>
  <c r="C39" i="1"/>
  <c r="D39" i="1"/>
  <c r="E39" i="1"/>
  <c r="F39" i="1"/>
  <c r="B39" i="1"/>
  <c r="C38" i="1"/>
  <c r="D38" i="1" s="1"/>
  <c r="E38" i="1" s="1"/>
  <c r="F38" i="1" s="1"/>
  <c r="C15" i="1"/>
  <c r="D15" i="1" s="1"/>
  <c r="E15" i="1" s="1"/>
  <c r="F15" i="1" s="1"/>
  <c r="C22" i="1"/>
  <c r="D22" i="1" s="1"/>
  <c r="E22" i="1" s="1"/>
  <c r="F22" i="1" s="1"/>
  <c r="C31" i="1"/>
  <c r="D31" i="1"/>
  <c r="E31" i="1"/>
  <c r="F31" i="1"/>
  <c r="B31" i="1"/>
  <c r="C23" i="1"/>
  <c r="D23" i="1"/>
  <c r="E23" i="1"/>
  <c r="F23" i="1"/>
  <c r="B23" i="1"/>
  <c r="C30" i="1"/>
  <c r="D30" i="1" s="1"/>
  <c r="E30" i="1" s="1"/>
  <c r="F30" i="1" s="1"/>
  <c r="B43" i="1"/>
  <c r="B35" i="1"/>
  <c r="B55" i="1" s="1"/>
  <c r="B27" i="1"/>
  <c r="B54" i="1" s="1"/>
  <c r="B64" i="1"/>
  <c r="E173" i="1" l="1"/>
  <c r="E177" i="1" s="1"/>
  <c r="D155" i="1"/>
  <c r="D173" i="1"/>
  <c r="D177" i="1" s="1"/>
  <c r="B173" i="1"/>
  <c r="B177" i="1" s="1"/>
  <c r="F173" i="1"/>
  <c r="F177" i="1" s="1"/>
  <c r="C173" i="1"/>
  <c r="C177" i="1" s="1"/>
  <c r="G173" i="1"/>
  <c r="G177" i="1" s="1"/>
  <c r="F155" i="1"/>
  <c r="E155" i="1"/>
  <c r="E178" i="1" s="1"/>
  <c r="C155" i="1"/>
  <c r="G155" i="1"/>
  <c r="B155" i="1"/>
  <c r="B178" i="1" s="1"/>
  <c r="B85" i="1"/>
  <c r="B86" i="1" s="1"/>
  <c r="C72" i="1"/>
  <c r="G72" i="1"/>
  <c r="H71" i="1"/>
  <c r="H74" i="1" s="1"/>
  <c r="H75" i="1" s="1"/>
  <c r="H85" i="1"/>
  <c r="H79" i="1"/>
  <c r="I68" i="1"/>
  <c r="B72" i="1"/>
  <c r="F72" i="1"/>
  <c r="E72" i="1"/>
  <c r="D72" i="1"/>
  <c r="B109" i="1"/>
  <c r="G109" i="1"/>
  <c r="F109" i="1"/>
  <c r="E109" i="1"/>
  <c r="D109" i="1"/>
  <c r="C109" i="1"/>
  <c r="D91" i="1"/>
  <c r="D93" i="1" s="1"/>
  <c r="D122" i="1" s="1"/>
  <c r="E91" i="1"/>
  <c r="E93" i="1" s="1"/>
  <c r="E122" i="1" s="1"/>
  <c r="B91" i="1"/>
  <c r="B93" i="1" s="1"/>
  <c r="B122" i="1" s="1"/>
  <c r="C91" i="1"/>
  <c r="C93" i="1" s="1"/>
  <c r="C122" i="1" s="1"/>
  <c r="G91" i="1"/>
  <c r="G93" i="1" s="1"/>
  <c r="G122" i="1" s="1"/>
  <c r="F91" i="1"/>
  <c r="F93" i="1" s="1"/>
  <c r="F122" i="1" s="1"/>
  <c r="F85" i="1"/>
  <c r="F86" i="1" s="1"/>
  <c r="D85" i="1"/>
  <c r="D86" i="1" s="1"/>
  <c r="G85" i="1"/>
  <c r="G86" i="1" s="1"/>
  <c r="C85" i="1"/>
  <c r="C86" i="1" s="1"/>
  <c r="E85" i="1"/>
  <c r="E86" i="1" s="1"/>
  <c r="G79" i="1"/>
  <c r="F79" i="1"/>
  <c r="D79" i="1"/>
  <c r="E79" i="1"/>
  <c r="C79" i="1"/>
  <c r="B79" i="1"/>
  <c r="B80" i="1" s="1"/>
  <c r="F74" i="1"/>
  <c r="F75" i="1" s="1"/>
  <c r="B74" i="1"/>
  <c r="E69" i="1"/>
  <c r="C74" i="1"/>
  <c r="C75" i="1" s="1"/>
  <c r="G74" i="1"/>
  <c r="G75" i="1" s="1"/>
  <c r="E74" i="1"/>
  <c r="E75" i="1" s="1"/>
  <c r="D74" i="1"/>
  <c r="D75" i="1" s="1"/>
  <c r="D69" i="1"/>
  <c r="F69" i="1"/>
  <c r="C69" i="1"/>
  <c r="H4" i="1"/>
  <c r="I4" i="1" s="1"/>
  <c r="J4" i="1" s="1"/>
  <c r="K4" i="1" s="1"/>
  <c r="L4" i="1" s="1"/>
  <c r="B57" i="1"/>
  <c r="C178" i="1" l="1"/>
  <c r="D178" i="1"/>
  <c r="F178" i="1"/>
  <c r="G178" i="1"/>
  <c r="I79" i="1"/>
  <c r="I85" i="1"/>
  <c r="I71" i="1"/>
  <c r="I74" i="1" s="1"/>
  <c r="C80" i="1"/>
  <c r="C81" i="1"/>
  <c r="E80" i="1"/>
  <c r="E81" i="1"/>
  <c r="D80" i="1"/>
  <c r="D81" i="1"/>
  <c r="J68" i="1"/>
  <c r="F80" i="1"/>
  <c r="F81" i="1"/>
  <c r="B202" i="1"/>
  <c r="G80" i="1"/>
  <c r="B203" i="1"/>
  <c r="B75" i="1"/>
  <c r="B88" i="1"/>
  <c r="B89" i="1" s="1"/>
  <c r="E88" i="1"/>
  <c r="D88" i="1"/>
  <c r="G88" i="1"/>
  <c r="C88" i="1"/>
  <c r="F88" i="1"/>
  <c r="B58" i="1"/>
  <c r="B204" i="1" l="1"/>
  <c r="C203" i="1" s="1"/>
  <c r="B209" i="1" s="1"/>
  <c r="C209" i="1" s="1"/>
  <c r="B95" i="1"/>
  <c r="B110" i="1" s="1"/>
  <c r="B112" i="1" s="1"/>
  <c r="F95" i="1"/>
  <c r="F110" i="1" s="1"/>
  <c r="F113" i="1" s="1"/>
  <c r="F121" i="1" s="1"/>
  <c r="F89" i="1"/>
  <c r="G95" i="1"/>
  <c r="G110" i="1" s="1"/>
  <c r="G113" i="1" s="1"/>
  <c r="G121" i="1" s="1"/>
  <c r="G89" i="1"/>
  <c r="C95" i="1"/>
  <c r="C110" i="1" s="1"/>
  <c r="C113" i="1" s="1"/>
  <c r="C121" i="1" s="1"/>
  <c r="C89" i="1"/>
  <c r="E95" i="1"/>
  <c r="E110" i="1" s="1"/>
  <c r="E113" i="1" s="1"/>
  <c r="E121" i="1" s="1"/>
  <c r="E89" i="1"/>
  <c r="D95" i="1"/>
  <c r="D110" i="1" s="1"/>
  <c r="D113" i="1" s="1"/>
  <c r="D121" i="1" s="1"/>
  <c r="D89" i="1"/>
  <c r="K68" i="1"/>
  <c r="J79" i="1"/>
  <c r="J71" i="1"/>
  <c r="J74" i="1" s="1"/>
  <c r="J85" i="1"/>
  <c r="I88" i="1"/>
  <c r="I75" i="1"/>
  <c r="C56" i="1"/>
  <c r="C53" i="1"/>
  <c r="C54" i="1"/>
  <c r="C55" i="1"/>
  <c r="C57" i="1"/>
  <c r="C112" i="1" l="1"/>
  <c r="G112" i="1"/>
  <c r="E112" i="1"/>
  <c r="D112" i="1"/>
  <c r="F112" i="1"/>
  <c r="B113" i="1"/>
  <c r="B121" i="1" s="1"/>
  <c r="C202" i="1"/>
  <c r="C204" i="1" s="1"/>
  <c r="J88" i="1"/>
  <c r="J75" i="1"/>
  <c r="L68" i="1"/>
  <c r="K85" i="1"/>
  <c r="K79" i="1"/>
  <c r="K71" i="1"/>
  <c r="K74" i="1" s="1"/>
  <c r="I95" i="1"/>
  <c r="I110" i="1" s="1"/>
  <c r="I89" i="1"/>
  <c r="C58" i="1"/>
  <c r="H88" i="1"/>
  <c r="I111" i="1" l="1"/>
  <c r="I113" i="1" s="1"/>
  <c r="I121" i="1" s="1"/>
  <c r="B208" i="1"/>
  <c r="B210" i="1" s="1"/>
  <c r="K75" i="1"/>
  <c r="K88" i="1"/>
  <c r="L85" i="1"/>
  <c r="L79" i="1"/>
  <c r="L71" i="1"/>
  <c r="L74" i="1" s="1"/>
  <c r="H89" i="1"/>
  <c r="H95" i="1"/>
  <c r="H110" i="1" s="1"/>
  <c r="J95" i="1"/>
  <c r="J110" i="1" s="1"/>
  <c r="J89" i="1"/>
  <c r="H111" i="1" l="1"/>
  <c r="H113" i="1" s="1"/>
  <c r="H121" i="1" s="1"/>
  <c r="J111" i="1"/>
  <c r="J113" i="1" s="1"/>
  <c r="J121" i="1" s="1"/>
  <c r="C208" i="1"/>
  <c r="L75" i="1"/>
  <c r="L88" i="1"/>
  <c r="K89" i="1"/>
  <c r="K95" i="1"/>
  <c r="K110" i="1" s="1"/>
  <c r="K111" i="1" l="1"/>
  <c r="K113" i="1" s="1"/>
  <c r="K121" i="1" s="1"/>
  <c r="L89" i="1"/>
  <c r="L95" i="1"/>
  <c r="L110" i="1" s="1"/>
  <c r="L111" i="1" l="1"/>
  <c r="L113" i="1" s="1"/>
  <c r="L121" i="1" s="1"/>
</calcChain>
</file>

<file path=xl/sharedStrings.xml><?xml version="1.0" encoding="utf-8"?>
<sst xmlns="http://schemas.openxmlformats.org/spreadsheetml/2006/main" count="406" uniqueCount="272">
  <si>
    <t>US$ millions</t>
  </si>
  <si>
    <t>Inputs</t>
  </si>
  <si>
    <t>Purchase price</t>
  </si>
  <si>
    <t>Transaction Fees</t>
  </si>
  <si>
    <t>Financing Fees</t>
  </si>
  <si>
    <t>Sources and Uses</t>
  </si>
  <si>
    <t>Sources</t>
  </si>
  <si>
    <t>Uses</t>
  </si>
  <si>
    <t>Enterprise Value</t>
  </si>
  <si>
    <t>1st Lien Revolver</t>
  </si>
  <si>
    <t>1st Lien Term Loan</t>
  </si>
  <si>
    <t>Senior Secured Increasing Rate Secured Bridge Loan</t>
  </si>
  <si>
    <t>Senior Unsecured Increasing Rate Unsecured Bridge Loan</t>
  </si>
  <si>
    <t>Elon Musk Equity</t>
  </si>
  <si>
    <t>Total Uses</t>
  </si>
  <si>
    <t>Total Sources</t>
  </si>
  <si>
    <t>Twiiter LBO Model</t>
  </si>
  <si>
    <t>Income Statement</t>
  </si>
  <si>
    <t>LTM EBITDA</t>
  </si>
  <si>
    <t>Multiple of EBITDA</t>
  </si>
  <si>
    <t>Debt Assumptions</t>
  </si>
  <si>
    <t>1-Month SOFR</t>
  </si>
  <si>
    <t>$ - Amount</t>
  </si>
  <si>
    <t>Interest Rate Spread</t>
  </si>
  <si>
    <t>Revolver</t>
  </si>
  <si>
    <t>Multiple of EBITDA - Drawn</t>
  </si>
  <si>
    <t>Interest Rate</t>
  </si>
  <si>
    <t>% of Capital</t>
  </si>
  <si>
    <t>LTM 2021A</t>
  </si>
  <si>
    <t>Revenue</t>
  </si>
  <si>
    <t>Depreciation</t>
  </si>
  <si>
    <t>Amortization</t>
  </si>
  <si>
    <t>TTM</t>
  </si>
  <si>
    <t>Total Revenue</t>
  </si>
  <si>
    <t>Operating Revenue</t>
  </si>
  <si>
    <t>Excise Taxes</t>
  </si>
  <si>
    <t>Cost of Revenue</t>
  </si>
  <si>
    <t>Gross Profit</t>
  </si>
  <si>
    <t>Operating Expense</t>
  </si>
  <si>
    <t>Selling General And Administration</t>
  </si>
  <si>
    <t>General And Administrative Expense</t>
  </si>
  <si>
    <t>Selling And Marketing Expense</t>
  </si>
  <si>
    <t>Research And Development</t>
  </si>
  <si>
    <t>Depreciation And Amortization</t>
  </si>
  <si>
    <t>-</t>
  </si>
  <si>
    <t>Depletion</t>
  </si>
  <si>
    <t>Other Taxes</t>
  </si>
  <si>
    <t>Other Operating Expenses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</si>
  <si>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</si>
  <si>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</si>
  <si>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</si>
  <si>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</si>
  <si>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</si>
  <si>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Special Income Charges</t>
  </si>
  <si>
    <t>Pretax Income</t>
  </si>
  <si>
    <t>Tax Provision</t>
  </si>
  <si>
    <t>Earnings From Equity Interest Net Of Tax</t>
  </si>
  <si>
    <t>Net Income Common Stockholders</t>
  </si>
  <si>
    <t>Basic EPS</t>
  </si>
  <si>
    <t>Basic Continuous Operations</t>
  </si>
  <si>
    <t>Basic Discontinuous Operations</t>
  </si>
  <si>
    <t>Basic Extraordinary</t>
  </si>
  <si>
    <t>Tax Loss Carryforward Basic E P S</t>
  </si>
  <si>
    <t>Diluted EPS</t>
  </si>
  <si>
    <t>Diluted Continuous Operations</t>
  </si>
  <si>
    <t>Diluted Discontinuous Operations</t>
  </si>
  <si>
    <t>Diluted Extraordinary</t>
  </si>
  <si>
    <t>Tax Loss Carryforward Diluted E P S</t>
  </si>
  <si>
    <t>Basic Average Shares</t>
  </si>
  <si>
    <t>Diluted Average Shares</t>
  </si>
  <si>
    <t>Dividend Per Share</t>
  </si>
  <si>
    <t>Total Operating Income As Reported</t>
  </si>
  <si>
    <t>Reported Normalized Basic E P S</t>
  </si>
  <si>
    <t>Reported Normalized Diluted E P S</t>
  </si>
  <si>
    <t>Rent Expense Supplemental</t>
  </si>
  <si>
    <t>Total Expenses</t>
  </si>
  <si>
    <t>Net Income From Continuing And Discontinued Operation</t>
  </si>
  <si>
    <t>Normalized Income</t>
  </si>
  <si>
    <t>Interest Expense</t>
  </si>
  <si>
    <t>EBIT</t>
  </si>
  <si>
    <t>EBITDA</t>
  </si>
  <si>
    <t>Balance Sheet</t>
  </si>
  <si>
    <t>Dec 21</t>
  </si>
  <si>
    <t>Dec 20</t>
  </si>
  <si>
    <t>Dec 19</t>
  </si>
  <si>
    <t>Dec 18</t>
  </si>
  <si>
    <t xml:space="preserve">Dec 17 </t>
  </si>
  <si>
    <t>Total Assets</t>
  </si>
  <si>
    <t>Current Assets</t>
  </si>
  <si>
    <t>Cash, Cash Equivalents and Short-Term Investments</t>
  </si>
  <si>
    <t>Receivables</t>
  </si>
  <si>
    <t>Inventory</t>
  </si>
  <si>
    <t>Prepaid Assets</t>
  </si>
  <si>
    <t>Restricted Cash</t>
  </si>
  <si>
    <t>Current Deferred Assets</t>
  </si>
  <si>
    <t>Other Current Assets</t>
  </si>
  <si>
    <t>Total Non Current Assets</t>
  </si>
  <si>
    <t>Net P P E</t>
  </si>
  <si>
    <t>Investments And Advances</t>
  </si>
  <si>
    <t>Financial Assets</t>
  </si>
  <si>
    <t>Non Current Accounts Receivable</t>
  </si>
  <si>
    <t>Non Current Note Receivables</t>
  </si>
  <si>
    <t>Non Current Deferred Assets</t>
  </si>
  <si>
    <t>Non Current Prepaid Assets</t>
  </si>
  <si>
    <t>Defined Pension Benefit</t>
  </si>
  <si>
    <t>Other Non Current Assets</t>
  </si>
  <si>
    <t>Total Liabilities</t>
  </si>
  <si>
    <t>Current Liabilities</t>
  </si>
  <si>
    <t>Current Deferred Liabilities</t>
  </si>
  <si>
    <t>Other Current Liabilities</t>
  </si>
  <si>
    <t>Total Non Current Liabilities</t>
  </si>
  <si>
    <t>Non Current Accrued Expenses</t>
  </si>
  <si>
    <t>Employee Benefits</t>
  </si>
  <si>
    <t>Derivative Product Liabilities</t>
  </si>
  <si>
    <t>Preferred Securities Outside Stock Equity</t>
  </si>
  <si>
    <t>Restricted Common Stock</t>
  </si>
  <si>
    <t>Other Non Current Liabilities</t>
  </si>
  <si>
    <t>Total Equity Gross Minority</t>
  </si>
  <si>
    <t>Stockholders Equity</t>
  </si>
  <si>
    <t>Capital Stock</t>
  </si>
  <si>
    <t>Additional Paid In Capital</t>
  </si>
  <si>
    <t>Retained Earnings</t>
  </si>
  <si>
    <t>Treasury Stock</t>
  </si>
  <si>
    <t>Gains Losses Not Affecting Retained Earnings</t>
  </si>
  <si>
    <t>Other Equity Interest</t>
  </si>
  <si>
    <t>Minority Interest</t>
  </si>
  <si>
    <t>Total Capitalization</t>
  </si>
  <si>
    <t>Preferred Stock Equity</t>
  </si>
  <si>
    <t>Capital Lease Obligations</t>
  </si>
  <si>
    <t>Cash Flow</t>
  </si>
  <si>
    <t>Operating Cash Flow</t>
  </si>
  <si>
    <t>Cash Flow From Continuing Operating Activities</t>
  </si>
  <si>
    <t>Net Income From Continuing Operations</t>
  </si>
  <si>
    <t>Operating Gains Losses</t>
  </si>
  <si>
    <t>Depreciation Amortization Depletion</t>
  </si>
  <si>
    <t>Deferred Tax</t>
  </si>
  <si>
    <t>Other Non Cash Items</t>
  </si>
  <si>
    <t>Change In Working Capital</t>
  </si>
  <si>
    <t>Cash From Discontinued Operating Activities</t>
  </si>
  <si>
    <t>Investing Cash Flow</t>
  </si>
  <si>
    <t>Cash Flow From Continuing Investing Activities</t>
  </si>
  <si>
    <t>Capital Expenditure Reported</t>
  </si>
  <si>
    <t>Net P P E Purchase And Sale</t>
  </si>
  <si>
    <t>Net Intangibles Purchase And Sale</t>
  </si>
  <si>
    <t>Net Business Purchase And Sale</t>
  </si>
  <si>
    <t>Net Investment Properties Purchase And Sale</t>
  </si>
  <si>
    <t>Net Investment Purchase And Sale</t>
  </si>
  <si>
    <t>Net Other Investing Changes</t>
  </si>
  <si>
    <t>Cash From Discontinued Investing Activities</t>
  </si>
  <si>
    <t>Financing Cash Flow</t>
  </si>
  <si>
    <t>Cash Flow From Continuing Financing Activities</t>
  </si>
  <si>
    <t>Net Issuance Payments Of Debt</t>
  </si>
  <si>
    <t>Net Common Stock Issuance</t>
  </si>
  <si>
    <t>Net Preferred Stock Issuance</t>
  </si>
  <si>
    <t>Cash Dividends Paid</t>
  </si>
  <si>
    <t>Proceeds From Stock Option Exercised</t>
  </si>
  <si>
    <t>Net Other Financing Charges</t>
  </si>
  <si>
    <t>Cash From Discontinued Financing Activities</t>
  </si>
  <si>
    <t>Cash Flow From Discontinued Operation</t>
  </si>
  <si>
    <t>Other Cash Adjustment Inside Changein Cash</t>
  </si>
  <si>
    <t>End Cash Position</t>
  </si>
  <si>
    <t>Changes In Cash</t>
  </si>
  <si>
    <t>Effect Of Exchange Rate Changes</t>
  </si>
  <si>
    <t>Beginning Cash Position</t>
  </si>
  <si>
    <t>Other Cash Adjustment Outside Changein Cash</t>
  </si>
  <si>
    <t>Income Tax Paid Supplemental Data</t>
  </si>
  <si>
    <t>Interest Paid Supplemental Data</t>
  </si>
  <si>
    <t>Issuance Of Capital Stock</t>
  </si>
  <si>
    <t>Issuance Of Debt</t>
  </si>
  <si>
    <t>Repayment Of Debt</t>
  </si>
  <si>
    <t>Free Cash Flow</t>
  </si>
  <si>
    <t>Domestic Sales</t>
  </si>
  <si>
    <t>Foreign Sales</t>
  </si>
  <si>
    <t>Currency in USD</t>
  </si>
  <si>
    <t>x</t>
  </si>
  <si>
    <t>Revenue - Growth %</t>
  </si>
  <si>
    <t>Cost of Goods Sold</t>
  </si>
  <si>
    <t>Cost of Goods Sold - % of Revenue</t>
  </si>
  <si>
    <t>SG&amp;A</t>
  </si>
  <si>
    <t>R&amp;D</t>
  </si>
  <si>
    <t>SG&amp;A - % of Revenue</t>
  </si>
  <si>
    <t>R&amp;D - % of Revenue</t>
  </si>
  <si>
    <t>EBITDA Margin - % of Revenue</t>
  </si>
  <si>
    <t>Gross Profit - % of Revenue</t>
  </si>
  <si>
    <t xml:space="preserve"> </t>
  </si>
  <si>
    <t>Depreciation &amp; Amortization</t>
  </si>
  <si>
    <t>Other Amortization</t>
  </si>
  <si>
    <t>SG&amp;A - exc. D&amp;A</t>
  </si>
  <si>
    <t>SG&amp;A - with D&amp;A</t>
  </si>
  <si>
    <t>Amort. of Goodwill and intagibles</t>
  </si>
  <si>
    <t>R&amp;D - inc. Amortization</t>
  </si>
  <si>
    <t>Amort. Of Goodwill and Intagibles</t>
  </si>
  <si>
    <t>R&amp;D - exc. Amortization</t>
  </si>
  <si>
    <t>Amortization of Goodwill and Intagibles</t>
  </si>
  <si>
    <t xml:space="preserve">Total Depreciation Amortization </t>
  </si>
  <si>
    <t>Currency Exchange Gains (Loss)</t>
  </si>
  <si>
    <t>Earning Before Tax</t>
  </si>
  <si>
    <t>Currency Exchange Gain</t>
  </si>
  <si>
    <t>Other Non-Operating Inc. (exp.)</t>
  </si>
  <si>
    <t>Net Interest Income</t>
  </si>
  <si>
    <t>Impairment of Goodwill</t>
  </si>
  <si>
    <t>Gain (Loss) On Sale OF Invest</t>
  </si>
  <si>
    <t>Gain (Loss) On Sale OF Assets</t>
  </si>
  <si>
    <t>Other Unusual Charges</t>
  </si>
  <si>
    <t>One-Time Expenses</t>
  </si>
  <si>
    <t>Legal Settelments</t>
  </si>
  <si>
    <t>Currency Non-operating Inc.(Exp.)</t>
  </si>
  <si>
    <t>Income Tax Expense</t>
  </si>
  <si>
    <t>Net Income</t>
  </si>
  <si>
    <t>Employees Salaries - Schedule</t>
  </si>
  <si>
    <t>Employees  - June 30, 2022</t>
  </si>
  <si>
    <t>Depreciation &amp; Amorization</t>
  </si>
  <si>
    <t>Other Operating Expenses/ (Income)</t>
  </si>
  <si>
    <t>Average Salary</t>
  </si>
  <si>
    <t>Salaries</t>
  </si>
  <si>
    <t>Benefits</t>
  </si>
  <si>
    <t>Layoff %</t>
  </si>
  <si>
    <t>Layoffs</t>
  </si>
  <si>
    <t>LTM June 30, 2022</t>
  </si>
  <si>
    <t>Total</t>
  </si>
  <si>
    <t>Salaries &amp; Benefits - post transaction</t>
  </si>
  <si>
    <t>Salaries &amp; Benefits - pre - transaction</t>
  </si>
  <si>
    <t>post - Transaction</t>
  </si>
  <si>
    <t>pre - Transaction</t>
  </si>
  <si>
    <t>SG&amp;A - % Change</t>
  </si>
  <si>
    <t>Income Tax Rate - %</t>
  </si>
  <si>
    <t>Cash Flow Statement</t>
  </si>
  <si>
    <t>Interest Income</t>
  </si>
  <si>
    <t>Operating Activities</t>
  </si>
  <si>
    <t>Investing  Activities</t>
  </si>
  <si>
    <t>Financing Activities</t>
  </si>
  <si>
    <t>FCF Available for Debt Repayment</t>
  </si>
  <si>
    <t>(+) D&amp;A</t>
  </si>
  <si>
    <t>Assets</t>
  </si>
  <si>
    <t>Accounts Receivables</t>
  </si>
  <si>
    <t>Accounts Payable</t>
  </si>
  <si>
    <t>Cash &amp; Cash Equivalents</t>
  </si>
  <si>
    <t>Prepaid Expenses</t>
  </si>
  <si>
    <t>Total Current Assets</t>
  </si>
  <si>
    <t>PP&amp;E</t>
  </si>
  <si>
    <t>Long-Term Investments</t>
  </si>
  <si>
    <t>Goodwill</t>
  </si>
  <si>
    <t>Other Intagibles</t>
  </si>
  <si>
    <t>Deffered Tax Assets</t>
  </si>
  <si>
    <t>Other Long-Term Assets</t>
  </si>
  <si>
    <t>Total-Non Current Assets</t>
  </si>
  <si>
    <t xml:space="preserve">Goodwill </t>
  </si>
  <si>
    <t>Other Intangible Assets</t>
  </si>
  <si>
    <t>Other Long Term Assets</t>
  </si>
  <si>
    <t>Liabilities</t>
  </si>
  <si>
    <t>Payables</t>
  </si>
  <si>
    <t>Accrued Expenses</t>
  </si>
  <si>
    <t>Current Port of LT Debt</t>
  </si>
  <si>
    <t>Current port of Leases Obligation</t>
  </si>
  <si>
    <t>Current Income tax payable</t>
  </si>
  <si>
    <t>Unearned Rev. Current</t>
  </si>
  <si>
    <t>Long Term Debt</t>
  </si>
  <si>
    <t>Long Term Leases</t>
  </si>
  <si>
    <t>Current Income Taxes Payable</t>
  </si>
  <si>
    <t>Total Current Liabilities</t>
  </si>
  <si>
    <t>Long-Term Debt</t>
  </si>
  <si>
    <t>Long-Term Leases</t>
  </si>
  <si>
    <t>Def. Tax Liablities, Non Curr.</t>
  </si>
  <si>
    <t>Other Non-Curr. Liabilities</t>
  </si>
  <si>
    <t>Total Non-Current Liabilities</t>
  </si>
  <si>
    <t>Non-Current Deferred Tax Liabilities</t>
  </si>
  <si>
    <t>LTM</t>
  </si>
  <si>
    <t>Total Liabilities + Stockholders Equity</t>
  </si>
  <si>
    <t>Check</t>
  </si>
  <si>
    <t>30-Jun</t>
  </si>
  <si>
    <t>Net Working Capital Schedule</t>
  </si>
  <si>
    <t>Other Curr.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</si>
</sst>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_);_(* \(#,###.\);_(* &quot;-&quot;??_);_(@_)"/>
    <numFmt numFmtId="167" formatCode="_(* #,##0.0_);_(* \(#,###.0.\);_(* &quot;-&quot;??_);_(@_)"/>
    <numFmt numFmtId="168" formatCode="General&quot;E&quot;"/>
    <numFmt numFmtId="169" formatCode="General&quot;A&quot;"/>
    <numFmt numFmtId="170" formatCode="_(* #,##0.00_);_(* \(#,##0.00\);_(* &quot;-&quot;_);_(@_)"/>
    <numFmt numFmtId="171" formatCode="_(* #,##0.000_);_(* \(#,##0.000\);_(* &quot;-&quot;??_);_(@_)"/>
    <numFmt numFmtId="172" formatCode="_(* #,##0.0%_);_(* \(#,##0.0%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6" fontId="2" fillId="0" borderId="1" xfId="0" applyNumberFormat="1" applyFont="1" applyBorder="1"/>
    <xf numFmtId="0" fontId="2" fillId="2" borderId="0" xfId="0" applyFont="1" applyFill="1"/>
    <xf numFmtId="166" fontId="0" fillId="2" borderId="0" xfId="0" applyNumberFormat="1" applyFill="1"/>
    <xf numFmtId="167" fontId="0" fillId="0" borderId="0" xfId="0" applyNumberFormat="1"/>
    <xf numFmtId="168" fontId="0" fillId="0" borderId="0" xfId="0" applyNumberFormat="1"/>
    <xf numFmtId="0" fontId="2" fillId="0" borderId="2" xfId="0" applyFont="1" applyBorder="1"/>
    <xf numFmtId="0" fontId="3" fillId="0" borderId="2" xfId="0" applyFont="1" applyBorder="1"/>
    <xf numFmtId="0" fontId="0" fillId="0" borderId="2" xfId="0" applyBorder="1"/>
    <xf numFmtId="0" fontId="2" fillId="2" borderId="2" xfId="0" applyFont="1" applyFill="1" applyBorder="1"/>
    <xf numFmtId="0" fontId="4" fillId="0" borderId="2" xfId="0" applyFont="1" applyBorder="1"/>
    <xf numFmtId="166" fontId="0" fillId="0" borderId="2" xfId="0" applyNumberFormat="1" applyBorder="1"/>
    <xf numFmtId="0" fontId="2" fillId="0" borderId="3" xfId="0" applyFont="1" applyBorder="1"/>
    <xf numFmtId="166" fontId="2" fillId="0" borderId="4" xfId="0" applyNumberFormat="1" applyFont="1" applyBorder="1"/>
    <xf numFmtId="165" fontId="2" fillId="0" borderId="1" xfId="1" applyNumberFormat="1" applyFont="1" applyBorder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0" fontId="2" fillId="2" borderId="0" xfId="0" applyNumberFormat="1" applyFont="1" applyFill="1" applyAlignment="1">
      <alignment horizontal="right"/>
    </xf>
    <xf numFmtId="0" fontId="0" fillId="0" borderId="0" xfId="0" applyAlignment="1">
      <alignment horizontal="left" indent="2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0" fontId="2" fillId="2" borderId="0" xfId="0" applyNumberFormat="1" applyFont="1" applyFill="1"/>
    <xf numFmtId="165" fontId="1" fillId="0" borderId="0" xfId="1" applyNumberFormat="1" applyFont="1"/>
    <xf numFmtId="166" fontId="3" fillId="0" borderId="0" xfId="0" applyNumberFormat="1" applyFont="1"/>
    <xf numFmtId="165" fontId="3" fillId="0" borderId="0" xfId="1" applyNumberFormat="1" applyFont="1"/>
    <xf numFmtId="0" fontId="0" fillId="0" borderId="0" xfId="0" applyAlignment="1">
      <alignment horizontal="left" indent="4"/>
    </xf>
    <xf numFmtId="171" fontId="0" fillId="0" borderId="0" xfId="0" applyNumberFormat="1"/>
    <xf numFmtId="0" fontId="0" fillId="0" borderId="2" xfId="0" applyBorder="1" applyAlignment="1">
      <alignment horizontal="left" indent="1"/>
    </xf>
    <xf numFmtId="0" fontId="0" fillId="0" borderId="3" xfId="0" applyBorder="1"/>
    <xf numFmtId="164" fontId="0" fillId="0" borderId="1" xfId="0" applyNumberFormat="1" applyBorder="1"/>
    <xf numFmtId="0" fontId="0" fillId="0" borderId="2" xfId="0" applyBorder="1" applyAlignment="1">
      <alignment horizontal="left" indent="2"/>
    </xf>
    <xf numFmtId="164" fontId="0" fillId="0" borderId="5" xfId="0" applyNumberFormat="1" applyBorder="1"/>
    <xf numFmtId="166" fontId="0" fillId="0" borderId="5" xfId="0" applyNumberFormat="1" applyBorder="1"/>
    <xf numFmtId="0" fontId="0" fillId="0" borderId="6" xfId="0" applyBorder="1" applyAlignment="1">
      <alignment horizontal="left" indent="1"/>
    </xf>
    <xf numFmtId="164" fontId="3" fillId="0" borderId="0" xfId="0" applyNumberFormat="1" applyFont="1"/>
    <xf numFmtId="0" fontId="0" fillId="0" borderId="2" xfId="0" applyBorder="1" applyAlignment="1">
      <alignment horizontal="left"/>
    </xf>
    <xf numFmtId="172" fontId="3" fillId="0" borderId="0" xfId="1" applyNumberFormat="1" applyFont="1"/>
    <xf numFmtId="0" fontId="0" fillId="0" borderId="2" xfId="0" applyBorder="1" applyAlignment="1">
      <alignment horizontal="left" indent="3"/>
    </xf>
    <xf numFmtId="0" fontId="3" fillId="0" borderId="2" xfId="0" applyFont="1" applyBorder="1" applyAlignment="1">
      <alignment horizontal="left" indent="3"/>
    </xf>
    <xf numFmtId="0" fontId="0" fillId="0" borderId="8" xfId="0" applyBorder="1" applyAlignment="1">
      <alignment horizontal="left" indent="3"/>
    </xf>
    <xf numFmtId="164" fontId="0" fillId="0" borderId="7" xfId="0" applyNumberFormat="1" applyBorder="1"/>
    <xf numFmtId="166" fontId="0" fillId="0" borderId="7" xfId="0" applyNumberForma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7" xfId="0" applyNumberFormat="1" applyFont="1" applyBorder="1"/>
    <xf numFmtId="166" fontId="2" fillId="0" borderId="7" xfId="0" applyNumberFormat="1" applyFont="1" applyBorder="1"/>
    <xf numFmtId="164" fontId="2" fillId="0" borderId="0" xfId="0" applyNumberFormat="1" applyFont="1"/>
    <xf numFmtId="166" fontId="2" fillId="0" borderId="0" xfId="0" applyNumberFormat="1" applyFont="1"/>
    <xf numFmtId="16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right"/>
    </xf>
    <xf numFmtId="169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9" fontId="0" fillId="0" borderId="0" xfId="1" applyFont="1"/>
    <xf numFmtId="43" fontId="0" fillId="0" borderId="0" xfId="0" applyNumberFormat="1" applyAlignment="1">
      <alignment horizontal="right"/>
    </xf>
    <xf numFmtId="43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5B92-8490-465C-9FE1-907390D8A2F2}">
  <sheetPr>
    <tabColor rgb="FF002060"/>
  </sheetPr>
  <dimension ref="A1:W432"/>
  <sheetViews>
    <sheetView showGridLines="0" tabSelected="1" zoomScale="90" zoomScaleNormal="90" workbookViewId="0">
      <pane ySplit="4" topLeftCell="A153" activePane="bottomLeft" state="frozen"/>
      <selection pane="bottomLeft" activeCell="B210" sqref="B210"/>
    </sheetView>
    <sheetView workbookViewId="1"/>
  </sheetViews>
  <sheetFormatPr baseColWidth="10" defaultColWidth="9.1640625" defaultRowHeight="15" outlineLevelRow="1" x14ac:dyDescent="0.2"/>
  <cols>
    <col min="1" max="1" width="48.33203125" style="13" bestFit="1" customWidth="1"/>
    <col min="2" max="2" width="11" style="4" bestFit="1" customWidth="1"/>
    <col min="3" max="5" width="9.1640625" style="4"/>
    <col min="6" max="6" width="10.1640625" style="4" bestFit="1" customWidth="1"/>
    <col min="7" max="7" width="10.5" style="4" bestFit="1" customWidth="1"/>
    <col min="8" max="16384" width="9.1640625" style="4"/>
  </cols>
  <sheetData>
    <row r="1" spans="1:12" s="2" customFormat="1" x14ac:dyDescent="0.2">
      <c r="A1" s="11" t="s">
        <v>16</v>
      </c>
    </row>
    <row r="2" spans="1:12" s="2" customFormat="1" x14ac:dyDescent="0.2">
      <c r="A2" s="12" t="s">
        <v>0</v>
      </c>
    </row>
    <row r="3" spans="1:12" s="2" customFormat="1" x14ac:dyDescent="0.2">
      <c r="A3" s="12"/>
      <c r="G3" s="65" t="s">
        <v>269</v>
      </c>
    </row>
    <row r="4" spans="1:12" s="58" customFormat="1" x14ac:dyDescent="0.2">
      <c r="A4" s="59"/>
      <c r="B4" s="60">
        <v>2017</v>
      </c>
      <c r="C4" s="60">
        <f>B4+1</f>
        <v>2018</v>
      </c>
      <c r="D4" s="60">
        <f t="shared" ref="D4:L4" si="0">C4+1</f>
        <v>2019</v>
      </c>
      <c r="E4" s="60">
        <f t="shared" si="0"/>
        <v>2020</v>
      </c>
      <c r="F4" s="60">
        <f t="shared" si="0"/>
        <v>2021</v>
      </c>
      <c r="G4" s="61" t="s">
        <v>28</v>
      </c>
      <c r="H4" s="61">
        <f>F4+1</f>
        <v>2022</v>
      </c>
      <c r="I4" s="61">
        <f t="shared" si="0"/>
        <v>2023</v>
      </c>
      <c r="J4" s="61">
        <f t="shared" si="0"/>
        <v>2024</v>
      </c>
      <c r="K4" s="61">
        <f t="shared" si="0"/>
        <v>2025</v>
      </c>
      <c r="L4" s="61">
        <f t="shared" si="0"/>
        <v>2026</v>
      </c>
    </row>
    <row r="5" spans="1:12" s="2" customFormat="1" ht="14.25" customHeight="1" x14ac:dyDescent="0.2">
      <c r="A5" s="13"/>
    </row>
    <row r="6" spans="1:12" s="8" customFormat="1" x14ac:dyDescent="0.2">
      <c r="A6" s="14" t="s">
        <v>1</v>
      </c>
    </row>
    <row r="8" spans="1:12" x14ac:dyDescent="0.2">
      <c r="A8" s="13" t="s">
        <v>2</v>
      </c>
      <c r="B8" s="4">
        <v>44000</v>
      </c>
    </row>
    <row r="9" spans="1:12" x14ac:dyDescent="0.2">
      <c r="A9" s="13" t="s">
        <v>3</v>
      </c>
      <c r="B9" s="3">
        <v>0.02</v>
      </c>
    </row>
    <row r="10" spans="1:12" x14ac:dyDescent="0.2">
      <c r="A10" s="13" t="s">
        <v>4</v>
      </c>
      <c r="B10" s="3">
        <v>2.5000000000000001E-2</v>
      </c>
      <c r="F10" s="62"/>
    </row>
    <row r="11" spans="1:12" x14ac:dyDescent="0.2">
      <c r="B11" s="3"/>
    </row>
    <row r="12" spans="1:12" x14ac:dyDescent="0.2">
      <c r="A12" s="13" t="s">
        <v>18</v>
      </c>
      <c r="B12" s="4">
        <v>210.99</v>
      </c>
    </row>
    <row r="14" spans="1:12" x14ac:dyDescent="0.2">
      <c r="A14" s="15" t="s">
        <v>20</v>
      </c>
    </row>
    <row r="15" spans="1:12" x14ac:dyDescent="0.2">
      <c r="A15" s="15"/>
      <c r="B15" s="10">
        <v>2023</v>
      </c>
      <c r="C15" s="10">
        <f>B15+1</f>
        <v>2024</v>
      </c>
      <c r="D15" s="10">
        <f t="shared" ref="D15:F15" si="1">C15+1</f>
        <v>2025</v>
      </c>
      <c r="E15" s="10">
        <f t="shared" si="1"/>
        <v>2026</v>
      </c>
      <c r="F15" s="10">
        <f t="shared" si="1"/>
        <v>2027</v>
      </c>
    </row>
    <row r="16" spans="1:12" x14ac:dyDescent="0.2">
      <c r="A16" s="13" t="s">
        <v>21</v>
      </c>
      <c r="B16" s="3">
        <v>4.8599999999999997E-2</v>
      </c>
      <c r="C16" s="3">
        <v>3.3099999999999997E-2</v>
      </c>
      <c r="D16" s="3">
        <v>2.76E-2</v>
      </c>
      <c r="E16" s="3">
        <v>2.7199999999999998E-2</v>
      </c>
      <c r="F16" s="3">
        <v>2.8199999999999999E-2</v>
      </c>
      <c r="G16"/>
      <c r="H16"/>
    </row>
    <row r="17" spans="1:8" x14ac:dyDescent="0.2">
      <c r="B17" s="3"/>
      <c r="C17" s="3"/>
      <c r="D17" s="3"/>
      <c r="E17" s="3"/>
      <c r="F17" s="3"/>
      <c r="G17"/>
      <c r="H17"/>
    </row>
    <row r="18" spans="1:8" x14ac:dyDescent="0.2">
      <c r="A18" s="11" t="s">
        <v>24</v>
      </c>
      <c r="B18"/>
      <c r="C18"/>
      <c r="D18"/>
      <c r="E18"/>
      <c r="F18"/>
      <c r="G18"/>
      <c r="H18"/>
    </row>
    <row r="19" spans="1:8" x14ac:dyDescent="0.2">
      <c r="A19" s="13" t="s">
        <v>25</v>
      </c>
      <c r="B19" s="4">
        <v>0</v>
      </c>
      <c r="C19"/>
      <c r="D19"/>
      <c r="E19"/>
      <c r="F19"/>
      <c r="G19"/>
      <c r="H19"/>
    </row>
    <row r="20" spans="1:8" x14ac:dyDescent="0.2">
      <c r="A20" s="13" t="s">
        <v>25</v>
      </c>
      <c r="B20" s="9">
        <v>2.4</v>
      </c>
      <c r="C20"/>
      <c r="D20"/>
      <c r="E20"/>
      <c r="F20"/>
      <c r="G20"/>
      <c r="H20"/>
    </row>
    <row r="21" spans="1:8" x14ac:dyDescent="0.2">
      <c r="A21" s="13" t="s">
        <v>23</v>
      </c>
      <c r="B21" s="3">
        <v>4.4999999999999998E-2</v>
      </c>
      <c r="C21" s="3"/>
      <c r="D21" s="3"/>
      <c r="E21" s="3"/>
      <c r="F21" s="3"/>
      <c r="G21"/>
      <c r="H21"/>
    </row>
    <row r="22" spans="1:8" x14ac:dyDescent="0.2">
      <c r="B22" s="10">
        <v>2023</v>
      </c>
      <c r="C22" s="10">
        <f>B22+1</f>
        <v>2024</v>
      </c>
      <c r="D22" s="10">
        <f t="shared" ref="D22:F22" si="2">C22+1</f>
        <v>2025</v>
      </c>
      <c r="E22" s="10">
        <f t="shared" si="2"/>
        <v>2026</v>
      </c>
      <c r="F22" s="10">
        <f t="shared" si="2"/>
        <v>2027</v>
      </c>
      <c r="G22"/>
      <c r="H22"/>
    </row>
    <row r="23" spans="1:8" x14ac:dyDescent="0.2">
      <c r="A23" s="13" t="s">
        <v>26</v>
      </c>
      <c r="B23" s="3">
        <f>$B$21+B$16</f>
        <v>9.3599999999999989E-2</v>
      </c>
      <c r="C23" s="3">
        <f t="shared" ref="C23:F23" si="3">$B$21+C$16</f>
        <v>7.8100000000000003E-2</v>
      </c>
      <c r="D23" s="3">
        <f t="shared" si="3"/>
        <v>7.2599999999999998E-2</v>
      </c>
      <c r="E23" s="3">
        <f t="shared" si="3"/>
        <v>7.22E-2</v>
      </c>
      <c r="F23" s="3">
        <f t="shared" si="3"/>
        <v>7.3200000000000001E-2</v>
      </c>
      <c r="G23"/>
      <c r="H23"/>
    </row>
    <row r="24" spans="1:8" x14ac:dyDescent="0.2">
      <c r="B24" s="3"/>
      <c r="C24" s="3"/>
      <c r="D24" s="3"/>
      <c r="E24" s="3"/>
      <c r="F24" s="3"/>
      <c r="G24"/>
      <c r="H24"/>
    </row>
    <row r="25" spans="1:8" x14ac:dyDescent="0.2">
      <c r="A25" s="11" t="s">
        <v>9</v>
      </c>
    </row>
    <row r="26" spans="1:8" x14ac:dyDescent="0.2">
      <c r="A26" s="13" t="s">
        <v>19</v>
      </c>
      <c r="B26" s="4">
        <v>30.807147258163894</v>
      </c>
    </row>
    <row r="27" spans="1:8" x14ac:dyDescent="0.2">
      <c r="A27" s="13" t="s">
        <v>22</v>
      </c>
      <c r="B27" s="4">
        <f>B26*$B$12</f>
        <v>6500</v>
      </c>
    </row>
    <row r="28" spans="1:8" x14ac:dyDescent="0.2">
      <c r="A28" s="13" t="s">
        <v>23</v>
      </c>
      <c r="B28" s="3">
        <v>4.7500000000000001E-2</v>
      </c>
    </row>
    <row r="30" spans="1:8" x14ac:dyDescent="0.2">
      <c r="A30" s="16"/>
      <c r="B30" s="10">
        <v>2023</v>
      </c>
      <c r="C30" s="10">
        <f>B30+1</f>
        <v>2024</v>
      </c>
      <c r="D30" s="10">
        <f t="shared" ref="D30:F30" si="4">C30+1</f>
        <v>2025</v>
      </c>
      <c r="E30" s="10">
        <f t="shared" si="4"/>
        <v>2026</v>
      </c>
      <c r="F30" s="10">
        <f t="shared" si="4"/>
        <v>2027</v>
      </c>
    </row>
    <row r="31" spans="1:8" x14ac:dyDescent="0.2">
      <c r="A31" s="13" t="s">
        <v>26</v>
      </c>
      <c r="B31" s="3">
        <f>$B$28+B$16</f>
        <v>9.6099999999999991E-2</v>
      </c>
      <c r="C31" s="3">
        <f t="shared" ref="C31:F31" si="5">$B$28+C$16</f>
        <v>8.0600000000000005E-2</v>
      </c>
      <c r="D31" s="3">
        <f t="shared" si="5"/>
        <v>7.51E-2</v>
      </c>
      <c r="E31" s="3">
        <f t="shared" si="5"/>
        <v>7.4700000000000003E-2</v>
      </c>
      <c r="F31" s="3">
        <f t="shared" si="5"/>
        <v>7.5700000000000003E-2</v>
      </c>
    </row>
    <row r="33" spans="1:6" x14ac:dyDescent="0.2">
      <c r="A33" s="11" t="s">
        <v>11</v>
      </c>
    </row>
    <row r="34" spans="1:6" x14ac:dyDescent="0.2">
      <c r="A34" s="13" t="s">
        <v>19</v>
      </c>
      <c r="B34" s="4">
        <v>14.218683349921797</v>
      </c>
    </row>
    <row r="35" spans="1:6" x14ac:dyDescent="0.2">
      <c r="A35" s="13" t="s">
        <v>22</v>
      </c>
      <c r="B35" s="4">
        <f>B34*$B$12</f>
        <v>3000</v>
      </c>
    </row>
    <row r="36" spans="1:6" x14ac:dyDescent="0.2">
      <c r="A36" s="13" t="s">
        <v>23</v>
      </c>
      <c r="B36" s="3">
        <v>6.7500000000000004E-2</v>
      </c>
    </row>
    <row r="37" spans="1:6" x14ac:dyDescent="0.2">
      <c r="B37" s="3"/>
    </row>
    <row r="38" spans="1:6" x14ac:dyDescent="0.2">
      <c r="A38" s="16"/>
      <c r="B38" s="10">
        <v>2023</v>
      </c>
      <c r="C38" s="10">
        <f>B38+1</f>
        <v>2024</v>
      </c>
      <c r="D38" s="10">
        <f t="shared" ref="D38:F38" si="6">C38+1</f>
        <v>2025</v>
      </c>
      <c r="E38" s="10">
        <f t="shared" si="6"/>
        <v>2026</v>
      </c>
      <c r="F38" s="10">
        <f t="shared" si="6"/>
        <v>2027</v>
      </c>
    </row>
    <row r="39" spans="1:6" x14ac:dyDescent="0.2">
      <c r="A39" s="13" t="s">
        <v>26</v>
      </c>
      <c r="B39" s="3">
        <f>$B$36+B$16</f>
        <v>0.11610000000000001</v>
      </c>
      <c r="C39" s="3">
        <f t="shared" ref="C39:F39" si="7">$B$36+C$16</f>
        <v>0.10059999999999999</v>
      </c>
      <c r="D39" s="3">
        <f t="shared" si="7"/>
        <v>9.5100000000000004E-2</v>
      </c>
      <c r="E39" s="3">
        <f t="shared" si="7"/>
        <v>9.4700000000000006E-2</v>
      </c>
      <c r="F39" s="3">
        <f t="shared" si="7"/>
        <v>9.5700000000000007E-2</v>
      </c>
    </row>
    <row r="40" spans="1:6" x14ac:dyDescent="0.2">
      <c r="A40" s="16"/>
    </row>
    <row r="41" spans="1:6" x14ac:dyDescent="0.2">
      <c r="A41" s="11" t="s">
        <v>12</v>
      </c>
    </row>
    <row r="42" spans="1:6" x14ac:dyDescent="0.2">
      <c r="A42" s="13" t="s">
        <v>19</v>
      </c>
      <c r="B42" s="4">
        <v>14.218683349921797</v>
      </c>
    </row>
    <row r="43" spans="1:6" x14ac:dyDescent="0.2">
      <c r="A43" s="13" t="s">
        <v>22</v>
      </c>
      <c r="B43" s="4">
        <f>B42*$B$12</f>
        <v>3000</v>
      </c>
    </row>
    <row r="44" spans="1:6" x14ac:dyDescent="0.2">
      <c r="A44" s="13" t="s">
        <v>23</v>
      </c>
      <c r="B44" s="3">
        <v>0.1</v>
      </c>
    </row>
    <row r="46" spans="1:6" x14ac:dyDescent="0.2">
      <c r="A46" s="16"/>
      <c r="B46" s="10">
        <v>2023</v>
      </c>
      <c r="C46" s="10">
        <f>B46+1</f>
        <v>2024</v>
      </c>
      <c r="D46" s="10">
        <f t="shared" ref="D46:F46" si="8">C46+1</f>
        <v>2025</v>
      </c>
      <c r="E46" s="10">
        <f t="shared" si="8"/>
        <v>2026</v>
      </c>
      <c r="F46" s="10">
        <f t="shared" si="8"/>
        <v>2027</v>
      </c>
    </row>
    <row r="47" spans="1:6" x14ac:dyDescent="0.2">
      <c r="A47" s="13" t="s">
        <v>26</v>
      </c>
      <c r="B47" s="3">
        <f>$B$44+B$16</f>
        <v>0.14860000000000001</v>
      </c>
      <c r="C47" s="3">
        <f t="shared" ref="C47:F47" si="9">$B$44+C$16</f>
        <v>0.1331</v>
      </c>
      <c r="D47" s="3">
        <f t="shared" si="9"/>
        <v>0.12759999999999999</v>
      </c>
      <c r="E47" s="3">
        <f t="shared" si="9"/>
        <v>0.12720000000000001</v>
      </c>
      <c r="F47" s="3">
        <f t="shared" si="9"/>
        <v>0.12820000000000001</v>
      </c>
    </row>
    <row r="49" spans="1:3" s="7" customFormat="1" x14ac:dyDescent="0.2">
      <c r="A49" s="14" t="s">
        <v>5</v>
      </c>
    </row>
    <row r="52" spans="1:3" x14ac:dyDescent="0.2">
      <c r="A52" s="11" t="s">
        <v>6</v>
      </c>
      <c r="C52" s="4" t="s">
        <v>27</v>
      </c>
    </row>
    <row r="53" spans="1:3" x14ac:dyDescent="0.2">
      <c r="A53" s="13" t="s">
        <v>9</v>
      </c>
      <c r="B53" s="4">
        <f>B19</f>
        <v>0</v>
      </c>
      <c r="C53" s="3">
        <f>B53/$B$58</f>
        <v>0</v>
      </c>
    </row>
    <row r="54" spans="1:3" x14ac:dyDescent="0.2">
      <c r="A54" s="13" t="s">
        <v>10</v>
      </c>
      <c r="B54" s="4">
        <f>B27</f>
        <v>6500</v>
      </c>
      <c r="C54" s="3">
        <f>B54/$B$58</f>
        <v>0.14382758391786338</v>
      </c>
    </row>
    <row r="55" spans="1:3" x14ac:dyDescent="0.2">
      <c r="A55" s="13" t="s">
        <v>11</v>
      </c>
      <c r="B55" s="4">
        <f>B35</f>
        <v>3000</v>
      </c>
      <c r="C55" s="3">
        <f>B55/$B$58</f>
        <v>6.6381961808244641E-2</v>
      </c>
    </row>
    <row r="56" spans="1:3" x14ac:dyDescent="0.2">
      <c r="A56" s="13" t="s">
        <v>12</v>
      </c>
      <c r="B56" s="4">
        <v>3000</v>
      </c>
      <c r="C56" s="3">
        <f>B56/$B$58</f>
        <v>6.6381961808244641E-2</v>
      </c>
    </row>
    <row r="57" spans="1:3" ht="16" thickBot="1" x14ac:dyDescent="0.25">
      <c r="A57" s="13" t="s">
        <v>13</v>
      </c>
      <c r="B57" s="4">
        <f>B64-SUM(B53:B56)</f>
        <v>32693</v>
      </c>
      <c r="C57" s="3">
        <f>B57/$B$58</f>
        <v>0.72340849246564731</v>
      </c>
    </row>
    <row r="58" spans="1:3" x14ac:dyDescent="0.2">
      <c r="A58" s="17" t="s">
        <v>15</v>
      </c>
      <c r="B58" s="18">
        <f>SUM(B53:B57)</f>
        <v>45193</v>
      </c>
      <c r="C58" s="19">
        <f>SUM(C53:C57)</f>
        <v>1</v>
      </c>
    </row>
    <row r="60" spans="1:3" x14ac:dyDescent="0.2">
      <c r="A60" s="11" t="s">
        <v>7</v>
      </c>
    </row>
    <row r="61" spans="1:3" x14ac:dyDescent="0.2">
      <c r="A61" s="13" t="s">
        <v>8</v>
      </c>
      <c r="B61" s="4">
        <v>44000</v>
      </c>
    </row>
    <row r="62" spans="1:3" x14ac:dyDescent="0.2">
      <c r="A62" s="13" t="s">
        <v>3</v>
      </c>
      <c r="B62" s="4">
        <v>880</v>
      </c>
    </row>
    <row r="63" spans="1:3" ht="16" thickBot="1" x14ac:dyDescent="0.25">
      <c r="A63" s="13" t="s">
        <v>4</v>
      </c>
      <c r="B63" s="4">
        <v>313</v>
      </c>
    </row>
    <row r="64" spans="1:3" x14ac:dyDescent="0.2">
      <c r="A64" s="17" t="s">
        <v>14</v>
      </c>
      <c r="B64" s="6">
        <f>SUM(B61:B63)</f>
        <v>45193</v>
      </c>
    </row>
    <row r="66" spans="1:12" s="8" customFormat="1" x14ac:dyDescent="0.2">
      <c r="A66" s="14" t="s">
        <v>17</v>
      </c>
    </row>
    <row r="68" spans="1:12" s="2" customFormat="1" x14ac:dyDescent="0.2">
      <c r="A68" s="13" t="s">
        <v>29</v>
      </c>
      <c r="B68" s="2">
        <f>'Income Statement'!B2</f>
        <v>2443</v>
      </c>
      <c r="C68" s="2">
        <f>'Income Statement'!C2</f>
        <v>3042</v>
      </c>
      <c r="D68" s="2">
        <f>'Income Statement'!D2</f>
        <v>3459</v>
      </c>
      <c r="E68" s="2">
        <f>'Income Statement'!E2</f>
        <v>3716</v>
      </c>
      <c r="F68" s="2">
        <f>'Income Statement'!F2</f>
        <v>5077</v>
      </c>
      <c r="G68" s="2">
        <f>'Income Statement'!G2</f>
        <v>5229</v>
      </c>
      <c r="H68" s="2">
        <f>G68*(1+H69)</f>
        <v>4100.0000000000009</v>
      </c>
      <c r="I68" s="2">
        <f>H68*(1+I69)</f>
        <v>4100.0000000000009</v>
      </c>
      <c r="J68" s="2">
        <f t="shared" ref="J68:L68" si="10">I68*(1+J69)</f>
        <v>4373.3333333333339</v>
      </c>
      <c r="K68" s="2">
        <f t="shared" si="10"/>
        <v>4956.4444444444453</v>
      </c>
      <c r="L68" s="2">
        <f t="shared" si="10"/>
        <v>5947.7333333333345</v>
      </c>
    </row>
    <row r="69" spans="1:12" s="33" customFormat="1" x14ac:dyDescent="0.2">
      <c r="A69" s="12" t="s">
        <v>175</v>
      </c>
      <c r="B69" s="33" t="s">
        <v>184</v>
      </c>
      <c r="C69" s="33">
        <f>C68/B68-1</f>
        <v>0.24519033974621363</v>
      </c>
      <c r="D69" s="33">
        <f t="shared" ref="D69:F69" si="11">D68/C68-1</f>
        <v>0.13708086785009854</v>
      </c>
      <c r="E69" s="33">
        <f t="shared" si="11"/>
        <v>7.4298930326684109E-2</v>
      </c>
      <c r="F69" s="33">
        <f t="shared" si="11"/>
        <v>0.36625403659849298</v>
      </c>
      <c r="H69" s="45">
        <v>-0.21591126410403499</v>
      </c>
      <c r="I69" s="45">
        <v>0</v>
      </c>
      <c r="J69" s="45">
        <f>0.2/3+I69</f>
        <v>6.6666666666666666E-2</v>
      </c>
      <c r="K69" s="45">
        <f>0.2/3+J69</f>
        <v>0.13333333333333333</v>
      </c>
      <c r="L69" s="45">
        <v>0.2</v>
      </c>
    </row>
    <row r="71" spans="1:12" s="2" customFormat="1" x14ac:dyDescent="0.2">
      <c r="A71" s="13" t="s">
        <v>176</v>
      </c>
      <c r="B71" s="2">
        <f>-'Income Statement'!B5</f>
        <v>-861</v>
      </c>
      <c r="C71" s="2">
        <f>-'Income Statement'!C5</f>
        <v>-965</v>
      </c>
      <c r="D71" s="2">
        <f>-'Income Statement'!D5</f>
        <v>-1137</v>
      </c>
      <c r="E71" s="2">
        <f>-'Income Statement'!E5</f>
        <v>-1366</v>
      </c>
      <c r="F71" s="2">
        <f>-'Income Statement'!F5</f>
        <v>-1798</v>
      </c>
      <c r="G71" s="2">
        <f>-'Income Statement'!G5</f>
        <v>-2048</v>
      </c>
      <c r="H71" s="2">
        <f>-H72*H$68</f>
        <v>-1681.0000000000002</v>
      </c>
      <c r="I71" s="2">
        <f t="shared" ref="I71:L71" si="12">-I72*I$68</f>
        <v>-1660.5000000000002</v>
      </c>
      <c r="J71" s="2">
        <f t="shared" si="12"/>
        <v>-1749.3333333333335</v>
      </c>
      <c r="K71" s="2">
        <f t="shared" si="12"/>
        <v>-1957.7955555555557</v>
      </c>
      <c r="L71" s="2">
        <f t="shared" si="12"/>
        <v>-2319.616</v>
      </c>
    </row>
    <row r="72" spans="1:12" s="33" customFormat="1" x14ac:dyDescent="0.2">
      <c r="A72" s="12" t="s">
        <v>177</v>
      </c>
      <c r="B72" s="33">
        <f>-B71/B68</f>
        <v>0.3524355300859599</v>
      </c>
      <c r="C72" s="33">
        <f t="shared" ref="C72:G72" si="13">-C71/C68</f>
        <v>0.31722550953320183</v>
      </c>
      <c r="D72" s="33">
        <f t="shared" si="13"/>
        <v>0.32870771899392887</v>
      </c>
      <c r="E72" s="33">
        <f t="shared" si="13"/>
        <v>0.36759956942949407</v>
      </c>
      <c r="F72" s="33">
        <f t="shared" si="13"/>
        <v>0.35414614930076815</v>
      </c>
      <c r="G72" s="33">
        <f t="shared" si="13"/>
        <v>0.39166188563778925</v>
      </c>
      <c r="H72" s="33">
        <v>0.41</v>
      </c>
      <c r="I72" s="33">
        <f>H72-0.02/4</f>
        <v>0.40499999999999997</v>
      </c>
      <c r="J72" s="33">
        <f t="shared" ref="J72:L72" si="14">I72-0.02/4</f>
        <v>0.39999999999999997</v>
      </c>
      <c r="K72" s="33">
        <f t="shared" si="14"/>
        <v>0.39499999999999996</v>
      </c>
      <c r="L72" s="33">
        <f t="shared" si="14"/>
        <v>0.38999999999999996</v>
      </c>
    </row>
    <row r="73" spans="1:12" x14ac:dyDescent="0.2">
      <c r="A73" s="12"/>
      <c r="C73" s="33"/>
      <c r="D73" s="33"/>
      <c r="E73" s="33"/>
      <c r="F73" s="33"/>
      <c r="G73" s="33"/>
    </row>
    <row r="74" spans="1:12" s="2" customFormat="1" x14ac:dyDescent="0.2">
      <c r="A74" s="13" t="s">
        <v>37</v>
      </c>
      <c r="B74" s="2">
        <f>SUM(B68,B71)</f>
        <v>1582</v>
      </c>
      <c r="C74" s="2">
        <f t="shared" ref="C74:L74" si="15">SUM(C68,C71)</f>
        <v>2077</v>
      </c>
      <c r="D74" s="2">
        <f t="shared" si="15"/>
        <v>2322</v>
      </c>
      <c r="E74" s="2">
        <f t="shared" si="15"/>
        <v>2350</v>
      </c>
      <c r="F74" s="2">
        <f t="shared" si="15"/>
        <v>3279</v>
      </c>
      <c r="G74" s="2">
        <f t="shared" si="15"/>
        <v>3181</v>
      </c>
      <c r="H74" s="2">
        <f t="shared" si="15"/>
        <v>2419.0000000000009</v>
      </c>
      <c r="I74" s="2">
        <f t="shared" si="15"/>
        <v>2439.5000000000009</v>
      </c>
      <c r="J74" s="2">
        <f t="shared" si="15"/>
        <v>2624.0000000000005</v>
      </c>
      <c r="K74" s="2">
        <f t="shared" si="15"/>
        <v>2998.6488888888898</v>
      </c>
      <c r="L74" s="2">
        <f t="shared" si="15"/>
        <v>3628.1173333333345</v>
      </c>
    </row>
    <row r="75" spans="1:12" s="33" customFormat="1" x14ac:dyDescent="0.2">
      <c r="A75" s="12" t="s">
        <v>183</v>
      </c>
      <c r="B75" s="33">
        <f>B74/B68</f>
        <v>0.64756446991404015</v>
      </c>
      <c r="C75" s="33">
        <f t="shared" ref="C75:G75" si="16">C74/C68</f>
        <v>0.68277449046679817</v>
      </c>
      <c r="D75" s="33">
        <f t="shared" si="16"/>
        <v>0.67129228100607108</v>
      </c>
      <c r="E75" s="33">
        <f t="shared" si="16"/>
        <v>0.63240043057050588</v>
      </c>
      <c r="F75" s="33">
        <f t="shared" si="16"/>
        <v>0.64585385069923185</v>
      </c>
      <c r="G75" s="33">
        <f t="shared" si="16"/>
        <v>0.60833811436221075</v>
      </c>
      <c r="H75" s="33">
        <f t="shared" ref="H75" si="17">H74/H68</f>
        <v>0.59000000000000008</v>
      </c>
      <c r="I75" s="33">
        <f t="shared" ref="I75" si="18">I74/I68</f>
        <v>0.59500000000000008</v>
      </c>
      <c r="J75" s="33">
        <f t="shared" ref="J75" si="19">J74/J68</f>
        <v>0.6</v>
      </c>
      <c r="K75" s="33">
        <f t="shared" ref="K75" si="20">K74/K68</f>
        <v>0.60500000000000009</v>
      </c>
      <c r="L75" s="33">
        <f t="shared" ref="L75" si="21">L74/L68</f>
        <v>0.6100000000000001</v>
      </c>
    </row>
    <row r="77" spans="1:12" s="2" customFormat="1" hidden="1" outlineLevel="1" x14ac:dyDescent="0.2">
      <c r="A77" s="44" t="s">
        <v>188</v>
      </c>
      <c r="B77" s="2">
        <f>-'Income Statement'!B8</f>
        <v>-1001.5</v>
      </c>
      <c r="C77" s="2">
        <f>-'Income Statement'!C8</f>
        <v>-1070.5</v>
      </c>
      <c r="D77" s="2">
        <f>-'Income Statement'!D8</f>
        <v>-1273</v>
      </c>
      <c r="E77" s="2">
        <f>-'Income Statement'!E8</f>
        <v>-1450</v>
      </c>
      <c r="F77" s="2">
        <f>-'Income Statement'!F8</f>
        <v>-1760.5</v>
      </c>
      <c r="G77" s="2">
        <f>-'Income Statement'!G8</f>
        <v>-1939</v>
      </c>
    </row>
    <row r="78" spans="1:12" s="2" customFormat="1" hidden="1" outlineLevel="1" x14ac:dyDescent="0.2">
      <c r="A78" s="44" t="s">
        <v>185</v>
      </c>
      <c r="B78" s="2">
        <f>'Cash flow'!B7</f>
        <v>252.85</v>
      </c>
      <c r="C78" s="2">
        <f>'Cash flow'!C7</f>
        <v>295</v>
      </c>
      <c r="D78" s="2">
        <f>'Cash flow'!D7</f>
        <v>333</v>
      </c>
      <c r="E78" s="2">
        <f>'Cash flow'!E7</f>
        <v>362</v>
      </c>
      <c r="F78" s="2">
        <f>'Cash flow'!F7</f>
        <v>383</v>
      </c>
      <c r="G78" s="2">
        <f>'Cash flow'!G7</f>
        <v>452</v>
      </c>
    </row>
    <row r="79" spans="1:12" s="2" customFormat="1" collapsed="1" x14ac:dyDescent="0.2">
      <c r="A79" s="13" t="s">
        <v>187</v>
      </c>
      <c r="B79" s="2">
        <f t="shared" ref="B79:G79" si="22">SUM(B77:B78)</f>
        <v>-748.65</v>
      </c>
      <c r="C79" s="2">
        <f t="shared" si="22"/>
        <v>-775.5</v>
      </c>
      <c r="D79" s="2">
        <f t="shared" si="22"/>
        <v>-940</v>
      </c>
      <c r="E79" s="2">
        <f t="shared" si="22"/>
        <v>-1088</v>
      </c>
      <c r="F79" s="2">
        <f t="shared" si="22"/>
        <v>-1377.5</v>
      </c>
      <c r="G79" s="2">
        <f t="shared" si="22"/>
        <v>-1487</v>
      </c>
      <c r="H79" s="2">
        <f>-H80*H$68</f>
        <v>-1025.0000000000002</v>
      </c>
      <c r="I79" s="2">
        <f t="shared" ref="I79:L79" si="23">-I80*I$68</f>
        <v>-1004.5000000000002</v>
      </c>
      <c r="J79" s="2">
        <f t="shared" si="23"/>
        <v>-1049.6000000000001</v>
      </c>
      <c r="K79" s="2">
        <f t="shared" si="23"/>
        <v>-1164.7644444444445</v>
      </c>
      <c r="L79" s="2">
        <f t="shared" si="23"/>
        <v>-1367.9786666666669</v>
      </c>
    </row>
    <row r="80" spans="1:12" s="33" customFormat="1" x14ac:dyDescent="0.2">
      <c r="A80" s="12" t="s">
        <v>180</v>
      </c>
      <c r="B80" s="33">
        <f>-B79/B68</f>
        <v>0.30644699140401144</v>
      </c>
      <c r="C80" s="33">
        <f t="shared" ref="C80:G80" si="24">-C79/C68</f>
        <v>0.25493096646942803</v>
      </c>
      <c r="D80" s="33">
        <f t="shared" si="24"/>
        <v>0.27175484244001158</v>
      </c>
      <c r="E80" s="33">
        <f t="shared" si="24"/>
        <v>0.29278794402583425</v>
      </c>
      <c r="F80" s="33">
        <f t="shared" si="24"/>
        <v>0.27132164664171754</v>
      </c>
      <c r="G80" s="33">
        <f t="shared" si="24"/>
        <v>0.2843755976286097</v>
      </c>
      <c r="H80" s="33">
        <v>0.25</v>
      </c>
      <c r="I80" s="33">
        <f>H80-0.02/4</f>
        <v>0.245</v>
      </c>
      <c r="J80" s="33">
        <f t="shared" ref="J80:L80" si="25">I80-0.02/4</f>
        <v>0.24</v>
      </c>
      <c r="K80" s="33">
        <f t="shared" si="25"/>
        <v>0.23499999999999999</v>
      </c>
      <c r="L80" s="33">
        <f t="shared" si="25"/>
        <v>0.22999999999999998</v>
      </c>
    </row>
    <row r="81" spans="1:23" s="33" customFormat="1" x14ac:dyDescent="0.2">
      <c r="A81" s="12" t="s">
        <v>224</v>
      </c>
      <c r="C81" s="33">
        <f>C79/B79-1</f>
        <v>3.5864556201162134E-2</v>
      </c>
      <c r="D81" s="33">
        <f t="shared" ref="D81:F81" si="26">D79/C79-1</f>
        <v>0.21212121212121215</v>
      </c>
      <c r="E81" s="33">
        <f t="shared" si="26"/>
        <v>0.15744680851063819</v>
      </c>
      <c r="F81" s="33">
        <f t="shared" si="26"/>
        <v>0.26608455882352944</v>
      </c>
    </row>
    <row r="82" spans="1:23" x14ac:dyDescent="0.2">
      <c r="A82" s="12"/>
      <c r="B82" s="33"/>
      <c r="C82" s="33"/>
      <c r="D82" s="33"/>
      <c r="E82" s="33"/>
      <c r="F82" s="33"/>
      <c r="G82" s="33"/>
    </row>
    <row r="83" spans="1:23" s="2" customFormat="1" hidden="1" outlineLevel="1" x14ac:dyDescent="0.2">
      <c r="A83" s="13" t="s">
        <v>190</v>
      </c>
      <c r="B83" s="2">
        <f>-'Income Statement'!B11</f>
        <v>-542.01</v>
      </c>
      <c r="C83" s="2">
        <f>-'Income Statement'!C11</f>
        <v>-553.86</v>
      </c>
      <c r="D83" s="2">
        <f>-'Income Statement'!D11</f>
        <v>-682.28</v>
      </c>
      <c r="E83" s="2">
        <f>-'Income Statement'!E11</f>
        <v>-873.01</v>
      </c>
      <c r="F83" s="2">
        <f>-'Income Statement'!F11</f>
        <v>-1247</v>
      </c>
      <c r="G83" s="2">
        <f>-'Income Statement'!G11</f>
        <v>-1523</v>
      </c>
    </row>
    <row r="84" spans="1:23" s="2" customFormat="1" hidden="1" outlineLevel="1" x14ac:dyDescent="0.2">
      <c r="A84" s="13" t="s">
        <v>191</v>
      </c>
      <c r="B84" s="2">
        <f>'Cash flow'!B9</f>
        <v>46.5</v>
      </c>
      <c r="C84" s="2">
        <f>'Cash flow'!C9</f>
        <v>19</v>
      </c>
      <c r="D84" s="2">
        <f>'Cash flow'!D9</f>
        <v>16.5</v>
      </c>
      <c r="E84" s="2">
        <f>'Cash flow'!E9</f>
        <v>23.6</v>
      </c>
      <c r="F84" s="2">
        <f>'Cash flow'!F9</f>
        <v>41.5</v>
      </c>
      <c r="G84" s="2">
        <f>'Cash flow'!G9</f>
        <v>39.85</v>
      </c>
    </row>
    <row r="85" spans="1:23" s="2" customFormat="1" collapsed="1" x14ac:dyDescent="0.2">
      <c r="A85" s="13" t="s">
        <v>192</v>
      </c>
      <c r="B85" s="2">
        <f>SUM(B83:B84)</f>
        <v>-495.51</v>
      </c>
      <c r="C85" s="2">
        <f t="shared" ref="C85:G85" si="27">SUM(C83:C84)</f>
        <v>-534.86</v>
      </c>
      <c r="D85" s="2">
        <f t="shared" si="27"/>
        <v>-665.78</v>
      </c>
      <c r="E85" s="2">
        <f t="shared" si="27"/>
        <v>-849.41</v>
      </c>
      <c r="F85" s="2">
        <f t="shared" si="27"/>
        <v>-1205.5</v>
      </c>
      <c r="G85" s="2">
        <f t="shared" si="27"/>
        <v>-1483.15</v>
      </c>
      <c r="H85" s="2">
        <f>-H86*H$68</f>
        <v>-1025.0000000000002</v>
      </c>
      <c r="I85" s="2">
        <f t="shared" ref="I85:L85" si="28">-I86*I$68</f>
        <v>-1004.5000000000002</v>
      </c>
      <c r="J85" s="2">
        <f t="shared" si="28"/>
        <v>-1049.6000000000001</v>
      </c>
      <c r="K85" s="2">
        <f t="shared" si="28"/>
        <v>-1164.7644444444445</v>
      </c>
      <c r="L85" s="2">
        <f t="shared" si="28"/>
        <v>-1367.9786666666669</v>
      </c>
    </row>
    <row r="86" spans="1:23" s="32" customFormat="1" x14ac:dyDescent="0.2">
      <c r="A86" s="12" t="s">
        <v>181</v>
      </c>
      <c r="B86" s="33">
        <f>-B85/B68</f>
        <v>0.20282848956201391</v>
      </c>
      <c r="C86" s="33">
        <f>-C85/C68</f>
        <v>0.1758251150558843</v>
      </c>
      <c r="D86" s="33">
        <f t="shared" ref="D86:G86" si="29">-D85/D68</f>
        <v>0.19247759468054351</v>
      </c>
      <c r="E86" s="33">
        <f t="shared" si="29"/>
        <v>0.22858180839612485</v>
      </c>
      <c r="F86" s="33">
        <f t="shared" si="29"/>
        <v>0.23744337207012015</v>
      </c>
      <c r="G86" s="33">
        <f t="shared" si="29"/>
        <v>0.28363931918148788</v>
      </c>
      <c r="H86" s="33">
        <v>0.25</v>
      </c>
      <c r="I86" s="33">
        <f>H86-0.02/4</f>
        <v>0.245</v>
      </c>
      <c r="J86" s="33">
        <f t="shared" ref="J86:L86" si="30">I86-0.02/4</f>
        <v>0.24</v>
      </c>
      <c r="K86" s="33">
        <f t="shared" si="30"/>
        <v>0.23499999999999999</v>
      </c>
      <c r="L86" s="33">
        <f t="shared" si="30"/>
        <v>0.22999999999999998</v>
      </c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</row>
    <row r="87" spans="1:23" x14ac:dyDescent="0.2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s="2" customFormat="1" x14ac:dyDescent="0.2">
      <c r="A88" s="11" t="s">
        <v>80</v>
      </c>
      <c r="B88" s="2">
        <f t="shared" ref="B88:H88" si="31">SUM(B74,B79,B85)</f>
        <v>337.84000000000003</v>
      </c>
      <c r="C88" s="2">
        <f t="shared" si="31"/>
        <v>766.64</v>
      </c>
      <c r="D88" s="2">
        <f t="shared" si="31"/>
        <v>716.22</v>
      </c>
      <c r="E88" s="2">
        <f t="shared" si="31"/>
        <v>412.59000000000003</v>
      </c>
      <c r="F88" s="2">
        <f t="shared" si="31"/>
        <v>696</v>
      </c>
      <c r="G88" s="2">
        <f t="shared" si="31"/>
        <v>210.84999999999991</v>
      </c>
      <c r="H88" s="2">
        <f t="shared" si="31"/>
        <v>369.00000000000045</v>
      </c>
      <c r="I88" s="2">
        <f t="shared" ref="I88:L88" si="32">SUM(I74,I79,I85)</f>
        <v>430.50000000000045</v>
      </c>
      <c r="J88" s="2">
        <f t="shared" si="32"/>
        <v>524.80000000000018</v>
      </c>
      <c r="K88" s="2">
        <f t="shared" si="32"/>
        <v>669.1200000000008</v>
      </c>
      <c r="L88" s="2">
        <f t="shared" si="32"/>
        <v>892.16000000000076</v>
      </c>
    </row>
    <row r="89" spans="1:23" x14ac:dyDescent="0.2">
      <c r="A89" s="13" t="s">
        <v>182</v>
      </c>
      <c r="B89" s="33">
        <f t="shared" ref="B89:H89" si="33">B88/B$68</f>
        <v>0.13828898894801475</v>
      </c>
      <c r="C89" s="33">
        <f t="shared" si="33"/>
        <v>0.25201840894148586</v>
      </c>
      <c r="D89" s="33">
        <f t="shared" si="33"/>
        <v>0.20705984388551604</v>
      </c>
      <c r="E89" s="33">
        <f t="shared" si="33"/>
        <v>0.11103067814854684</v>
      </c>
      <c r="F89" s="33">
        <f t="shared" si="33"/>
        <v>0.13708883198739413</v>
      </c>
      <c r="G89" s="33">
        <f t="shared" si="33"/>
        <v>4.0323197552113201E-2</v>
      </c>
      <c r="H89" s="33">
        <f t="shared" si="33"/>
        <v>9.0000000000000094E-2</v>
      </c>
      <c r="I89" s="33">
        <f t="shared" ref="I89:L89" si="34">I88/I$68</f>
        <v>0.10500000000000009</v>
      </c>
      <c r="J89" s="33">
        <f t="shared" si="34"/>
        <v>0.12000000000000002</v>
      </c>
      <c r="K89" s="33">
        <f t="shared" si="34"/>
        <v>0.13500000000000015</v>
      </c>
      <c r="L89" s="33">
        <f t="shared" si="34"/>
        <v>0.15000000000000011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6" thickBot="1" x14ac:dyDescent="0.25">
      <c r="A91" s="36" t="s">
        <v>30</v>
      </c>
      <c r="B91" s="2">
        <f>-SUM(B78,B84)</f>
        <v>-299.35000000000002</v>
      </c>
      <c r="C91" s="2">
        <f t="shared" ref="C91:G91" si="35">-SUM(C78,C84)</f>
        <v>-314</v>
      </c>
      <c r="D91" s="2">
        <f>-SUM(D78,D84)</f>
        <v>-349.5</v>
      </c>
      <c r="E91" s="2">
        <f>-SUM(E78,E84)</f>
        <v>-385.6</v>
      </c>
      <c r="F91" s="2">
        <f t="shared" si="35"/>
        <v>-424.5</v>
      </c>
      <c r="G91" s="2">
        <f t="shared" si="35"/>
        <v>-491.85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6" thickBot="1" x14ac:dyDescent="0.25">
      <c r="A92" s="36" t="s">
        <v>193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s="5" customFormat="1" x14ac:dyDescent="0.2">
      <c r="A93" s="37" t="s">
        <v>194</v>
      </c>
      <c r="B93" s="38">
        <f t="shared" ref="B93:G93" si="36">SUM(B91:B92)</f>
        <v>-299.35000000000002</v>
      </c>
      <c r="C93" s="38">
        <f t="shared" si="36"/>
        <v>-314</v>
      </c>
      <c r="D93" s="38">
        <f t="shared" si="36"/>
        <v>-349.5</v>
      </c>
      <c r="E93" s="38">
        <f t="shared" si="36"/>
        <v>-385.6</v>
      </c>
      <c r="F93" s="38">
        <f t="shared" si="36"/>
        <v>-424.5</v>
      </c>
      <c r="G93" s="38">
        <f t="shared" si="36"/>
        <v>-491.85</v>
      </c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11" t="s">
        <v>79</v>
      </c>
      <c r="B95" s="2">
        <f t="shared" ref="B95:L95" si="37">SUM(B88,B93)</f>
        <v>38.490000000000009</v>
      </c>
      <c r="C95" s="2">
        <f t="shared" si="37"/>
        <v>452.64</v>
      </c>
      <c r="D95" s="2">
        <f t="shared" si="37"/>
        <v>366.72</v>
      </c>
      <c r="E95" s="2">
        <f t="shared" si="37"/>
        <v>26.990000000000009</v>
      </c>
      <c r="F95" s="2">
        <f t="shared" si="37"/>
        <v>271.5</v>
      </c>
      <c r="G95" s="2">
        <f t="shared" si="37"/>
        <v>-281.00000000000011</v>
      </c>
      <c r="H95" s="2">
        <f t="shared" si="37"/>
        <v>369.00000000000045</v>
      </c>
      <c r="I95" s="2">
        <f t="shared" si="37"/>
        <v>430.50000000000045</v>
      </c>
      <c r="J95" s="2">
        <f t="shared" si="37"/>
        <v>524.80000000000018</v>
      </c>
      <c r="K95" s="2">
        <f t="shared" si="37"/>
        <v>669.1200000000008</v>
      </c>
      <c r="L95" s="2">
        <f t="shared" si="37"/>
        <v>892.16000000000076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13" t="s">
        <v>78</v>
      </c>
      <c r="B97" s="2">
        <f>-'Income Statement'!B21</f>
        <v>-105.24</v>
      </c>
      <c r="C97" s="2">
        <f>-'Income Statement'!C21</f>
        <v>-132.61000000000001</v>
      </c>
      <c r="D97" s="2">
        <f>-'Income Statement'!D21</f>
        <v>-138.18</v>
      </c>
      <c r="E97" s="2">
        <f>-'Income Statement'!E21</f>
        <v>-152.88</v>
      </c>
      <c r="F97" s="2">
        <f>-'Income Statement'!F21</f>
        <v>-51.19</v>
      </c>
      <c r="G97" s="2">
        <f>-'Income Statement'!G21</f>
        <v>-62.89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13" t="s">
        <v>227</v>
      </c>
      <c r="B98" s="2">
        <f>'Income Statement'!B20</f>
        <v>44.38</v>
      </c>
      <c r="C98" s="2">
        <f>'Income Statement'!C20</f>
        <v>111.22</v>
      </c>
      <c r="D98" s="2">
        <f>'Income Statement'!D20</f>
        <v>157.69999999999999</v>
      </c>
      <c r="E98" s="2">
        <f>'Income Statement'!E20</f>
        <v>88.18</v>
      </c>
      <c r="F98" s="2">
        <f>'Income Statement'!F20</f>
        <v>35.68</v>
      </c>
      <c r="G98" s="2">
        <f>'Income Statement'!G20</f>
        <v>37.04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13" t="s">
        <v>199</v>
      </c>
      <c r="B99" s="2">
        <f>'Income Statement'!B19</f>
        <v>-60.85</v>
      </c>
      <c r="C99" s="2">
        <f>'Income Statement'!C19</f>
        <v>-21.39</v>
      </c>
      <c r="D99" s="2">
        <f>'Income Statement'!D19</f>
        <v>19.52</v>
      </c>
      <c r="E99" s="2">
        <f>'Income Statement'!E19</f>
        <v>-64.7</v>
      </c>
      <c r="F99" s="2">
        <f>'Income Statement'!F19</f>
        <v>-15.5</v>
      </c>
      <c r="G99" s="2">
        <f>'Income Statement'!G19</f>
        <v>-25.86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36" t="s">
        <v>195</v>
      </c>
      <c r="B101" s="2">
        <f>'Income Statement'!B23</f>
        <v>8.3000000000000007</v>
      </c>
      <c r="C101" s="2">
        <f>'Income Statement'!C23</f>
        <v>-11.6</v>
      </c>
      <c r="D101" s="2">
        <f>'Income Statement'!D23</f>
        <v>-7.2</v>
      </c>
      <c r="E101" s="2">
        <f>'Income Statement'!E23</f>
        <v>-8.1</v>
      </c>
      <c r="F101" s="2">
        <f>'Income Statement'!F23</f>
        <v>4</v>
      </c>
      <c r="G101" s="2">
        <f>'Income Statement'!G23</f>
        <v>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36" t="s">
        <v>206</v>
      </c>
      <c r="B102" s="2">
        <f>'Income Statement'!B24</f>
        <v>-19.2</v>
      </c>
      <c r="C102" s="2">
        <f>'Income Statement'!C24</f>
        <v>6.2</v>
      </c>
      <c r="D102" s="2">
        <f>'Income Statement'!D24</f>
        <v>2.8</v>
      </c>
      <c r="E102" s="2">
        <f>'Income Statement'!E24</f>
        <v>4</v>
      </c>
      <c r="F102" s="2">
        <f>'Income Statement'!F24</f>
        <v>-8.5</v>
      </c>
      <c r="G102" s="2">
        <f>'Income Statement'!G24</f>
        <v>-27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idden="1" outlineLevel="1" x14ac:dyDescent="0.2">
      <c r="A103" s="3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idden="1" outlineLevel="1" x14ac:dyDescent="0.2">
      <c r="A104" s="39" t="s">
        <v>200</v>
      </c>
      <c r="B104" s="2">
        <f>'Income Statement'!B25</f>
        <v>0</v>
      </c>
      <c r="C104" s="2">
        <f>'Income Statement'!C25</f>
        <v>0</v>
      </c>
      <c r="D104" s="2">
        <f>'Income Statement'!D25</f>
        <v>0</v>
      </c>
      <c r="E104" s="2">
        <f>'Income Statement'!E25</f>
        <v>0</v>
      </c>
      <c r="F104" s="2">
        <f>'Income Statement'!F25</f>
        <v>0</v>
      </c>
      <c r="G104" s="2">
        <f>'Income Statement'!G25</f>
        <v>0</v>
      </c>
      <c r="H104" s="2">
        <f>'Income Statement'!H25</f>
        <v>0</v>
      </c>
      <c r="I104" s="2">
        <f>'Income Statement'!I25</f>
        <v>0</v>
      </c>
      <c r="J104" s="2">
        <f>'Income Statement'!J25</f>
        <v>0</v>
      </c>
      <c r="K104" s="2">
        <f>'Income Statement'!K25</f>
        <v>0</v>
      </c>
      <c r="L104" s="2">
        <f>'Income Statement'!L25</f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idden="1" outlineLevel="1" x14ac:dyDescent="0.2">
      <c r="A105" s="39" t="s">
        <v>201</v>
      </c>
      <c r="B105" s="2">
        <f>'Income Statement'!B26</f>
        <v>-62.4</v>
      </c>
      <c r="C105" s="2">
        <f>'Income Statement'!C26</f>
        <v>-3</v>
      </c>
      <c r="D105" s="2">
        <f>'Income Statement'!D26</f>
        <v>8.6999999999999993</v>
      </c>
      <c r="E105" s="2">
        <f>'Income Statement'!E26</f>
        <v>-8.8000000000000007</v>
      </c>
      <c r="F105" s="2">
        <f>'Income Statement'!F26</f>
        <v>101.6</v>
      </c>
      <c r="G105" s="2">
        <f>'Income Statement'!G26</f>
        <v>72.3</v>
      </c>
      <c r="H105" s="2">
        <f>'Income Statement'!H26</f>
        <v>0</v>
      </c>
      <c r="I105" s="2">
        <f>'Income Statement'!I26</f>
        <v>0</v>
      </c>
      <c r="J105" s="2">
        <f>'Income Statement'!J26</f>
        <v>0</v>
      </c>
      <c r="K105" s="2">
        <f>'Income Statement'!K26</f>
        <v>0</v>
      </c>
      <c r="L105" s="2">
        <f>'Income Statement'!L26</f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idden="1" outlineLevel="1" x14ac:dyDescent="0.2">
      <c r="A106" s="39" t="s">
        <v>202</v>
      </c>
      <c r="B106" s="2">
        <f>'Income Statement'!B27</f>
        <v>0</v>
      </c>
      <c r="C106" s="2">
        <f>'Income Statement'!C27</f>
        <v>0</v>
      </c>
      <c r="D106" s="2">
        <f>'Income Statement'!D27</f>
        <v>0</v>
      </c>
      <c r="E106" s="2">
        <f>'Income Statement'!E27</f>
        <v>0</v>
      </c>
      <c r="F106" s="2">
        <f>'Income Statement'!F27</f>
        <v>0</v>
      </c>
      <c r="G106" s="2">
        <f>'Income Statement'!G27</f>
        <v>970</v>
      </c>
      <c r="H106" s="2">
        <f>'Income Statement'!H27</f>
        <v>0</v>
      </c>
      <c r="I106" s="2">
        <f>'Income Statement'!I27</f>
        <v>0</v>
      </c>
      <c r="J106" s="2">
        <f>'Income Statement'!J27</f>
        <v>0</v>
      </c>
      <c r="K106" s="2">
        <f>'Income Statement'!K27</f>
        <v>0</v>
      </c>
      <c r="L106" s="2">
        <f>'Income Statement'!L27</f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idden="1" outlineLevel="1" x14ac:dyDescent="0.2">
      <c r="A107" s="39" t="s">
        <v>205</v>
      </c>
      <c r="B107" s="2">
        <f>'Income Statement'!B28</f>
        <v>0</v>
      </c>
      <c r="C107" s="2">
        <f>'Income Statement'!C28</f>
        <v>0</v>
      </c>
      <c r="D107" s="2">
        <f>'Income Statement'!D28</f>
        <v>0</v>
      </c>
      <c r="E107" s="2">
        <f>'Income Statement'!E28</f>
        <v>0</v>
      </c>
      <c r="F107" s="2">
        <f>'Income Statement'!F28</f>
        <v>0</v>
      </c>
      <c r="G107" s="2" t="str">
        <f>'Income Statement'!G28</f>
        <v>-</v>
      </c>
      <c r="H107" s="2">
        <f>'Income Statement'!H28</f>
        <v>0</v>
      </c>
      <c r="I107" s="2">
        <f>'Income Statement'!I28</f>
        <v>0</v>
      </c>
      <c r="J107" s="2">
        <f>'Income Statement'!J28</f>
        <v>0</v>
      </c>
      <c r="K107" s="2">
        <f>'Income Statement'!K28</f>
        <v>0</v>
      </c>
      <c r="L107" s="2">
        <f>'Income Statement'!L28</f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idden="1" outlineLevel="1" x14ac:dyDescent="0.2">
      <c r="A108" s="39" t="s">
        <v>203</v>
      </c>
      <c r="B108" s="2">
        <f>'Income Statement'!B29</f>
        <v>0</v>
      </c>
      <c r="C108" s="2">
        <f>'Income Statement'!C29</f>
        <v>0</v>
      </c>
      <c r="D108" s="2">
        <f>'Income Statement'!D29</f>
        <v>0</v>
      </c>
      <c r="E108" s="2">
        <f>'Income Statement'!E29</f>
        <v>0</v>
      </c>
      <c r="F108" s="2">
        <f>'Income Statement'!F29</f>
        <v>-765.7</v>
      </c>
      <c r="G108" s="2">
        <f>'Income Statement'!G29</f>
        <v>-765.7</v>
      </c>
      <c r="H108" s="2">
        <f>'Income Statement'!H29</f>
        <v>0</v>
      </c>
      <c r="I108" s="2">
        <f>'Income Statement'!I29</f>
        <v>0</v>
      </c>
      <c r="J108" s="2">
        <f>'Income Statement'!J29</f>
        <v>0</v>
      </c>
      <c r="K108" s="2">
        <f>'Income Statement'!K29</f>
        <v>0</v>
      </c>
      <c r="L108" s="2">
        <f>'Income Statement'!L29</f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s="41" customFormat="1" ht="16" collapsed="1" thickBot="1" x14ac:dyDescent="0.25">
      <c r="A109" s="42" t="s">
        <v>204</v>
      </c>
      <c r="B109" s="40">
        <f>SUM(B104:B108)</f>
        <v>-62.4</v>
      </c>
      <c r="C109" s="40">
        <f t="shared" ref="C109:G109" si="38">SUM(C104:C108)</f>
        <v>-3</v>
      </c>
      <c r="D109" s="40">
        <f t="shared" si="38"/>
        <v>8.6999999999999993</v>
      </c>
      <c r="E109" s="40">
        <f t="shared" si="38"/>
        <v>-8.8000000000000007</v>
      </c>
      <c r="F109" s="40">
        <f t="shared" si="38"/>
        <v>-664.1</v>
      </c>
      <c r="G109" s="40">
        <f t="shared" si="38"/>
        <v>276.59999999999991</v>
      </c>
      <c r="H109" s="40">
        <f t="shared" ref="H109:L109" si="39">SUM(H104:H108)</f>
        <v>0</v>
      </c>
      <c r="I109" s="40">
        <f t="shared" si="39"/>
        <v>0</v>
      </c>
      <c r="J109" s="40">
        <f t="shared" si="39"/>
        <v>0</v>
      </c>
      <c r="K109" s="40">
        <f t="shared" si="39"/>
        <v>0</v>
      </c>
      <c r="L109" s="40">
        <f t="shared" si="39"/>
        <v>0</v>
      </c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</row>
    <row r="110" spans="1:23" x14ac:dyDescent="0.2">
      <c r="A110" s="13" t="s">
        <v>196</v>
      </c>
      <c r="B110" s="2">
        <f t="shared" ref="B110:L110" si="40">SUM(B95,B99,B101:B102,B109)</f>
        <v>-95.66</v>
      </c>
      <c r="C110" s="2">
        <f t="shared" si="40"/>
        <v>422.84999999999997</v>
      </c>
      <c r="D110" s="2">
        <f t="shared" si="40"/>
        <v>390.54</v>
      </c>
      <c r="E110" s="2">
        <f t="shared" si="40"/>
        <v>-50.61</v>
      </c>
      <c r="F110" s="2">
        <f t="shared" si="40"/>
        <v>-412.6</v>
      </c>
      <c r="G110" s="2">
        <f t="shared" si="40"/>
        <v>-50.260000000000218</v>
      </c>
      <c r="H110" s="2">
        <f t="shared" si="40"/>
        <v>369.00000000000045</v>
      </c>
      <c r="I110" s="2">
        <f t="shared" si="40"/>
        <v>430.50000000000045</v>
      </c>
      <c r="J110" s="2">
        <f t="shared" si="40"/>
        <v>524.80000000000018</v>
      </c>
      <c r="K110" s="2">
        <f t="shared" si="40"/>
        <v>669.1200000000008</v>
      </c>
      <c r="L110" s="2">
        <f t="shared" si="40"/>
        <v>892.16000000000076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" thickBot="1" x14ac:dyDescent="0.25">
      <c r="A111" s="46" t="s">
        <v>207</v>
      </c>
      <c r="B111" s="2">
        <f>-'Income Statement'!B31</f>
        <v>-12.64</v>
      </c>
      <c r="C111" s="2">
        <f>-'Income Statement'!C31</f>
        <v>782.05</v>
      </c>
      <c r="D111" s="2">
        <f>-'Income Statement'!D31</f>
        <v>1075.5</v>
      </c>
      <c r="E111" s="2">
        <f>-'Income Statement'!E31</f>
        <v>-1084.7</v>
      </c>
      <c r="F111" s="2">
        <f>-'Income Statement'!F31</f>
        <v>-189.7</v>
      </c>
      <c r="G111" s="2">
        <f>-'Income Statement'!G31</f>
        <v>-62.12</v>
      </c>
      <c r="H111" s="2">
        <f>-H110*H112</f>
        <v>-95.940000000000126</v>
      </c>
      <c r="I111" s="2">
        <f t="shared" ref="I111:L111" si="41">-I110*I112</f>
        <v>-111.93000000000012</v>
      </c>
      <c r="J111" s="2">
        <f t="shared" si="41"/>
        <v>-136.44800000000006</v>
      </c>
      <c r="K111" s="2">
        <f t="shared" si="41"/>
        <v>-173.97120000000021</v>
      </c>
      <c r="L111" s="2">
        <f t="shared" si="41"/>
        <v>-231.9616000000002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s="32" customFormat="1" hidden="1" outlineLevel="1" x14ac:dyDescent="0.2">
      <c r="A112" s="47" t="s">
        <v>225</v>
      </c>
      <c r="B112" s="33">
        <f>B110/B111</f>
        <v>7.568037974683544</v>
      </c>
      <c r="C112" s="33">
        <f t="shared" ref="C112:G112" si="42">C110/C111</f>
        <v>0.54069432900709669</v>
      </c>
      <c r="D112" s="33">
        <f t="shared" si="42"/>
        <v>0.36312412831241286</v>
      </c>
      <c r="E112" s="33">
        <f t="shared" si="42"/>
        <v>4.66580621369964E-2</v>
      </c>
      <c r="F112" s="33">
        <f t="shared" si="42"/>
        <v>2.1750131787032156</v>
      </c>
      <c r="G112" s="33">
        <f t="shared" si="42"/>
        <v>0.80907920154539958</v>
      </c>
      <c r="H112" s="33">
        <v>0.26</v>
      </c>
      <c r="I112" s="33">
        <v>0.26</v>
      </c>
      <c r="J112" s="33">
        <v>0.26</v>
      </c>
      <c r="K112" s="33">
        <v>0.26</v>
      </c>
      <c r="L112" s="33">
        <v>0.26</v>
      </c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</row>
    <row r="113" spans="1:23" s="50" customFormat="1" ht="16" collapsed="1" thickTop="1" x14ac:dyDescent="0.2">
      <c r="A113" s="48" t="s">
        <v>208</v>
      </c>
      <c r="B113" s="49">
        <f t="shared" ref="B113:H113" si="43">SUM(B110:B111)</f>
        <v>-108.3</v>
      </c>
      <c r="C113" s="49">
        <f t="shared" si="43"/>
        <v>1204.8999999999999</v>
      </c>
      <c r="D113" s="49">
        <f t="shared" si="43"/>
        <v>1466.04</v>
      </c>
      <c r="E113" s="49">
        <f t="shared" si="43"/>
        <v>-1135.31</v>
      </c>
      <c r="F113" s="49">
        <f t="shared" si="43"/>
        <v>-602.29999999999995</v>
      </c>
      <c r="G113" s="49">
        <f t="shared" si="43"/>
        <v>-112.38000000000022</v>
      </c>
      <c r="H113" s="49">
        <f t="shared" si="43"/>
        <v>273.06000000000034</v>
      </c>
      <c r="I113" s="49">
        <f t="shared" ref="I113" si="44">SUM(I110:I111)</f>
        <v>318.57000000000033</v>
      </c>
      <c r="J113" s="49">
        <f>SUM(J110:J111)</f>
        <v>388.35200000000009</v>
      </c>
      <c r="K113" s="49">
        <f>SUM(K110:K111)</f>
        <v>495.14880000000062</v>
      </c>
      <c r="L113" s="49">
        <f>SUM(L110:L111)</f>
        <v>660.19840000000056</v>
      </c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2">
      <c r="A114" s="3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44" t="s">
        <v>211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51" t="s">
        <v>212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3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s="8" customFormat="1" x14ac:dyDescent="0.2">
      <c r="A118" s="14" t="s">
        <v>226</v>
      </c>
    </row>
    <row r="119" spans="1:23" x14ac:dyDescent="0.2">
      <c r="A119" s="3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52" t="s">
        <v>228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44" t="s">
        <v>208</v>
      </c>
      <c r="B121" s="2">
        <f>B113</f>
        <v>-108.3</v>
      </c>
      <c r="C121" s="2">
        <f t="shared" ref="C121:L121" si="45">C113</f>
        <v>1204.8999999999999</v>
      </c>
      <c r="D121" s="2">
        <f t="shared" si="45"/>
        <v>1466.04</v>
      </c>
      <c r="E121" s="2">
        <f t="shared" si="45"/>
        <v>-1135.31</v>
      </c>
      <c r="F121" s="2">
        <f t="shared" si="45"/>
        <v>-602.29999999999995</v>
      </c>
      <c r="G121" s="2">
        <f t="shared" si="45"/>
        <v>-112.38000000000022</v>
      </c>
      <c r="H121" s="2">
        <f t="shared" si="45"/>
        <v>273.06000000000034</v>
      </c>
      <c r="I121" s="2">
        <f t="shared" si="45"/>
        <v>318.57000000000033</v>
      </c>
      <c r="J121" s="2">
        <f t="shared" si="45"/>
        <v>388.35200000000009</v>
      </c>
      <c r="K121" s="2">
        <f t="shared" si="45"/>
        <v>495.14880000000062</v>
      </c>
      <c r="L121" s="2">
        <f t="shared" si="45"/>
        <v>660.19840000000056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44" t="s">
        <v>232</v>
      </c>
      <c r="B122" s="2">
        <f>B93</f>
        <v>-299.35000000000002</v>
      </c>
      <c r="C122" s="2">
        <f t="shared" ref="C122:L122" si="46">C93</f>
        <v>-314</v>
      </c>
      <c r="D122" s="2">
        <f t="shared" si="46"/>
        <v>-349.5</v>
      </c>
      <c r="E122" s="2">
        <f t="shared" si="46"/>
        <v>-385.6</v>
      </c>
      <c r="F122" s="2">
        <f t="shared" si="46"/>
        <v>-424.5</v>
      </c>
      <c r="G122" s="2">
        <f t="shared" si="46"/>
        <v>-491.85</v>
      </c>
      <c r="H122" s="2">
        <f t="shared" si="46"/>
        <v>0</v>
      </c>
      <c r="I122" s="2">
        <f t="shared" si="46"/>
        <v>0</v>
      </c>
      <c r="J122" s="2">
        <f t="shared" si="46"/>
        <v>0</v>
      </c>
      <c r="K122" s="2">
        <f t="shared" si="46"/>
        <v>0</v>
      </c>
      <c r="L122" s="2">
        <f t="shared" si="46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4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4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44" t="s">
        <v>229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4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51" t="s">
        <v>231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3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3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52" t="s">
        <v>230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3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3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52" t="s">
        <v>228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3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3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s="8" customFormat="1" x14ac:dyDescent="0.2">
      <c r="A136" s="14" t="s">
        <v>81</v>
      </c>
    </row>
    <row r="137" spans="1:23" x14ac:dyDescent="0.2">
      <c r="A137" s="3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52" t="s">
        <v>233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3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36" t="s">
        <v>236</v>
      </c>
      <c r="B140" s="2">
        <f>'Balance Sheet'!B4</f>
        <v>4403</v>
      </c>
      <c r="C140" s="2">
        <f>'Balance Sheet'!C4</f>
        <v>6209</v>
      </c>
      <c r="D140" s="2">
        <f>'Balance Sheet'!D4</f>
        <v>6639</v>
      </c>
      <c r="E140" s="2">
        <f>'Balance Sheet'!E4</f>
        <v>7472</v>
      </c>
      <c r="F140" s="2">
        <f>'Balance Sheet'!F4</f>
        <v>6394</v>
      </c>
      <c r="G140" s="2">
        <f>'Balance Sheet'!G4</f>
        <v>6121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36" t="s">
        <v>234</v>
      </c>
      <c r="B141" s="2">
        <f>'Balance Sheet'!B5</f>
        <v>664.27</v>
      </c>
      <c r="C141" s="2">
        <f>'Balance Sheet'!C5</f>
        <v>788.7</v>
      </c>
      <c r="D141" s="2">
        <f>'Balance Sheet'!D5</f>
        <v>850.18</v>
      </c>
      <c r="E141" s="2">
        <f>'Balance Sheet'!E5</f>
        <v>1041.7</v>
      </c>
      <c r="F141" s="2">
        <f>'Balance Sheet'!F5</f>
        <v>1217.4000000000001</v>
      </c>
      <c r="G141" s="2">
        <f>'Balance Sheet'!G5</f>
        <v>972.6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36" t="s">
        <v>237</v>
      </c>
      <c r="B142" s="4">
        <f>'Balance Sheet'!B7</f>
        <v>244</v>
      </c>
      <c r="C142" s="4">
        <f>'Balance Sheet'!C7</f>
        <v>109.9</v>
      </c>
      <c r="D142" s="4">
        <f>'Balance Sheet'!D7</f>
        <v>125.2</v>
      </c>
      <c r="E142" s="4">
        <f>'Balance Sheet'!E7</f>
        <v>115.2</v>
      </c>
      <c r="F142" s="4">
        <f>'Balance Sheet'!F7</f>
        <v>250.5</v>
      </c>
      <c r="G142" s="4">
        <f>'Balance Sheet'!G7</f>
        <v>163.30000000000001</v>
      </c>
    </row>
    <row r="143" spans="1:23" x14ac:dyDescent="0.2">
      <c r="A143" s="36" t="s">
        <v>93</v>
      </c>
      <c r="B143" s="2">
        <f>'Balance Sheet'!B8</f>
        <v>8.3000000000000007</v>
      </c>
      <c r="C143" s="2">
        <f>'Balance Sheet'!C8</f>
        <v>1.7</v>
      </c>
      <c r="D143" s="2">
        <f>'Balance Sheet'!D8</f>
        <v>1.9</v>
      </c>
      <c r="E143" s="2">
        <f>'Balance Sheet'!E8</f>
        <v>2.2999999999999998</v>
      </c>
      <c r="F143" s="2">
        <f>'Balance Sheet'!F8</f>
        <v>8.1</v>
      </c>
      <c r="G143" s="2">
        <f>'Balance Sheet'!G8</f>
        <v>7.9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" thickBot="1" x14ac:dyDescent="0.25">
      <c r="A144" s="36" t="s">
        <v>95</v>
      </c>
      <c r="B144" s="2">
        <f>'Balance Sheet'!B10</f>
        <v>2.2000000000000002</v>
      </c>
      <c r="C144" s="2">
        <f>'Balance Sheet'!C10</f>
        <v>1.3</v>
      </c>
      <c r="D144" s="2">
        <f>'Balance Sheet'!D10</f>
        <v>3.8</v>
      </c>
      <c r="E144" s="2">
        <f>'Balance Sheet'!E10</f>
        <v>5.5</v>
      </c>
      <c r="F144" s="2">
        <f>'Balance Sheet'!F10</f>
        <v>48.6</v>
      </c>
      <c r="G144" s="2">
        <f>'Balance Sheet'!G10</f>
        <v>9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s="55" customFormat="1" ht="16" thickTop="1" x14ac:dyDescent="0.2">
      <c r="A145" s="53" t="s">
        <v>238</v>
      </c>
      <c r="B145" s="54">
        <f>SUM(B140:B144)</f>
        <v>5321.77</v>
      </c>
      <c r="C145" s="54">
        <f t="shared" ref="C145:G145" si="47">SUM(C140:C144)</f>
        <v>7110.5999999999995</v>
      </c>
      <c r="D145" s="54">
        <f t="shared" si="47"/>
        <v>7620.08</v>
      </c>
      <c r="E145" s="54">
        <f t="shared" si="47"/>
        <v>8636.7000000000007</v>
      </c>
      <c r="F145" s="54">
        <f t="shared" si="47"/>
        <v>7918.6</v>
      </c>
      <c r="G145" s="54">
        <f t="shared" si="47"/>
        <v>7273.8</v>
      </c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36" t="s">
        <v>239</v>
      </c>
      <c r="B147" s="2">
        <f>'Balance Sheet'!B12</f>
        <v>773.83</v>
      </c>
      <c r="C147" s="2">
        <f>'Balance Sheet'!C12</f>
        <v>885.3</v>
      </c>
      <c r="D147" s="2">
        <f>'Balance Sheet'!D12</f>
        <v>1729.12</v>
      </c>
      <c r="E147" s="2">
        <f>'Balance Sheet'!E12</f>
        <v>2424.8000000000002</v>
      </c>
      <c r="F147" s="2">
        <f>'Balance Sheet'!F12</f>
        <v>3276.8</v>
      </c>
      <c r="G147" s="2">
        <f>'Balance Sheet'!G12</f>
        <v>3547.8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36" t="s">
        <v>240</v>
      </c>
      <c r="B148" s="2">
        <f>'Balance Sheet'!B14</f>
        <v>27.6</v>
      </c>
      <c r="C148" s="2">
        <f>'Balance Sheet'!C14</f>
        <v>30.2</v>
      </c>
      <c r="D148" s="2">
        <f>'Balance Sheet'!D14</f>
        <v>77.7</v>
      </c>
      <c r="E148" s="2">
        <f>'Balance Sheet'!E14</f>
        <v>85.8</v>
      </c>
      <c r="F148" s="2">
        <f>'Balance Sheet'!F14</f>
        <v>237.4</v>
      </c>
      <c r="G148" s="2">
        <f>'Balance Sheet'!G14</f>
        <v>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36" t="s">
        <v>241</v>
      </c>
      <c r="B149" s="2">
        <f>'Balance Sheet'!B13</f>
        <v>1188.9000000000001</v>
      </c>
      <c r="C149" s="2">
        <f>'Balance Sheet'!C13</f>
        <v>1227.3</v>
      </c>
      <c r="D149" s="2">
        <f>'Balance Sheet'!D13</f>
        <v>1256.7</v>
      </c>
      <c r="E149" s="2">
        <f>'Balance Sheet'!E13</f>
        <v>1312.3</v>
      </c>
      <c r="F149" s="2">
        <f>'Balance Sheet'!F13</f>
        <v>1301.5</v>
      </c>
      <c r="G149" s="2">
        <f>'Balance Sheet'!G13</f>
        <v>1303.4000000000001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36" t="s">
        <v>242</v>
      </c>
      <c r="B150" s="2">
        <f>'Balance Sheet'!B16</f>
        <v>49.7</v>
      </c>
      <c r="C150" s="2">
        <f>'Balance Sheet'!C16</f>
        <v>45</v>
      </c>
      <c r="D150" s="2">
        <f>'Balance Sheet'!D16</f>
        <v>55.1</v>
      </c>
      <c r="E150" s="2">
        <f>'Balance Sheet'!E16</f>
        <v>58.3</v>
      </c>
      <c r="F150" s="2">
        <f>'Balance Sheet'!F16</f>
        <v>69.3</v>
      </c>
      <c r="G150" s="2">
        <f>'Balance Sheet'!G16</f>
        <v>52.6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36" t="s">
        <v>243</v>
      </c>
      <c r="B151" s="2">
        <f>'Balance Sheet'!B20</f>
        <v>10.5</v>
      </c>
      <c r="C151" s="2">
        <f>'Balance Sheet'!C20</f>
        <v>808.5</v>
      </c>
      <c r="D151" s="2">
        <f>'Balance Sheet'!D20</f>
        <v>1908.1</v>
      </c>
      <c r="E151" s="2">
        <f>'Balance Sheet'!E20</f>
        <v>796.3</v>
      </c>
      <c r="F151" s="2">
        <f>'Balance Sheet'!F20</f>
        <v>1148.5999999999999</v>
      </c>
      <c r="G151" s="2">
        <f>'Balance Sheet'!G20</f>
        <v>997.9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" thickBot="1" x14ac:dyDescent="0.25">
      <c r="A152" s="36" t="s">
        <v>244</v>
      </c>
      <c r="B152" s="2">
        <f>'Balance Sheet'!B17</f>
        <v>40.200000000000003</v>
      </c>
      <c r="C152" s="2">
        <f>'Balance Sheet'!C17</f>
        <v>55.5</v>
      </c>
      <c r="D152" s="2">
        <f>'Balance Sheet'!D17</f>
        <v>56.8</v>
      </c>
      <c r="E152" s="2">
        <f>'Balance Sheet'!E17</f>
        <v>65.2</v>
      </c>
      <c r="F152" s="2">
        <f>'Balance Sheet'!F17</f>
        <v>107</v>
      </c>
      <c r="G152" s="2">
        <f>'Balance Sheet'!G17</f>
        <v>404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s="55" customFormat="1" ht="16" thickTop="1" x14ac:dyDescent="0.2">
      <c r="A153" s="53" t="s">
        <v>245</v>
      </c>
      <c r="B153" s="54">
        <f>SUM(B147:B152)</f>
        <v>2090.73</v>
      </c>
      <c r="C153" s="54">
        <f>SUM(C147:C152)</f>
        <v>3051.8</v>
      </c>
      <c r="D153" s="54">
        <f>SUM(D147:D152)</f>
        <v>5083.5199999999995</v>
      </c>
      <c r="E153" s="54">
        <f>SUM(E147:E152)</f>
        <v>4742.7000000000007</v>
      </c>
      <c r="F153" s="54">
        <f>SUM(F147:F152)</f>
        <v>6140.6</v>
      </c>
      <c r="G153" s="54">
        <f t="shared" ref="G153" si="48">SUM(G147:G152)</f>
        <v>6305.7000000000007</v>
      </c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s="57" customFormat="1" x14ac:dyDescent="0.2">
      <c r="A155" s="51" t="s">
        <v>87</v>
      </c>
      <c r="B155" s="56">
        <f>SUM(B145,B153)</f>
        <v>7412.5</v>
      </c>
      <c r="C155" s="56">
        <f t="shared" ref="C155:G155" si="49">SUM(C145,C153)</f>
        <v>10162.4</v>
      </c>
      <c r="D155" s="56">
        <f t="shared" si="49"/>
        <v>12703.599999999999</v>
      </c>
      <c r="E155" s="56">
        <f t="shared" si="49"/>
        <v>13379.400000000001</v>
      </c>
      <c r="F155" s="56">
        <f t="shared" si="49"/>
        <v>14059.2</v>
      </c>
      <c r="G155" s="56">
        <f t="shared" si="49"/>
        <v>13579.5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</row>
    <row r="156" spans="1:23" s="57" customFormat="1" x14ac:dyDescent="0.2">
      <c r="A156" s="51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</row>
    <row r="157" spans="1:23" s="57" customFormat="1" x14ac:dyDescent="0.2">
      <c r="A157" s="52" t="s">
        <v>249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</row>
    <row r="158" spans="1:23" s="57" customFormat="1" x14ac:dyDescent="0.2">
      <c r="A158" s="36" t="s">
        <v>250</v>
      </c>
      <c r="B158" s="58">
        <f>'Balance Sheet'!B26</f>
        <v>171</v>
      </c>
      <c r="C158" s="58">
        <f>'Balance Sheet'!C26</f>
        <v>145.19999999999999</v>
      </c>
      <c r="D158" s="58">
        <f>'Balance Sheet'!D26</f>
        <v>161.1</v>
      </c>
      <c r="E158" s="58">
        <f>'Balance Sheet'!E26</f>
        <v>194.3</v>
      </c>
      <c r="F158" s="58">
        <f>'Balance Sheet'!F26</f>
        <v>203</v>
      </c>
      <c r="G158" s="58">
        <f>'Balance Sheet'!G26</f>
        <v>153</v>
      </c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</row>
    <row r="159" spans="1:23" s="57" customFormat="1" x14ac:dyDescent="0.2">
      <c r="A159" s="36" t="s">
        <v>251</v>
      </c>
      <c r="B159" s="58">
        <f>'Balance Sheet'!B27</f>
        <v>263.39999999999998</v>
      </c>
      <c r="C159" s="58">
        <f>'Balance Sheet'!C27</f>
        <v>327.10000000000002</v>
      </c>
      <c r="D159" s="58">
        <f>'Balance Sheet'!D27</f>
        <v>385.9</v>
      </c>
      <c r="E159" s="58">
        <f>'Balance Sheet'!E27</f>
        <v>564.20000000000005</v>
      </c>
      <c r="F159" s="58">
        <f>'Balance Sheet'!F27</f>
        <v>792</v>
      </c>
      <c r="G159" s="58">
        <f>'Balance Sheet'!G27</f>
        <v>498</v>
      </c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</row>
    <row r="160" spans="1:23" s="57" customFormat="1" x14ac:dyDescent="0.2">
      <c r="A160" s="36" t="s">
        <v>252</v>
      </c>
      <c r="B160" s="58">
        <f>'Balance Sheet'!B28</f>
        <v>0</v>
      </c>
      <c r="C160" s="58">
        <f>'Balance Sheet'!C28</f>
        <v>897.3</v>
      </c>
      <c r="D160" s="58">
        <f>'Balance Sheet'!D28</f>
        <v>0</v>
      </c>
      <c r="E160" s="58">
        <f>'Balance Sheet'!E28</f>
        <v>917.9</v>
      </c>
      <c r="F160" s="58">
        <f>'Balance Sheet'!F28</f>
        <v>0</v>
      </c>
      <c r="G160" s="58">
        <f>'Balance Sheet'!G28</f>
        <v>0</v>
      </c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</row>
    <row r="161" spans="1:23" s="57" customFormat="1" x14ac:dyDescent="0.2">
      <c r="A161" s="36" t="s">
        <v>253</v>
      </c>
      <c r="B161" s="58">
        <f>'Balance Sheet'!B29</f>
        <v>85</v>
      </c>
      <c r="C161" s="58">
        <f>'Balance Sheet'!C29</f>
        <v>68</v>
      </c>
      <c r="D161" s="58">
        <f>'Balance Sheet'!D29</f>
        <v>170.4</v>
      </c>
      <c r="E161" s="58">
        <f>'Balance Sheet'!E29</f>
        <v>177.1</v>
      </c>
      <c r="F161" s="58">
        <f>'Balance Sheet'!F29</f>
        <v>222.3</v>
      </c>
      <c r="G161" s="58">
        <f>'Balance Sheet'!G29</f>
        <v>188</v>
      </c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</row>
    <row r="162" spans="1:23" s="57" customFormat="1" x14ac:dyDescent="0.2">
      <c r="A162" s="36" t="s">
        <v>258</v>
      </c>
      <c r="B162" s="58">
        <f>'Balance Sheet'!B31</f>
        <v>36.1</v>
      </c>
      <c r="C162" s="58">
        <f>'Balance Sheet'!C31</f>
        <v>39.700000000000003</v>
      </c>
      <c r="D162" s="58">
        <f>'Balance Sheet'!D31</f>
        <v>46</v>
      </c>
      <c r="E162" s="58">
        <f>'Balance Sheet'!E31</f>
        <v>40.4</v>
      </c>
      <c r="F162" s="58">
        <f>'Balance Sheet'!F31</f>
        <v>47.8</v>
      </c>
      <c r="G162" s="58">
        <f>'Balance Sheet'!G31</f>
        <v>48</v>
      </c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</row>
    <row r="163" spans="1:23" s="57" customFormat="1" x14ac:dyDescent="0.2">
      <c r="A163" s="36" t="s">
        <v>255</v>
      </c>
      <c r="B163" s="58">
        <f>'Balance Sheet'!B32</f>
        <v>27.8</v>
      </c>
      <c r="C163" s="58">
        <f>'Balance Sheet'!C32</f>
        <v>38.9</v>
      </c>
      <c r="D163" s="58">
        <f>'Balance Sheet'!D32</f>
        <v>69</v>
      </c>
      <c r="E163" s="58">
        <f>'Balance Sheet'!E32</f>
        <v>59</v>
      </c>
      <c r="F163" s="58">
        <f>'Balance Sheet'!F32</f>
        <v>78.5</v>
      </c>
      <c r="G163" s="58">
        <f>'Balance Sheet'!G32</f>
        <v>131</v>
      </c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</row>
    <row r="164" spans="1:23" s="57" customFormat="1" ht="16" thickBot="1" x14ac:dyDescent="0.25">
      <c r="A164" s="36" t="s">
        <v>109</v>
      </c>
      <c r="B164" s="58">
        <f>'Balance Sheet'!B33</f>
        <v>0</v>
      </c>
      <c r="C164" s="58">
        <f>'Balance Sheet'!C33</f>
        <v>0</v>
      </c>
      <c r="D164" s="58">
        <f>'Balance Sheet'!D33</f>
        <v>0</v>
      </c>
      <c r="E164" s="58">
        <f>'Balance Sheet'!E33</f>
        <v>0</v>
      </c>
      <c r="F164" s="58">
        <f>'Balance Sheet'!F33</f>
        <v>0</v>
      </c>
      <c r="G164" s="58">
        <f>'Balance Sheet'!G33</f>
        <v>0</v>
      </c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</row>
    <row r="165" spans="1:23" s="55" customFormat="1" ht="16" thickTop="1" x14ac:dyDescent="0.2">
      <c r="A165" s="53" t="s">
        <v>259</v>
      </c>
      <c r="B165" s="54">
        <f>SUM(B158:B164)</f>
        <v>583.29999999999995</v>
      </c>
      <c r="C165" s="54">
        <f t="shared" ref="C165:G165" si="50">SUM(C158:C164)</f>
        <v>1516.2</v>
      </c>
      <c r="D165" s="54">
        <f t="shared" si="50"/>
        <v>832.4</v>
      </c>
      <c r="E165" s="54">
        <f t="shared" si="50"/>
        <v>1952.9</v>
      </c>
      <c r="F165" s="54">
        <f t="shared" si="50"/>
        <v>1343.6</v>
      </c>
      <c r="G165" s="54">
        <f t="shared" si="50"/>
        <v>1018</v>
      </c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 s="57" customFormat="1" x14ac:dyDescent="0.2">
      <c r="A166" s="3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</row>
    <row r="167" spans="1:23" s="57" customFormat="1" x14ac:dyDescent="0.2">
      <c r="A167" s="36" t="s">
        <v>260</v>
      </c>
      <c r="B167" s="58">
        <f>'Balance Sheet'!B35</f>
        <v>1627.5</v>
      </c>
      <c r="C167" s="58">
        <f>'Balance Sheet'!C35</f>
        <v>1730.8</v>
      </c>
      <c r="D167" s="58">
        <f>'Balance Sheet'!D35</f>
        <v>2508.8000000000002</v>
      </c>
      <c r="E167" s="58">
        <f>'Balance Sheet'!E35</f>
        <v>2569</v>
      </c>
      <c r="F167" s="58">
        <f>'Balance Sheet'!F35</f>
        <v>4253</v>
      </c>
      <c r="G167" s="58">
        <f>'Balance Sheet'!G35</f>
        <v>5246.8</v>
      </c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</row>
    <row r="168" spans="1:23" s="57" customFormat="1" x14ac:dyDescent="0.2">
      <c r="A168" s="36" t="s">
        <v>261</v>
      </c>
      <c r="B168" s="58">
        <f>'Balance Sheet'!B36</f>
        <v>81.3</v>
      </c>
      <c r="C168" s="58">
        <f>'Balance Sheet'!C36</f>
        <v>24.4</v>
      </c>
      <c r="D168" s="58">
        <f>'Balance Sheet'!D36</f>
        <v>609.20000000000005</v>
      </c>
      <c r="E168" s="58">
        <f>'Balance Sheet'!E36</f>
        <v>820</v>
      </c>
      <c r="F168" s="58">
        <f>'Balance Sheet'!F36</f>
        <v>1071.2</v>
      </c>
      <c r="G168" s="58">
        <f>'Balance Sheet'!G36</f>
        <v>1282.4000000000001</v>
      </c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</row>
    <row r="169" spans="1:23" s="57" customFormat="1" x14ac:dyDescent="0.2">
      <c r="A169" s="36" t="s">
        <v>262</v>
      </c>
      <c r="B169" s="58">
        <f>'Balance Sheet'!B37</f>
        <v>0.2</v>
      </c>
      <c r="C169" s="58">
        <f>'Balance Sheet'!C37</f>
        <v>3.1</v>
      </c>
      <c r="D169" s="58">
        <f>'Balance Sheet'!D37</f>
        <v>6.4</v>
      </c>
      <c r="E169" s="58">
        <f>'Balance Sheet'!E37</f>
        <v>8</v>
      </c>
      <c r="F169" s="58">
        <f>'Balance Sheet'!F37</f>
        <v>8.6</v>
      </c>
      <c r="G169" s="58">
        <f>'Balance Sheet'!G37</f>
        <v>41.2</v>
      </c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</row>
    <row r="170" spans="1:23" s="57" customFormat="1" ht="16" thickBot="1" x14ac:dyDescent="0.25">
      <c r="A170" s="36" t="s">
        <v>263</v>
      </c>
      <c r="B170" s="58">
        <f>'Balance Sheet'!B43</f>
        <v>73</v>
      </c>
      <c r="C170" s="58">
        <f>'Balance Sheet'!C43</f>
        <v>82.3</v>
      </c>
      <c r="D170" s="58">
        <f>'Balance Sheet'!D43</f>
        <v>42.4</v>
      </c>
      <c r="E170" s="58">
        <f>'Balance Sheet'!E43</f>
        <v>59.4</v>
      </c>
      <c r="F170" s="58">
        <f>'Balance Sheet'!F43</f>
        <v>75.599999999999994</v>
      </c>
      <c r="G170" s="58">
        <f>'Balance Sheet'!G43</f>
        <v>59.1</v>
      </c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</row>
    <row r="171" spans="1:23" s="55" customFormat="1" ht="16" thickTop="1" x14ac:dyDescent="0.2">
      <c r="A171" s="53" t="s">
        <v>264</v>
      </c>
      <c r="B171" s="54">
        <f>SUM(B167:B170)</f>
        <v>1782</v>
      </c>
      <c r="C171" s="54">
        <f t="shared" ref="C171:G171" si="51">SUM(C167:C170)</f>
        <v>1840.6</v>
      </c>
      <c r="D171" s="54">
        <f t="shared" si="51"/>
        <v>3166.8</v>
      </c>
      <c r="E171" s="54">
        <f t="shared" si="51"/>
        <v>3456.4</v>
      </c>
      <c r="F171" s="54">
        <f t="shared" si="51"/>
        <v>5408.4000000000005</v>
      </c>
      <c r="G171" s="54">
        <f t="shared" si="51"/>
        <v>6629.5000000000009</v>
      </c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 s="57" customFormat="1" x14ac:dyDescent="0.2">
      <c r="A172" s="11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</row>
    <row r="173" spans="1:23" s="57" customFormat="1" x14ac:dyDescent="0.2">
      <c r="A173" s="11" t="s">
        <v>106</v>
      </c>
      <c r="B173" s="56">
        <f t="shared" ref="B173:G173" si="52">SUM(B165,B171)</f>
        <v>2365.3000000000002</v>
      </c>
      <c r="C173" s="56">
        <f t="shared" si="52"/>
        <v>3356.8</v>
      </c>
      <c r="D173" s="56">
        <f t="shared" si="52"/>
        <v>3999.2000000000003</v>
      </c>
      <c r="E173" s="56">
        <f t="shared" si="52"/>
        <v>5409.3</v>
      </c>
      <c r="F173" s="56">
        <f t="shared" si="52"/>
        <v>6752</v>
      </c>
      <c r="G173" s="56">
        <f t="shared" si="52"/>
        <v>7647.5000000000009</v>
      </c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</row>
    <row r="174" spans="1:23" s="57" customFormat="1" x14ac:dyDescent="0.2">
      <c r="A174" s="11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</row>
    <row r="175" spans="1:23" s="57" customFormat="1" x14ac:dyDescent="0.2">
      <c r="A175" s="11" t="s">
        <v>118</v>
      </c>
      <c r="B175" s="56">
        <f>'Balance Sheet'!B45</f>
        <v>5047.2</v>
      </c>
      <c r="C175" s="56">
        <f>'Balance Sheet'!C45</f>
        <v>6805.6</v>
      </c>
      <c r="D175" s="56">
        <f>'Balance Sheet'!D45</f>
        <v>8704.4</v>
      </c>
      <c r="E175" s="56">
        <f>'Balance Sheet'!E45</f>
        <v>7970.1</v>
      </c>
      <c r="F175" s="56">
        <f>'Balance Sheet'!F45</f>
        <v>7307.2</v>
      </c>
      <c r="G175" s="56">
        <f>'Balance Sheet'!G45</f>
        <v>5932</v>
      </c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</row>
    <row r="176" spans="1:23" s="57" customFormat="1" x14ac:dyDescent="0.2">
      <c r="A176" s="11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</row>
    <row r="177" spans="1:23" s="57" customFormat="1" x14ac:dyDescent="0.2">
      <c r="A177" s="11" t="s">
        <v>267</v>
      </c>
      <c r="B177" s="56">
        <f>SUM(B173,B175)</f>
        <v>7412.5</v>
      </c>
      <c r="C177" s="56">
        <f t="shared" ref="C177:G177" si="53">SUM(C173,C175)</f>
        <v>10162.400000000001</v>
      </c>
      <c r="D177" s="56">
        <f t="shared" si="53"/>
        <v>12703.6</v>
      </c>
      <c r="E177" s="56">
        <f t="shared" si="53"/>
        <v>13379.400000000001</v>
      </c>
      <c r="F177" s="56">
        <f t="shared" si="53"/>
        <v>14059.2</v>
      </c>
      <c r="G177" s="56">
        <f t="shared" si="53"/>
        <v>13579.5</v>
      </c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3" s="64" customFormat="1" x14ac:dyDescent="0.2">
      <c r="A178" s="13" t="s">
        <v>268</v>
      </c>
      <c r="B178" s="63">
        <f>B155-B177</f>
        <v>0</v>
      </c>
      <c r="C178" s="63">
        <f t="shared" ref="C178:G178" si="54">C155-C177</f>
        <v>0</v>
      </c>
      <c r="D178" s="63">
        <f t="shared" si="54"/>
        <v>0</v>
      </c>
      <c r="E178" s="63">
        <f>E155-E177</f>
        <v>0</v>
      </c>
      <c r="F178" s="63">
        <f>F155-F177</f>
        <v>0</v>
      </c>
      <c r="G178" s="63">
        <f t="shared" si="54"/>
        <v>0</v>
      </c>
    </row>
    <row r="179" spans="1:23" s="57" customFormat="1" x14ac:dyDescent="0.2">
      <c r="A179" s="11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3" s="8" customFormat="1" x14ac:dyDescent="0.2">
      <c r="A180" s="14" t="s">
        <v>270</v>
      </c>
    </row>
    <row r="181" spans="1:23" x14ac:dyDescent="0.2">
      <c r="A181" s="3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13" t="s">
        <v>234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13" t="s">
        <v>237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13" t="s">
        <v>271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13" t="s">
        <v>235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11" t="s">
        <v>209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13" t="s">
        <v>210</v>
      </c>
      <c r="B190" s="2">
        <v>7500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13" t="s">
        <v>213</v>
      </c>
      <c r="B191" s="35">
        <v>0.117105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13" t="s">
        <v>214</v>
      </c>
      <c r="B192" s="2">
        <f>B190*B191</f>
        <v>878.28750000000002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6" thickBot="1" x14ac:dyDescent="0.25">
      <c r="A193" s="13" t="s">
        <v>215</v>
      </c>
      <c r="B193" s="31">
        <v>0.25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37" t="s">
        <v>221</v>
      </c>
      <c r="B194" s="38">
        <f>B192*(1+B193)</f>
        <v>1097.859375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13" t="s">
        <v>216</v>
      </c>
      <c r="B196" s="31">
        <f>B197/B190</f>
        <v>0.49333333333333335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" thickBot="1" x14ac:dyDescent="0.25">
      <c r="A197" s="13" t="s">
        <v>217</v>
      </c>
      <c r="B197" s="2">
        <v>3700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37" t="s">
        <v>220</v>
      </c>
      <c r="B198" s="38">
        <f>B194*(1-B196)</f>
        <v>556.24874999999997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13" t="s">
        <v>223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B201" s="2" t="s">
        <v>218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13" t="s">
        <v>178</v>
      </c>
      <c r="B202" s="2">
        <f>$G$79</f>
        <v>-1487</v>
      </c>
      <c r="C202" s="31">
        <f>B202/$B$204</f>
        <v>0.50064811541504639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" thickBot="1" x14ac:dyDescent="0.25">
      <c r="A203" s="13" t="s">
        <v>179</v>
      </c>
      <c r="B203" s="2">
        <f>$G$85</f>
        <v>-1483.15</v>
      </c>
      <c r="C203" s="31">
        <f>B203/$B$204</f>
        <v>0.49935188458495366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37" t="s">
        <v>219</v>
      </c>
      <c r="B204" s="38">
        <f>SUM(B202:B203)</f>
        <v>-2970.15</v>
      </c>
      <c r="C204" s="31">
        <f>SUM(C202:C203)</f>
        <v>1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13" t="s">
        <v>222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13" t="s">
        <v>178</v>
      </c>
      <c r="B208" s="2">
        <f>B202+B198*C202</f>
        <v>-1208.5151116105249</v>
      </c>
      <c r="C208" s="31">
        <f>-B208/$G$68</f>
        <v>0.23111782589606519</v>
      </c>
      <c r="D208" s="2"/>
      <c r="E208" s="2" t="s">
        <v>184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6" thickBot="1" x14ac:dyDescent="0.25">
      <c r="A209" s="13" t="s">
        <v>179</v>
      </c>
      <c r="B209" s="2">
        <f>B203+B198*C203</f>
        <v>-1205.3861383894755</v>
      </c>
      <c r="C209" s="31">
        <f>-B209/$G$68</f>
        <v>0.23051943744300546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37" t="s">
        <v>219</v>
      </c>
      <c r="B210" s="38">
        <f>SUM(B208:B209)</f>
        <v>-2413.9012500000003</v>
      </c>
      <c r="C210" s="31"/>
      <c r="D210" s="2"/>
      <c r="E210" s="2"/>
      <c r="F210" s="2" t="s">
        <v>184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13" t="s">
        <v>174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2:23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2:23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2:23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2:23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2:23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2:23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2:23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2:23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2:23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2:23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2:23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2:23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2:23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2:23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2:23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2:23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2:23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2:23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2:23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2:23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2:23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2:23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2:23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2:23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2:23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2:23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2:23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2:23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2:23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2:23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2:23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2:23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2:23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2:23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2:23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2:23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2:23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2:23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2:23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2:23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2:23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2:23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2:23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2:23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2:23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2:23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2:23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2:23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2:23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2:23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2:23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2:23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2:23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2:23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2:23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2:23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2:23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2:23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2:23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2:23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2:23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2:23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2:23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2:23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2:23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2:23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2:23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2:23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2:23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2:23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2:23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2:23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2:23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2:23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2:23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2:23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2:23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2:23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2:23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2:23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2:23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2:23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2:23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2:23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2:23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2:23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2:23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2:23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2:23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2:23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2:23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2:23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2:23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2:23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2:23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2:23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2:23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2:23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2:23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2:23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2:23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2:23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2:23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2:23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2:23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2:23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2:23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2:23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2:23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2:23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2:23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2:23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2:23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2:23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2:23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2:23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2:23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2:23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2:23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2:23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2:23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2:23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2:23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2:23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2:23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2:23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2:23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2:23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2:23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2:23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2:23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2:23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2:23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2:23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2:23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2:23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2:23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2:23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2:23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2:23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2:23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2:23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2:23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2:23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2:23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2:23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2:23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2:23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2:23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2:23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2:23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2:23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2:23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2:23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77D-DA29-41BB-BFD4-85CFC3FC9B47}">
  <sheetPr>
    <tabColor theme="4" tint="0.59999389629810485"/>
  </sheetPr>
  <dimension ref="A1:G55"/>
  <sheetViews>
    <sheetView showGridLines="0" zoomScale="145" zoomScaleNormal="145" workbookViewId="0">
      <selection activeCell="F5" sqref="F1:F1048576"/>
    </sheetView>
    <sheetView tabSelected="1" workbookViewId="1">
      <selection activeCell="B12" sqref="B12"/>
    </sheetView>
  </sheetViews>
  <sheetFormatPr baseColWidth="10" defaultColWidth="8.83203125" defaultRowHeight="15" x14ac:dyDescent="0.2"/>
  <cols>
    <col min="1" max="1" width="44" bestFit="1" customWidth="1"/>
    <col min="2" max="7" width="11" customWidth="1"/>
  </cols>
  <sheetData>
    <row r="1" spans="1:7" s="1" customFormat="1" x14ac:dyDescent="0.2">
      <c r="A1" s="20" t="s">
        <v>81</v>
      </c>
      <c r="B1" s="21" t="s">
        <v>86</v>
      </c>
      <c r="C1" s="21" t="s">
        <v>85</v>
      </c>
      <c r="D1" s="21" t="s">
        <v>84</v>
      </c>
      <c r="E1" s="21" t="s">
        <v>83</v>
      </c>
      <c r="F1" s="21" t="s">
        <v>82</v>
      </c>
      <c r="G1" s="21" t="s">
        <v>266</v>
      </c>
    </row>
    <row r="2" spans="1:7" x14ac:dyDescent="0.2">
      <c r="A2" s="7" t="s">
        <v>87</v>
      </c>
      <c r="B2" s="23">
        <v>7410</v>
      </c>
      <c r="C2" s="23">
        <v>10160</v>
      </c>
      <c r="D2" s="23">
        <v>12700</v>
      </c>
      <c r="E2" s="23">
        <v>13380</v>
      </c>
      <c r="F2" s="23">
        <v>14060</v>
      </c>
      <c r="G2" s="23"/>
    </row>
    <row r="3" spans="1:7" x14ac:dyDescent="0.2">
      <c r="A3" s="26" t="s">
        <v>88</v>
      </c>
      <c r="B3" s="25">
        <v>5320</v>
      </c>
      <c r="C3" s="25">
        <v>7110</v>
      </c>
      <c r="D3" s="25">
        <v>7620</v>
      </c>
      <c r="E3" s="25">
        <v>8640</v>
      </c>
      <c r="F3" s="25">
        <v>7920</v>
      </c>
      <c r="G3" s="25"/>
    </row>
    <row r="4" spans="1:7" x14ac:dyDescent="0.2">
      <c r="A4" s="27" t="s">
        <v>89</v>
      </c>
      <c r="B4" s="25">
        <v>4403</v>
      </c>
      <c r="C4" s="25">
        <v>6209</v>
      </c>
      <c r="D4" s="25">
        <v>6639</v>
      </c>
      <c r="E4" s="25">
        <v>7472</v>
      </c>
      <c r="F4" s="25">
        <v>6394</v>
      </c>
      <c r="G4" s="25">
        <v>6121</v>
      </c>
    </row>
    <row r="5" spans="1:7" x14ac:dyDescent="0.2">
      <c r="A5" s="27" t="s">
        <v>90</v>
      </c>
      <c r="B5" s="25">
        <v>664.27</v>
      </c>
      <c r="C5" s="25">
        <v>788.7</v>
      </c>
      <c r="D5" s="25">
        <v>850.18</v>
      </c>
      <c r="E5" s="25">
        <v>1041.7</v>
      </c>
      <c r="F5" s="25">
        <v>1217.4000000000001</v>
      </c>
      <c r="G5" s="25">
        <v>972.6</v>
      </c>
    </row>
    <row r="6" spans="1:7" x14ac:dyDescent="0.2">
      <c r="A6" s="27" t="s">
        <v>91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/>
    </row>
    <row r="7" spans="1:7" x14ac:dyDescent="0.2">
      <c r="A7" s="27" t="s">
        <v>92</v>
      </c>
      <c r="B7" s="25">
        <v>244</v>
      </c>
      <c r="C7" s="25">
        <v>109.9</v>
      </c>
      <c r="D7" s="25">
        <v>125.2</v>
      </c>
      <c r="E7" s="25">
        <v>115.2</v>
      </c>
      <c r="F7" s="25">
        <v>250.5</v>
      </c>
      <c r="G7" s="25">
        <v>163.30000000000001</v>
      </c>
    </row>
    <row r="8" spans="1:7" x14ac:dyDescent="0.2">
      <c r="A8" s="27" t="s">
        <v>93</v>
      </c>
      <c r="B8" s="25">
        <v>8.3000000000000007</v>
      </c>
      <c r="C8" s="25">
        <v>1.7</v>
      </c>
      <c r="D8" s="25">
        <v>1.9</v>
      </c>
      <c r="E8" s="25">
        <v>2.2999999999999998</v>
      </c>
      <c r="F8" s="25">
        <v>8.1</v>
      </c>
      <c r="G8" s="25">
        <v>7.9</v>
      </c>
    </row>
    <row r="9" spans="1:7" x14ac:dyDescent="0.2">
      <c r="A9" s="27" t="s">
        <v>94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/>
    </row>
    <row r="10" spans="1:7" x14ac:dyDescent="0.2">
      <c r="A10" s="27" t="s">
        <v>95</v>
      </c>
      <c r="B10" s="25">
        <v>2.2000000000000002</v>
      </c>
      <c r="C10" s="25">
        <v>1.3</v>
      </c>
      <c r="D10" s="25">
        <v>3.8</v>
      </c>
      <c r="E10" s="25">
        <v>5.5</v>
      </c>
      <c r="F10" s="25">
        <v>48.6</v>
      </c>
      <c r="G10" s="25">
        <v>9</v>
      </c>
    </row>
    <row r="11" spans="1:7" x14ac:dyDescent="0.2">
      <c r="A11" s="26" t="s">
        <v>96</v>
      </c>
      <c r="B11" s="25">
        <v>2090</v>
      </c>
      <c r="C11" s="25">
        <v>3050</v>
      </c>
      <c r="D11" s="25">
        <v>5080</v>
      </c>
      <c r="E11" s="25">
        <v>4740</v>
      </c>
      <c r="F11" s="25">
        <v>6140</v>
      </c>
      <c r="G11" s="25"/>
    </row>
    <row r="12" spans="1:7" x14ac:dyDescent="0.2">
      <c r="A12" s="27" t="s">
        <v>97</v>
      </c>
      <c r="B12" s="25">
        <v>773.83</v>
      </c>
      <c r="C12" s="25">
        <v>885.3</v>
      </c>
      <c r="D12" s="25">
        <v>1729.12</v>
      </c>
      <c r="E12" s="25">
        <v>2424.8000000000002</v>
      </c>
      <c r="F12" s="25">
        <v>3276.8</v>
      </c>
      <c r="G12" s="25">
        <v>3547.8</v>
      </c>
    </row>
    <row r="13" spans="1:7" x14ac:dyDescent="0.2">
      <c r="A13" s="27" t="s">
        <v>246</v>
      </c>
      <c r="B13" s="25">
        <v>1188.9000000000001</v>
      </c>
      <c r="C13" s="25">
        <v>1227.3</v>
      </c>
      <c r="D13" s="25">
        <v>1256.7</v>
      </c>
      <c r="E13" s="25">
        <v>1312.3</v>
      </c>
      <c r="F13" s="25">
        <v>1301.5</v>
      </c>
      <c r="G13" s="25">
        <v>1303.4000000000001</v>
      </c>
    </row>
    <row r="14" spans="1:7" x14ac:dyDescent="0.2">
      <c r="A14" s="27" t="s">
        <v>98</v>
      </c>
      <c r="B14" s="25">
        <v>27.6</v>
      </c>
      <c r="C14" s="25">
        <v>30.2</v>
      </c>
      <c r="D14" s="25">
        <v>77.7</v>
      </c>
      <c r="E14" s="25">
        <v>85.8</v>
      </c>
      <c r="F14" s="25">
        <v>237.4</v>
      </c>
      <c r="G14" s="25">
        <v>0</v>
      </c>
    </row>
    <row r="15" spans="1:7" x14ac:dyDescent="0.2">
      <c r="A15" s="27" t="s">
        <v>99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/>
    </row>
    <row r="16" spans="1:7" x14ac:dyDescent="0.2">
      <c r="A16" s="27" t="s">
        <v>247</v>
      </c>
      <c r="B16" s="25">
        <v>49.7</v>
      </c>
      <c r="C16" s="25">
        <v>45</v>
      </c>
      <c r="D16" s="25">
        <v>55.1</v>
      </c>
      <c r="E16" s="25">
        <v>58.3</v>
      </c>
      <c r="F16" s="25">
        <v>69.3</v>
      </c>
      <c r="G16" s="25">
        <v>52.6</v>
      </c>
    </row>
    <row r="17" spans="1:7" x14ac:dyDescent="0.2">
      <c r="A17" s="27" t="s">
        <v>248</v>
      </c>
      <c r="B17" s="25">
        <v>40.200000000000003</v>
      </c>
      <c r="C17" s="25">
        <v>55.5</v>
      </c>
      <c r="D17" s="25">
        <v>56.8</v>
      </c>
      <c r="E17" s="25">
        <v>65.2</v>
      </c>
      <c r="F17" s="25">
        <v>107</v>
      </c>
      <c r="G17" s="25">
        <v>404</v>
      </c>
    </row>
    <row r="18" spans="1:7" x14ac:dyDescent="0.2">
      <c r="A18" s="27" t="s">
        <v>100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/>
    </row>
    <row r="19" spans="1:7" x14ac:dyDescent="0.2">
      <c r="A19" s="27" t="s">
        <v>101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/>
    </row>
    <row r="20" spans="1:7" x14ac:dyDescent="0.2">
      <c r="A20" s="27" t="s">
        <v>102</v>
      </c>
      <c r="B20" s="25">
        <v>10.5</v>
      </c>
      <c r="C20" s="25">
        <v>808.5</v>
      </c>
      <c r="D20" s="25">
        <v>1908.1</v>
      </c>
      <c r="E20" s="25">
        <v>796.3</v>
      </c>
      <c r="F20" s="25">
        <v>1148.5999999999999</v>
      </c>
      <c r="G20" s="25">
        <v>997.9</v>
      </c>
    </row>
    <row r="21" spans="1:7" x14ac:dyDescent="0.2">
      <c r="A21" s="27" t="s">
        <v>103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/>
    </row>
    <row r="22" spans="1:7" x14ac:dyDescent="0.2">
      <c r="A22" s="27" t="s">
        <v>104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/>
    </row>
    <row r="23" spans="1:7" x14ac:dyDescent="0.2">
      <c r="A23" s="27" t="s">
        <v>105</v>
      </c>
      <c r="B23" s="25">
        <v>67.83</v>
      </c>
      <c r="C23" s="25">
        <v>85.7</v>
      </c>
      <c r="D23" s="25">
        <v>134.55000000000001</v>
      </c>
      <c r="E23" s="25">
        <v>151.04</v>
      </c>
      <c r="F23" s="25">
        <v>344.44</v>
      </c>
      <c r="G23" s="25"/>
    </row>
    <row r="24" spans="1:7" x14ac:dyDescent="0.2">
      <c r="A24" s="7" t="s">
        <v>106</v>
      </c>
      <c r="B24" s="23">
        <v>2370</v>
      </c>
      <c r="C24" s="23">
        <v>3360</v>
      </c>
      <c r="D24" s="23">
        <v>4000</v>
      </c>
      <c r="E24" s="23">
        <v>5410</v>
      </c>
      <c r="F24" s="23">
        <v>6750</v>
      </c>
      <c r="G24" s="23"/>
    </row>
    <row r="25" spans="1:7" x14ac:dyDescent="0.2">
      <c r="A25" s="26" t="s">
        <v>107</v>
      </c>
      <c r="B25" s="25">
        <v>583.28</v>
      </c>
      <c r="C25" s="25">
        <v>1520</v>
      </c>
      <c r="D25" s="25">
        <v>832.48</v>
      </c>
      <c r="E25" s="25">
        <v>1950</v>
      </c>
      <c r="F25" s="25">
        <v>1340</v>
      </c>
      <c r="G25" s="25"/>
    </row>
    <row r="26" spans="1:7" x14ac:dyDescent="0.2">
      <c r="A26" s="27" t="s">
        <v>250</v>
      </c>
      <c r="B26" s="25">
        <v>171</v>
      </c>
      <c r="C26" s="25">
        <v>145.19999999999999</v>
      </c>
      <c r="D26" s="25">
        <v>161.1</v>
      </c>
      <c r="E26" s="25">
        <v>194.3</v>
      </c>
      <c r="F26" s="25">
        <v>203</v>
      </c>
      <c r="G26" s="25">
        <v>153</v>
      </c>
    </row>
    <row r="27" spans="1:7" x14ac:dyDescent="0.2">
      <c r="A27" s="27" t="s">
        <v>251</v>
      </c>
      <c r="B27" s="25">
        <v>263.39999999999998</v>
      </c>
      <c r="C27" s="25">
        <v>327.10000000000002</v>
      </c>
      <c r="D27" s="25">
        <v>385.9</v>
      </c>
      <c r="E27" s="25">
        <v>564.20000000000005</v>
      </c>
      <c r="F27" s="25">
        <v>792</v>
      </c>
      <c r="G27" s="25">
        <v>498</v>
      </c>
    </row>
    <row r="28" spans="1:7" x14ac:dyDescent="0.2">
      <c r="A28" s="27" t="s">
        <v>252</v>
      </c>
      <c r="B28" s="25">
        <v>0</v>
      </c>
      <c r="C28" s="25">
        <v>897.3</v>
      </c>
      <c r="D28" s="25">
        <v>0</v>
      </c>
      <c r="E28" s="25">
        <v>917.9</v>
      </c>
      <c r="F28" s="25">
        <v>0</v>
      </c>
      <c r="G28" s="25">
        <v>0</v>
      </c>
    </row>
    <row r="29" spans="1:7" x14ac:dyDescent="0.2">
      <c r="A29" s="27" t="s">
        <v>253</v>
      </c>
      <c r="B29" s="25">
        <v>85</v>
      </c>
      <c r="C29" s="25">
        <v>68</v>
      </c>
      <c r="D29" s="25">
        <v>170.4</v>
      </c>
      <c r="E29" s="25">
        <v>177.1</v>
      </c>
      <c r="F29" s="25">
        <v>222.3</v>
      </c>
      <c r="G29" s="25">
        <v>188</v>
      </c>
    </row>
    <row r="30" spans="1:7" x14ac:dyDescent="0.2">
      <c r="A30" s="27" t="s">
        <v>108</v>
      </c>
      <c r="B30" s="25">
        <v>27.82</v>
      </c>
      <c r="C30" s="25">
        <v>38.950000000000003</v>
      </c>
      <c r="D30" s="25">
        <v>68.989999999999995</v>
      </c>
      <c r="E30" s="25">
        <v>58.98</v>
      </c>
      <c r="F30" s="25">
        <v>78.540000000000006</v>
      </c>
      <c r="G30" s="25"/>
    </row>
    <row r="31" spans="1:7" x14ac:dyDescent="0.2">
      <c r="A31" s="27" t="s">
        <v>254</v>
      </c>
      <c r="B31" s="25">
        <v>36.1</v>
      </c>
      <c r="C31" s="25">
        <v>39.700000000000003</v>
      </c>
      <c r="D31" s="25">
        <v>46</v>
      </c>
      <c r="E31" s="25">
        <v>40.4</v>
      </c>
      <c r="F31" s="25">
        <v>47.8</v>
      </c>
      <c r="G31" s="25">
        <v>48</v>
      </c>
    </row>
    <row r="32" spans="1:7" x14ac:dyDescent="0.2">
      <c r="A32" s="27" t="s">
        <v>255</v>
      </c>
      <c r="B32" s="25">
        <v>27.8</v>
      </c>
      <c r="C32" s="25">
        <v>38.9</v>
      </c>
      <c r="D32" s="25">
        <v>69</v>
      </c>
      <c r="E32" s="25">
        <v>59</v>
      </c>
      <c r="F32" s="25">
        <v>78.5</v>
      </c>
      <c r="G32" s="25">
        <v>131</v>
      </c>
    </row>
    <row r="33" spans="1:7" x14ac:dyDescent="0.2">
      <c r="A33" s="27" t="s">
        <v>109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</row>
    <row r="34" spans="1:7" x14ac:dyDescent="0.2">
      <c r="A34" s="26" t="s">
        <v>110</v>
      </c>
      <c r="B34" s="25">
        <v>1780</v>
      </c>
      <c r="C34" s="25">
        <v>1840</v>
      </c>
      <c r="D34" s="25">
        <v>3170</v>
      </c>
      <c r="E34" s="25">
        <v>3460</v>
      </c>
      <c r="F34" s="25">
        <v>5410</v>
      </c>
      <c r="G34" s="25"/>
    </row>
    <row r="35" spans="1:7" x14ac:dyDescent="0.2">
      <c r="A35" s="27" t="s">
        <v>256</v>
      </c>
      <c r="B35" s="25">
        <v>1627.5</v>
      </c>
      <c r="C35" s="25">
        <v>1730.8</v>
      </c>
      <c r="D35" s="25">
        <v>2508.8000000000002</v>
      </c>
      <c r="E35" s="25">
        <v>2569</v>
      </c>
      <c r="F35" s="25">
        <v>4253</v>
      </c>
      <c r="G35" s="25">
        <v>5246.8</v>
      </c>
    </row>
    <row r="36" spans="1:7" x14ac:dyDescent="0.2">
      <c r="A36" s="27" t="s">
        <v>257</v>
      </c>
      <c r="B36" s="25">
        <v>81.3</v>
      </c>
      <c r="C36" s="25">
        <v>24.4</v>
      </c>
      <c r="D36" s="25">
        <v>609.20000000000005</v>
      </c>
      <c r="E36" s="25">
        <v>820</v>
      </c>
      <c r="F36" s="25">
        <v>1071.2</v>
      </c>
      <c r="G36" s="25">
        <v>1282.4000000000001</v>
      </c>
    </row>
    <row r="37" spans="1:7" x14ac:dyDescent="0.2">
      <c r="A37" s="27" t="s">
        <v>265</v>
      </c>
      <c r="B37" s="25">
        <v>0.2</v>
      </c>
      <c r="C37" s="25">
        <v>3.1</v>
      </c>
      <c r="D37" s="25">
        <v>6.4</v>
      </c>
      <c r="E37" s="25">
        <v>8</v>
      </c>
      <c r="F37" s="25">
        <v>8.6</v>
      </c>
      <c r="G37" s="25">
        <v>41.2</v>
      </c>
    </row>
    <row r="38" spans="1:7" x14ac:dyDescent="0.2">
      <c r="A38" s="27" t="s">
        <v>111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/>
    </row>
    <row r="39" spans="1:7" x14ac:dyDescent="0.2">
      <c r="A39" s="27" t="s">
        <v>112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/>
    </row>
    <row r="40" spans="1:7" x14ac:dyDescent="0.2">
      <c r="A40" s="27" t="s">
        <v>113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/>
    </row>
    <row r="41" spans="1:7" x14ac:dyDescent="0.2">
      <c r="A41" s="27" t="s">
        <v>114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/>
    </row>
    <row r="42" spans="1:7" x14ac:dyDescent="0.2">
      <c r="A42" s="27" t="s">
        <v>115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/>
    </row>
    <row r="43" spans="1:7" x14ac:dyDescent="0.2">
      <c r="A43" s="27" t="s">
        <v>116</v>
      </c>
      <c r="B43" s="25">
        <v>73</v>
      </c>
      <c r="C43" s="25">
        <v>82.3</v>
      </c>
      <c r="D43" s="25">
        <v>42.4</v>
      </c>
      <c r="E43" s="25">
        <v>59.4</v>
      </c>
      <c r="F43" s="25">
        <v>75.599999999999994</v>
      </c>
      <c r="G43" s="25">
        <v>59.1</v>
      </c>
    </row>
    <row r="44" spans="1:7" x14ac:dyDescent="0.2">
      <c r="A44" s="7" t="s">
        <v>117</v>
      </c>
      <c r="B44" s="23">
        <v>5050</v>
      </c>
      <c r="C44" s="23">
        <v>6810</v>
      </c>
      <c r="D44" s="23">
        <v>8700</v>
      </c>
      <c r="E44" s="23">
        <v>7970</v>
      </c>
      <c r="F44" s="23">
        <v>7310</v>
      </c>
      <c r="G44" s="23"/>
    </row>
    <row r="45" spans="1:7" x14ac:dyDescent="0.2">
      <c r="A45" s="26" t="s">
        <v>118</v>
      </c>
      <c r="B45" s="25">
        <v>5047.2</v>
      </c>
      <c r="C45" s="25">
        <v>6805.6</v>
      </c>
      <c r="D45" s="25">
        <v>8704.4</v>
      </c>
      <c r="E45" s="25">
        <v>7970.1</v>
      </c>
      <c r="F45" s="25">
        <v>7307.2</v>
      </c>
      <c r="G45" s="25">
        <v>5932</v>
      </c>
    </row>
    <row r="46" spans="1:7" x14ac:dyDescent="0.2">
      <c r="A46" s="27" t="s">
        <v>119</v>
      </c>
      <c r="B46" s="25">
        <v>4.0000000000000001E-3</v>
      </c>
      <c r="C46" s="25">
        <v>4.0000000000000001E-3</v>
      </c>
      <c r="D46" s="25">
        <v>4.0000000000000001E-3</v>
      </c>
      <c r="E46" s="25">
        <v>4.0000000000000001E-3</v>
      </c>
      <c r="F46" s="25">
        <v>4.0000000000000001E-3</v>
      </c>
      <c r="G46" s="25"/>
    </row>
    <row r="47" spans="1:7" x14ac:dyDescent="0.2">
      <c r="A47" s="27" t="s">
        <v>120</v>
      </c>
      <c r="B47" s="25">
        <v>7750</v>
      </c>
      <c r="C47" s="25">
        <v>8320</v>
      </c>
      <c r="D47" s="25">
        <v>8760</v>
      </c>
      <c r="E47" s="25">
        <v>9170</v>
      </c>
      <c r="F47" s="25">
        <v>8430</v>
      </c>
      <c r="G47" s="25"/>
    </row>
    <row r="48" spans="1:7" x14ac:dyDescent="0.2">
      <c r="A48" s="27" t="s">
        <v>121</v>
      </c>
      <c r="B48" s="25">
        <v>-2670</v>
      </c>
      <c r="C48" s="25">
        <v>-1450</v>
      </c>
      <c r="D48" s="25">
        <v>11590</v>
      </c>
      <c r="E48" s="25">
        <v>-1130</v>
      </c>
      <c r="F48" s="25">
        <v>-1000</v>
      </c>
      <c r="G48" s="25"/>
    </row>
    <row r="49" spans="1:7" x14ac:dyDescent="0.2">
      <c r="A49" s="27" t="s">
        <v>122</v>
      </c>
      <c r="B49" s="25">
        <v>0</v>
      </c>
      <c r="C49" s="25">
        <v>0</v>
      </c>
      <c r="D49" s="25">
        <v>0</v>
      </c>
      <c r="E49" s="25">
        <v>-5300</v>
      </c>
      <c r="F49" s="25">
        <v>-5290</v>
      </c>
      <c r="G49" s="25"/>
    </row>
    <row r="50" spans="1:7" x14ac:dyDescent="0.2">
      <c r="A50" s="27" t="s">
        <v>123</v>
      </c>
      <c r="B50" s="25">
        <v>-31.58</v>
      </c>
      <c r="C50" s="25">
        <v>-65.31</v>
      </c>
      <c r="D50" s="25">
        <v>-70.53</v>
      </c>
      <c r="E50" s="25">
        <v>-66.09</v>
      </c>
      <c r="F50" s="25">
        <v>-117.32</v>
      </c>
      <c r="G50" s="25"/>
    </row>
    <row r="51" spans="1:7" x14ac:dyDescent="0.2">
      <c r="A51" s="27" t="s">
        <v>124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/>
    </row>
    <row r="52" spans="1:7" x14ac:dyDescent="0.2">
      <c r="A52" s="27" t="s">
        <v>125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/>
    </row>
    <row r="53" spans="1:7" x14ac:dyDescent="0.2">
      <c r="A53" s="26" t="s">
        <v>126</v>
      </c>
      <c r="B53" s="25">
        <v>6670</v>
      </c>
      <c r="C53" s="25">
        <v>8540</v>
      </c>
      <c r="D53" s="25">
        <v>11210</v>
      </c>
      <c r="E53" s="25">
        <v>10540</v>
      </c>
      <c r="F53" s="25">
        <v>11560</v>
      </c>
      <c r="G53" s="25"/>
    </row>
    <row r="54" spans="1:7" x14ac:dyDescent="0.2">
      <c r="A54" s="26" t="s">
        <v>127</v>
      </c>
      <c r="B54" s="25" t="s">
        <v>44</v>
      </c>
      <c r="C54" s="25" t="s">
        <v>44</v>
      </c>
      <c r="D54" s="25" t="s">
        <v>44</v>
      </c>
      <c r="E54" s="25" t="s">
        <v>44</v>
      </c>
      <c r="F54" s="25" t="s">
        <v>44</v>
      </c>
      <c r="G54" s="25"/>
    </row>
    <row r="55" spans="1:7" x14ac:dyDescent="0.2">
      <c r="A55" s="26" t="s">
        <v>128</v>
      </c>
      <c r="B55" s="25">
        <v>166.28</v>
      </c>
      <c r="C55" s="25">
        <v>92.44</v>
      </c>
      <c r="D55" s="25">
        <v>779.68</v>
      </c>
      <c r="E55" s="25">
        <v>996.89</v>
      </c>
      <c r="F55" s="25">
        <v>1290</v>
      </c>
      <c r="G5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EF45-C09B-414F-ABA4-01E6579F44B0}">
  <sheetPr>
    <tabColor theme="4" tint="0.39997558519241921"/>
  </sheetPr>
  <dimension ref="A1:G48"/>
  <sheetViews>
    <sheetView showGridLines="0" topLeftCell="B1" workbookViewId="0">
      <selection activeCell="F7" sqref="F7"/>
    </sheetView>
    <sheetView workbookViewId="1"/>
  </sheetViews>
  <sheetFormatPr baseColWidth="10" defaultColWidth="8.83203125" defaultRowHeight="15" x14ac:dyDescent="0.2"/>
  <cols>
    <col min="1" max="1" width="44" bestFit="1" customWidth="1"/>
    <col min="2" max="7" width="14" style="29" customWidth="1"/>
  </cols>
  <sheetData>
    <row r="1" spans="1:7" s="20" customFormat="1" x14ac:dyDescent="0.2">
      <c r="A1" s="20" t="s">
        <v>129</v>
      </c>
      <c r="B1" s="21">
        <v>45277</v>
      </c>
      <c r="C1" s="21">
        <v>45278</v>
      </c>
      <c r="D1" s="21">
        <v>45279</v>
      </c>
      <c r="E1" s="21">
        <v>45280</v>
      </c>
      <c r="F1" s="21">
        <v>45281</v>
      </c>
      <c r="G1" s="21" t="s">
        <v>32</v>
      </c>
    </row>
    <row r="2" spans="1:7" x14ac:dyDescent="0.2">
      <c r="A2" s="7" t="s">
        <v>130</v>
      </c>
      <c r="B2" s="30">
        <v>831.21</v>
      </c>
      <c r="C2" s="23">
        <v>1340</v>
      </c>
      <c r="D2" s="23">
        <v>1300</v>
      </c>
      <c r="E2" s="23">
        <v>992.87</v>
      </c>
      <c r="F2" s="23">
        <v>632.69000000000005</v>
      </c>
      <c r="G2" s="23">
        <v>16.32</v>
      </c>
    </row>
    <row r="3" spans="1:7" x14ac:dyDescent="0.2">
      <c r="A3" s="26" t="s">
        <v>131</v>
      </c>
      <c r="B3" s="25">
        <v>831.21</v>
      </c>
      <c r="C3" s="25">
        <v>1340</v>
      </c>
      <c r="D3" s="25">
        <v>1300</v>
      </c>
      <c r="E3" s="25">
        <v>992.87</v>
      </c>
      <c r="F3" s="25">
        <v>632.69000000000005</v>
      </c>
      <c r="G3" s="25">
        <v>16.32</v>
      </c>
    </row>
    <row r="4" spans="1:7" x14ac:dyDescent="0.2">
      <c r="A4" s="27" t="s">
        <v>132</v>
      </c>
      <c r="B4" s="25">
        <v>-108.06</v>
      </c>
      <c r="C4" s="25">
        <v>1210</v>
      </c>
      <c r="D4" s="25">
        <v>1470</v>
      </c>
      <c r="E4" s="25">
        <v>-1140</v>
      </c>
      <c r="F4" s="25">
        <v>-221.41</v>
      </c>
      <c r="G4" s="25">
        <v>-111.78</v>
      </c>
    </row>
    <row r="5" spans="1:7" x14ac:dyDescent="0.2">
      <c r="A5" s="27" t="s">
        <v>133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-993.06</v>
      </c>
    </row>
    <row r="6" spans="1:7" x14ac:dyDescent="0.2">
      <c r="A6" s="27" t="s">
        <v>134</v>
      </c>
      <c r="B6" s="25">
        <v>395.87</v>
      </c>
      <c r="C6" s="25">
        <v>425.5</v>
      </c>
      <c r="D6" s="25">
        <v>465.55</v>
      </c>
      <c r="E6" s="25">
        <v>495.18</v>
      </c>
      <c r="F6" s="25">
        <v>544.85</v>
      </c>
      <c r="G6" s="25">
        <v>612.54999999999995</v>
      </c>
    </row>
    <row r="7" spans="1:7" x14ac:dyDescent="0.2">
      <c r="A7" s="34" t="s">
        <v>185</v>
      </c>
      <c r="B7" s="25">
        <v>252.85</v>
      </c>
      <c r="C7" s="25">
        <v>295</v>
      </c>
      <c r="D7" s="25">
        <v>333</v>
      </c>
      <c r="E7" s="25">
        <v>362</v>
      </c>
      <c r="F7" s="25">
        <v>383</v>
      </c>
      <c r="G7" s="25">
        <v>452</v>
      </c>
    </row>
    <row r="8" spans="1:7" x14ac:dyDescent="0.2">
      <c r="A8" s="34" t="s">
        <v>186</v>
      </c>
      <c r="B8" s="25">
        <v>177</v>
      </c>
      <c r="C8" s="25">
        <v>218</v>
      </c>
      <c r="D8" s="25">
        <v>229</v>
      </c>
      <c r="E8" s="25">
        <v>211</v>
      </c>
      <c r="F8" s="25">
        <v>121</v>
      </c>
      <c r="G8" s="25">
        <v>121</v>
      </c>
    </row>
    <row r="9" spans="1:7" x14ac:dyDescent="0.2">
      <c r="A9" s="34" t="s">
        <v>189</v>
      </c>
      <c r="B9" s="25">
        <v>46.5</v>
      </c>
      <c r="C9" s="25">
        <v>19</v>
      </c>
      <c r="D9" s="25">
        <v>16.5</v>
      </c>
      <c r="E9" s="25">
        <v>23.6</v>
      </c>
      <c r="F9" s="25">
        <v>41.5</v>
      </c>
      <c r="G9" s="25">
        <v>39.85</v>
      </c>
    </row>
    <row r="10" spans="1:7" x14ac:dyDescent="0.2">
      <c r="A10" s="27" t="s">
        <v>135</v>
      </c>
      <c r="B10" s="25">
        <v>-6.42</v>
      </c>
      <c r="C10" s="25">
        <v>-801.72</v>
      </c>
      <c r="D10" s="25">
        <v>-1120</v>
      </c>
      <c r="E10" s="25">
        <v>1060</v>
      </c>
      <c r="F10" s="25">
        <v>-228.77</v>
      </c>
      <c r="G10" s="25">
        <v>-74.61</v>
      </c>
    </row>
    <row r="11" spans="1:7" x14ac:dyDescent="0.2">
      <c r="A11" s="27" t="s">
        <v>136</v>
      </c>
      <c r="B11" s="25">
        <v>85.81</v>
      </c>
      <c r="C11" s="25">
        <v>90.18</v>
      </c>
      <c r="D11" s="25">
        <v>93.31</v>
      </c>
      <c r="E11" s="25">
        <v>90.97</v>
      </c>
      <c r="F11" s="25">
        <v>2.98</v>
      </c>
      <c r="G11" s="25">
        <v>2.4500000000000002</v>
      </c>
    </row>
    <row r="12" spans="1:7" x14ac:dyDescent="0.2">
      <c r="A12" s="27" t="s">
        <v>137</v>
      </c>
      <c r="B12" s="25">
        <v>-32.24</v>
      </c>
      <c r="C12" s="25">
        <v>89.32</v>
      </c>
      <c r="D12" s="25">
        <v>18.7</v>
      </c>
      <c r="E12" s="25">
        <v>-24.59</v>
      </c>
      <c r="F12" s="25">
        <v>5.03</v>
      </c>
      <c r="G12" s="25">
        <v>-170.81</v>
      </c>
    </row>
    <row r="13" spans="1:7" x14ac:dyDescent="0.2">
      <c r="A13" s="27" t="s">
        <v>138</v>
      </c>
      <c r="B13" s="25"/>
      <c r="C13" s="25">
        <v>0</v>
      </c>
      <c r="D13" s="25">
        <v>0</v>
      </c>
      <c r="E13" s="25">
        <v>0</v>
      </c>
      <c r="F13" s="25">
        <v>0</v>
      </c>
      <c r="G13" s="25" t="s">
        <v>44</v>
      </c>
    </row>
    <row r="14" spans="1:7" x14ac:dyDescent="0.2">
      <c r="A14" s="7" t="s">
        <v>139</v>
      </c>
      <c r="B14" s="30">
        <v>-116.53</v>
      </c>
      <c r="C14" s="23">
        <v>-2060</v>
      </c>
      <c r="D14" s="23">
        <v>-1120</v>
      </c>
      <c r="E14" s="23">
        <v>-1560</v>
      </c>
      <c r="F14" s="23">
        <v>52.62</v>
      </c>
      <c r="G14" s="23">
        <v>984.25</v>
      </c>
    </row>
    <row r="15" spans="1:7" x14ac:dyDescent="0.2">
      <c r="A15" s="26" t="s">
        <v>140</v>
      </c>
      <c r="B15" s="25">
        <v>-116.53</v>
      </c>
      <c r="C15" s="25">
        <v>-2060</v>
      </c>
      <c r="D15" s="25">
        <v>-1120</v>
      </c>
      <c r="E15" s="25">
        <v>-1560</v>
      </c>
      <c r="F15" s="25">
        <v>52.62</v>
      </c>
      <c r="G15" s="25">
        <v>984.25</v>
      </c>
    </row>
    <row r="16" spans="1:7" x14ac:dyDescent="0.2">
      <c r="A16" s="27" t="s">
        <v>141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 t="s">
        <v>44</v>
      </c>
    </row>
    <row r="17" spans="1:7" x14ac:dyDescent="0.2">
      <c r="A17" s="27" t="s">
        <v>142</v>
      </c>
      <c r="B17" s="25">
        <v>-157.96</v>
      </c>
      <c r="C17" s="25">
        <v>-470.86</v>
      </c>
      <c r="D17" s="25">
        <v>-534.53</v>
      </c>
      <c r="E17" s="25">
        <v>-864.18</v>
      </c>
      <c r="F17" s="25">
        <v>-1000</v>
      </c>
      <c r="G17" s="25">
        <v>-861.88</v>
      </c>
    </row>
    <row r="18" spans="1:7" x14ac:dyDescent="0.2">
      <c r="A18" s="27" t="s">
        <v>143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 t="s">
        <v>44</v>
      </c>
    </row>
    <row r="19" spans="1:7" x14ac:dyDescent="0.2">
      <c r="A19" s="27" t="s">
        <v>144</v>
      </c>
      <c r="B19" s="25">
        <v>0</v>
      </c>
      <c r="C19" s="25">
        <v>-33.57</v>
      </c>
      <c r="D19" s="25">
        <v>-29.66</v>
      </c>
      <c r="E19" s="25">
        <v>-48.02</v>
      </c>
      <c r="F19" s="25">
        <v>-32.700000000000003</v>
      </c>
      <c r="G19" s="25">
        <v>-19.14</v>
      </c>
    </row>
    <row r="20" spans="1:7" x14ac:dyDescent="0.2">
      <c r="A20" s="27" t="s">
        <v>145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 t="s">
        <v>44</v>
      </c>
    </row>
    <row r="21" spans="1:7" x14ac:dyDescent="0.2">
      <c r="A21" s="27" t="s">
        <v>146</v>
      </c>
      <c r="B21" s="25">
        <v>16.53</v>
      </c>
      <c r="C21" s="25">
        <v>-1550</v>
      </c>
      <c r="D21" s="25">
        <v>-554.05999999999995</v>
      </c>
      <c r="E21" s="25">
        <v>-637.32000000000005</v>
      </c>
      <c r="F21" s="25">
        <v>1140</v>
      </c>
      <c r="G21" s="25">
        <v>856.96</v>
      </c>
    </row>
    <row r="22" spans="1:7" x14ac:dyDescent="0.2">
      <c r="A22" s="27" t="s">
        <v>147</v>
      </c>
      <c r="B22" s="25">
        <v>24.9</v>
      </c>
      <c r="C22" s="25">
        <v>-5</v>
      </c>
      <c r="D22" s="25">
        <v>2.2799999999999998</v>
      </c>
      <c r="E22" s="25">
        <v>-11.05</v>
      </c>
      <c r="F22" s="25">
        <v>-50.06</v>
      </c>
      <c r="G22" s="25">
        <v>1010</v>
      </c>
    </row>
    <row r="23" spans="1:7" x14ac:dyDescent="0.2">
      <c r="A23" s="27" t="s">
        <v>148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 t="s">
        <v>44</v>
      </c>
    </row>
    <row r="24" spans="1:7" x14ac:dyDescent="0.2">
      <c r="A24" s="7" t="s">
        <v>149</v>
      </c>
      <c r="B24" s="30">
        <v>-78.37</v>
      </c>
      <c r="C24" s="23">
        <v>978.12</v>
      </c>
      <c r="D24" s="23">
        <v>-286.18</v>
      </c>
      <c r="E24" s="23">
        <v>755.31</v>
      </c>
      <c r="F24" s="23">
        <v>-472.82</v>
      </c>
      <c r="G24" s="23">
        <v>-2420</v>
      </c>
    </row>
    <row r="25" spans="1:7" x14ac:dyDescent="0.2">
      <c r="A25" s="26" t="s">
        <v>150</v>
      </c>
      <c r="B25" s="25">
        <v>-78.37</v>
      </c>
      <c r="C25" s="25">
        <v>978.12</v>
      </c>
      <c r="D25" s="25">
        <v>-286.18</v>
      </c>
      <c r="E25" s="25">
        <v>755.31</v>
      </c>
      <c r="F25" s="25">
        <v>-472.82</v>
      </c>
      <c r="G25" s="25">
        <v>-2420</v>
      </c>
    </row>
    <row r="26" spans="1:7" x14ac:dyDescent="0.2">
      <c r="A26" s="27" t="s">
        <v>151</v>
      </c>
      <c r="B26" s="25">
        <v>-102.78</v>
      </c>
      <c r="C26" s="25">
        <v>1060</v>
      </c>
      <c r="D26" s="25">
        <v>-301.68</v>
      </c>
      <c r="E26" s="25">
        <v>976.94</v>
      </c>
      <c r="F26" s="25">
        <v>482.94</v>
      </c>
      <c r="G26" s="25">
        <v>46</v>
      </c>
    </row>
    <row r="27" spans="1:7" x14ac:dyDescent="0.2">
      <c r="A27" s="27" t="s">
        <v>152</v>
      </c>
      <c r="B27" s="25">
        <v>23.92</v>
      </c>
      <c r="C27" s="25">
        <v>0</v>
      </c>
      <c r="D27" s="25">
        <v>0</v>
      </c>
      <c r="E27" s="25">
        <v>-245.29</v>
      </c>
      <c r="F27" s="25">
        <v>-930.53</v>
      </c>
      <c r="G27" s="25">
        <v>-2510</v>
      </c>
    </row>
    <row r="28" spans="1:7" x14ac:dyDescent="0.2">
      <c r="A28" s="27" t="s">
        <v>153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 t="s">
        <v>44</v>
      </c>
    </row>
    <row r="29" spans="1:7" x14ac:dyDescent="0.2">
      <c r="A29" s="27" t="s">
        <v>154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 t="s">
        <v>44</v>
      </c>
    </row>
    <row r="30" spans="1:7" x14ac:dyDescent="0.2">
      <c r="A30" s="27" t="s">
        <v>155</v>
      </c>
      <c r="B30" s="25">
        <v>33.36</v>
      </c>
      <c r="C30" s="25">
        <v>32.700000000000003</v>
      </c>
      <c r="D30" s="25">
        <v>43.17</v>
      </c>
      <c r="E30" s="25">
        <v>60.91</v>
      </c>
      <c r="F30" s="25">
        <v>231.99</v>
      </c>
      <c r="G30" s="25">
        <v>79.06</v>
      </c>
    </row>
    <row r="31" spans="1:7" x14ac:dyDescent="0.2">
      <c r="A31" s="27" t="s">
        <v>156</v>
      </c>
      <c r="B31" s="25">
        <v>-8.9600000000000009</v>
      </c>
      <c r="C31" s="25">
        <v>-114.24</v>
      </c>
      <c r="D31" s="25">
        <v>-27.66</v>
      </c>
      <c r="E31" s="25">
        <v>-37.25</v>
      </c>
      <c r="F31" s="25">
        <v>-257.22000000000003</v>
      </c>
      <c r="G31" s="25">
        <v>-35.9</v>
      </c>
    </row>
    <row r="32" spans="1:7" x14ac:dyDescent="0.2">
      <c r="A32" s="27" t="s">
        <v>157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 t="s">
        <v>44</v>
      </c>
    </row>
    <row r="33" spans="1:7" x14ac:dyDescent="0.2">
      <c r="A33" s="27" t="s">
        <v>158</v>
      </c>
      <c r="B33" s="25" t="s">
        <v>44</v>
      </c>
      <c r="C33" s="25" t="s">
        <v>44</v>
      </c>
      <c r="D33" s="25" t="s">
        <v>44</v>
      </c>
      <c r="E33" s="25" t="s">
        <v>44</v>
      </c>
      <c r="F33" s="25" t="s">
        <v>44</v>
      </c>
      <c r="G33" s="25" t="s">
        <v>44</v>
      </c>
    </row>
    <row r="34" spans="1:7" x14ac:dyDescent="0.2">
      <c r="A34" s="27" t="s">
        <v>159</v>
      </c>
      <c r="B34" s="25" t="s">
        <v>44</v>
      </c>
      <c r="C34" s="25" t="s">
        <v>44</v>
      </c>
      <c r="D34" s="25" t="s">
        <v>44</v>
      </c>
      <c r="E34" s="25" t="s">
        <v>44</v>
      </c>
      <c r="F34" s="25" t="s">
        <v>44</v>
      </c>
      <c r="G34" s="25" t="s">
        <v>44</v>
      </c>
    </row>
    <row r="35" spans="1:7" x14ac:dyDescent="0.2">
      <c r="A35" s="7" t="s">
        <v>160</v>
      </c>
      <c r="B35" s="30">
        <v>1670</v>
      </c>
      <c r="C35" s="23">
        <v>1920</v>
      </c>
      <c r="D35" s="23">
        <v>1830</v>
      </c>
      <c r="E35" s="23">
        <v>2009.9999999999998</v>
      </c>
      <c r="F35" s="23">
        <v>2210</v>
      </c>
      <c r="G35" s="23">
        <v>10720</v>
      </c>
    </row>
    <row r="36" spans="1:7" x14ac:dyDescent="0.2">
      <c r="A36" s="27" t="s">
        <v>161</v>
      </c>
      <c r="B36" s="25">
        <v>636.30999999999995</v>
      </c>
      <c r="C36" s="25">
        <v>262.31</v>
      </c>
      <c r="D36" s="25">
        <v>-98.78</v>
      </c>
      <c r="E36" s="25">
        <v>187.62</v>
      </c>
      <c r="F36" s="25">
        <v>212.49</v>
      </c>
      <c r="G36" s="25">
        <v>-1420</v>
      </c>
    </row>
    <row r="37" spans="1:7" x14ac:dyDescent="0.2">
      <c r="A37" s="27" t="s">
        <v>162</v>
      </c>
      <c r="B37" s="25">
        <v>9.91</v>
      </c>
      <c r="C37" s="25">
        <v>-14.3</v>
      </c>
      <c r="D37" s="25">
        <v>4.58</v>
      </c>
      <c r="E37" s="25">
        <v>-4</v>
      </c>
      <c r="F37" s="25">
        <v>-13.08</v>
      </c>
      <c r="G37" s="25">
        <v>-20.73</v>
      </c>
    </row>
    <row r="38" spans="1:7" x14ac:dyDescent="0.2">
      <c r="A38" s="27" t="s">
        <v>163</v>
      </c>
      <c r="B38" s="25">
        <v>1030</v>
      </c>
      <c r="C38" s="25">
        <v>1670</v>
      </c>
      <c r="D38" s="25">
        <v>1920</v>
      </c>
      <c r="E38" s="25">
        <v>1830</v>
      </c>
      <c r="F38" s="25">
        <v>2009.9999999999998</v>
      </c>
      <c r="G38" s="25">
        <v>12160</v>
      </c>
    </row>
    <row r="39" spans="1:7" x14ac:dyDescent="0.2">
      <c r="A39" s="27" t="s">
        <v>164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 t="s">
        <v>44</v>
      </c>
    </row>
    <row r="40" spans="1:7" x14ac:dyDescent="0.2">
      <c r="A40" s="26" t="s">
        <v>165</v>
      </c>
      <c r="B40" s="25">
        <v>16.22</v>
      </c>
      <c r="C40" s="25">
        <v>33.06</v>
      </c>
      <c r="D40" s="25">
        <v>20.14</v>
      </c>
      <c r="E40" s="25">
        <v>11.48</v>
      </c>
      <c r="F40" s="25">
        <v>113.53</v>
      </c>
      <c r="G40" s="25" t="s">
        <v>44</v>
      </c>
    </row>
    <row r="41" spans="1:7" x14ac:dyDescent="0.2">
      <c r="A41" s="26" t="s">
        <v>166</v>
      </c>
      <c r="B41" s="25">
        <v>13.99</v>
      </c>
      <c r="C41" s="25">
        <v>14.55</v>
      </c>
      <c r="D41" s="25">
        <v>12.24</v>
      </c>
      <c r="E41" s="25">
        <v>38.51</v>
      </c>
      <c r="F41" s="25">
        <v>41.75</v>
      </c>
      <c r="G41" s="25" t="s">
        <v>44</v>
      </c>
    </row>
    <row r="42" spans="1:7" x14ac:dyDescent="0.2">
      <c r="A42" s="26" t="s">
        <v>167</v>
      </c>
      <c r="B42" s="25">
        <v>23.92</v>
      </c>
      <c r="C42" s="25">
        <v>29.29</v>
      </c>
      <c r="D42" s="25">
        <v>42.38</v>
      </c>
      <c r="E42" s="25" t="s">
        <v>44</v>
      </c>
      <c r="F42" s="25" t="s">
        <v>44</v>
      </c>
      <c r="G42" s="25" t="s">
        <v>44</v>
      </c>
    </row>
    <row r="43" spans="1:7" x14ac:dyDescent="0.2">
      <c r="A43" s="26" t="s">
        <v>168</v>
      </c>
      <c r="B43" s="25">
        <v>0</v>
      </c>
      <c r="C43" s="25">
        <v>1150</v>
      </c>
      <c r="D43" s="25">
        <v>700</v>
      </c>
      <c r="E43" s="25">
        <v>1000</v>
      </c>
      <c r="F43" s="25">
        <v>1440</v>
      </c>
      <c r="G43" s="25">
        <v>1000</v>
      </c>
    </row>
    <row r="44" spans="1:7" x14ac:dyDescent="0.2">
      <c r="A44" s="26" t="s">
        <v>169</v>
      </c>
      <c r="B44" s="25">
        <v>-102.78</v>
      </c>
      <c r="C44" s="25">
        <v>-90.35</v>
      </c>
      <c r="D44" s="25">
        <v>-1000</v>
      </c>
      <c r="E44" s="25">
        <v>-23.06</v>
      </c>
      <c r="F44" s="25">
        <v>-954.57</v>
      </c>
      <c r="G44" s="25">
        <v>-954</v>
      </c>
    </row>
    <row r="45" spans="1:7" x14ac:dyDescent="0.2">
      <c r="A45" s="7" t="s">
        <v>170</v>
      </c>
      <c r="B45" s="30">
        <v>670.47</v>
      </c>
      <c r="C45" s="23">
        <v>855.78</v>
      </c>
      <c r="D45" s="23">
        <v>762.68</v>
      </c>
      <c r="E45" s="23">
        <v>119.52</v>
      </c>
      <c r="F45" s="23">
        <v>-378.86</v>
      </c>
      <c r="G45" s="23">
        <v>-852.51</v>
      </c>
    </row>
    <row r="46" spans="1:7" x14ac:dyDescent="0.2">
      <c r="A46" s="26" t="s">
        <v>171</v>
      </c>
      <c r="B46" s="25" t="s">
        <v>44</v>
      </c>
      <c r="C46" s="25" t="s">
        <v>44</v>
      </c>
      <c r="D46" s="25" t="s">
        <v>44</v>
      </c>
      <c r="E46" s="25" t="s">
        <v>44</v>
      </c>
      <c r="F46" s="25" t="s">
        <v>44</v>
      </c>
      <c r="G46" s="25" t="s">
        <v>44</v>
      </c>
    </row>
    <row r="47" spans="1:7" x14ac:dyDescent="0.2">
      <c r="A47" s="26" t="s">
        <v>172</v>
      </c>
      <c r="B47" s="25" t="s">
        <v>44</v>
      </c>
      <c r="C47" s="25" t="s">
        <v>44</v>
      </c>
      <c r="D47" s="25" t="s">
        <v>44</v>
      </c>
      <c r="E47" s="25" t="s">
        <v>44</v>
      </c>
      <c r="F47" s="25" t="s">
        <v>44</v>
      </c>
      <c r="G47" s="25" t="s">
        <v>44</v>
      </c>
    </row>
    <row r="48" spans="1:7" x14ac:dyDescent="0.2">
      <c r="A48" t="s">
        <v>173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26AA-6A70-4DDC-8FCD-A98D2297C298}">
  <sheetPr>
    <tabColor theme="4" tint="-0.499984740745262"/>
  </sheetPr>
  <dimension ref="A1:G56"/>
  <sheetViews>
    <sheetView showGridLines="0" workbookViewId="0">
      <selection activeCell="G1" sqref="G1:G1048576"/>
    </sheetView>
    <sheetView workbookViewId="1">
      <selection activeCell="F7" sqref="F7"/>
    </sheetView>
  </sheetViews>
  <sheetFormatPr baseColWidth="10" defaultColWidth="8.83203125" defaultRowHeight="15" x14ac:dyDescent="0.2"/>
  <cols>
    <col min="1" max="1" width="49.1640625" bestFit="1" customWidth="1"/>
    <col min="2" max="3" width="9.83203125" style="29" bestFit="1" customWidth="1"/>
    <col min="4" max="4" width="10.1640625" style="29" bestFit="1" customWidth="1"/>
    <col min="5" max="7" width="9.83203125" style="29" bestFit="1" customWidth="1"/>
  </cols>
  <sheetData>
    <row r="1" spans="1:7" s="22" customFormat="1" x14ac:dyDescent="0.2">
      <c r="A1" s="20" t="s">
        <v>17</v>
      </c>
      <c r="B1" s="21">
        <v>45277</v>
      </c>
      <c r="C1" s="21">
        <v>45278</v>
      </c>
      <c r="D1" s="21">
        <v>45279</v>
      </c>
      <c r="E1" s="21">
        <v>45280</v>
      </c>
      <c r="F1" s="21">
        <v>45281</v>
      </c>
      <c r="G1" s="21" t="s">
        <v>32</v>
      </c>
    </row>
    <row r="2" spans="1:7" x14ac:dyDescent="0.2">
      <c r="A2" s="7" t="s">
        <v>33</v>
      </c>
      <c r="B2" s="23">
        <v>2443</v>
      </c>
      <c r="C2" s="23">
        <v>3042</v>
      </c>
      <c r="D2" s="23">
        <v>3459</v>
      </c>
      <c r="E2" s="23">
        <v>3716</v>
      </c>
      <c r="F2" s="23">
        <v>5077</v>
      </c>
      <c r="G2" s="23">
        <v>5229</v>
      </c>
    </row>
    <row r="3" spans="1:7" x14ac:dyDescent="0.2">
      <c r="A3" s="24" t="s">
        <v>34</v>
      </c>
      <c r="B3" s="25">
        <v>2443</v>
      </c>
      <c r="C3" s="25">
        <v>3042</v>
      </c>
      <c r="D3" s="25">
        <v>3459</v>
      </c>
      <c r="E3" s="25">
        <v>3716</v>
      </c>
      <c r="F3" s="25">
        <v>5077</v>
      </c>
      <c r="G3" s="25">
        <v>5229</v>
      </c>
    </row>
    <row r="4" spans="1:7" x14ac:dyDescent="0.2">
      <c r="A4" s="24" t="s">
        <v>35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/>
    </row>
    <row r="5" spans="1:7" x14ac:dyDescent="0.2">
      <c r="A5" s="26" t="s">
        <v>36</v>
      </c>
      <c r="B5" s="25">
        <v>861</v>
      </c>
      <c r="C5" s="25">
        <v>965</v>
      </c>
      <c r="D5" s="25">
        <v>1137</v>
      </c>
      <c r="E5" s="25">
        <v>1366</v>
      </c>
      <c r="F5" s="25">
        <v>1798</v>
      </c>
      <c r="G5" s="25">
        <v>2048</v>
      </c>
    </row>
    <row r="6" spans="1:7" x14ac:dyDescent="0.2">
      <c r="A6" s="7" t="s">
        <v>37</v>
      </c>
      <c r="B6" s="23">
        <v>1582</v>
      </c>
      <c r="C6" s="23">
        <v>2077</v>
      </c>
      <c r="D6" s="23">
        <v>2322</v>
      </c>
      <c r="E6" s="23">
        <v>2350</v>
      </c>
      <c r="F6" s="23">
        <v>3280</v>
      </c>
      <c r="G6" s="23">
        <v>3181</v>
      </c>
    </row>
    <row r="7" spans="1:7" x14ac:dyDescent="0.2">
      <c r="A7" s="26" t="s">
        <v>38</v>
      </c>
      <c r="B7" s="25">
        <v>1582</v>
      </c>
      <c r="C7" s="25">
        <v>2077</v>
      </c>
      <c r="D7" s="25">
        <v>2322</v>
      </c>
      <c r="E7" s="25">
        <v>2350</v>
      </c>
      <c r="F7" s="25">
        <v>3280</v>
      </c>
      <c r="G7" s="25">
        <v>3181</v>
      </c>
    </row>
    <row r="8" spans="1:7" x14ac:dyDescent="0.2">
      <c r="A8" s="27" t="s">
        <v>39</v>
      </c>
      <c r="B8" s="25">
        <v>1001.5</v>
      </c>
      <c r="C8" s="25">
        <v>1070.5</v>
      </c>
      <c r="D8" s="25">
        <v>1273</v>
      </c>
      <c r="E8" s="25">
        <v>1450</v>
      </c>
      <c r="F8" s="25">
        <v>1760.5</v>
      </c>
      <c r="G8" s="25">
        <v>1939</v>
      </c>
    </row>
    <row r="9" spans="1:7" x14ac:dyDescent="0.2">
      <c r="A9" s="27" t="s">
        <v>40</v>
      </c>
      <c r="B9" s="25">
        <v>283.89</v>
      </c>
      <c r="C9" s="25">
        <v>298.82</v>
      </c>
      <c r="D9" s="25">
        <v>359.82</v>
      </c>
      <c r="E9" s="25">
        <v>562.42999999999995</v>
      </c>
      <c r="F9" s="25">
        <v>584.34</v>
      </c>
      <c r="G9" s="25">
        <v>691.78</v>
      </c>
    </row>
    <row r="10" spans="1:7" x14ac:dyDescent="0.2">
      <c r="A10" s="27" t="s">
        <v>41</v>
      </c>
      <c r="B10" s="25">
        <v>717.42</v>
      </c>
      <c r="C10" s="25">
        <v>771.36</v>
      </c>
      <c r="D10" s="25">
        <v>913.81</v>
      </c>
      <c r="E10" s="25">
        <v>887.86</v>
      </c>
      <c r="F10" s="25">
        <v>1180</v>
      </c>
      <c r="G10" s="25">
        <v>1250</v>
      </c>
    </row>
    <row r="11" spans="1:7" x14ac:dyDescent="0.2">
      <c r="A11" s="27" t="s">
        <v>42</v>
      </c>
      <c r="B11" s="25">
        <v>542.01</v>
      </c>
      <c r="C11" s="25">
        <v>553.86</v>
      </c>
      <c r="D11" s="25">
        <v>682.28</v>
      </c>
      <c r="E11" s="25">
        <v>873.01</v>
      </c>
      <c r="F11" s="25">
        <v>1247</v>
      </c>
      <c r="G11" s="25">
        <v>1523</v>
      </c>
    </row>
    <row r="12" spans="1:7" x14ac:dyDescent="0.2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 t="s">
        <v>44</v>
      </c>
    </row>
    <row r="13" spans="1:7" x14ac:dyDescent="0.2">
      <c r="A13" s="27" t="s">
        <v>30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 t="s">
        <v>44</v>
      </c>
    </row>
    <row r="14" spans="1:7" x14ac:dyDescent="0.2">
      <c r="A14" s="27" t="s">
        <v>31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 t="s">
        <v>44</v>
      </c>
    </row>
    <row r="15" spans="1:7" x14ac:dyDescent="0.2">
      <c r="A15" s="27" t="s">
        <v>45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 t="s">
        <v>44</v>
      </c>
    </row>
    <row r="16" spans="1:7" x14ac:dyDescent="0.2">
      <c r="A16" s="27" t="s">
        <v>46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 t="s">
        <v>44</v>
      </c>
    </row>
    <row r="17" spans="1:7" x14ac:dyDescent="0.2">
      <c r="A17" s="27" t="s">
        <v>47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 t="s">
        <v>44</v>
      </c>
    </row>
    <row r="18" spans="1:7" x14ac:dyDescent="0.2">
      <c r="A18" s="7" t="s">
        <v>48</v>
      </c>
      <c r="B18" s="23">
        <v>38.74</v>
      </c>
      <c r="C18" s="23">
        <v>453.32</v>
      </c>
      <c r="D18" s="23">
        <v>366.37</v>
      </c>
      <c r="E18" s="23">
        <v>26.66</v>
      </c>
      <c r="F18" s="23">
        <v>272.95999999999998</v>
      </c>
      <c r="G18" s="23">
        <v>-281.07</v>
      </c>
    </row>
    <row r="19" spans="1:7" x14ac:dyDescent="0.2">
      <c r="A19" s="26" t="s">
        <v>49</v>
      </c>
      <c r="B19" s="25">
        <v>-60.85</v>
      </c>
      <c r="C19" s="25">
        <v>-21.39</v>
      </c>
      <c r="D19" s="25">
        <v>19.52</v>
      </c>
      <c r="E19" s="25">
        <v>-64.7</v>
      </c>
      <c r="F19" s="25">
        <v>-15.5</v>
      </c>
      <c r="G19" s="25">
        <v>-25.86</v>
      </c>
    </row>
    <row r="20" spans="1:7" x14ac:dyDescent="0.2">
      <c r="A20" s="24" t="s">
        <v>50</v>
      </c>
      <c r="B20" s="25">
        <v>44.38</v>
      </c>
      <c r="C20" s="25">
        <v>111.22</v>
      </c>
      <c r="D20" s="25">
        <v>157.69999999999999</v>
      </c>
      <c r="E20" s="25">
        <v>88.18</v>
      </c>
      <c r="F20" s="25">
        <v>35.68</v>
      </c>
      <c r="G20" s="25">
        <v>37.04</v>
      </c>
    </row>
    <row r="21" spans="1:7" x14ac:dyDescent="0.2">
      <c r="A21" s="24" t="s">
        <v>51</v>
      </c>
      <c r="B21" s="25">
        <v>105.24</v>
      </c>
      <c r="C21" s="25">
        <v>132.61000000000001</v>
      </c>
      <c r="D21" s="25">
        <v>138.18</v>
      </c>
      <c r="E21" s="25">
        <v>152.88</v>
      </c>
      <c r="F21" s="25">
        <v>51.19</v>
      </c>
      <c r="G21" s="25">
        <v>62.89</v>
      </c>
    </row>
    <row r="22" spans="1:7" x14ac:dyDescent="0.2">
      <c r="A22" s="26" t="s">
        <v>52</v>
      </c>
      <c r="B22" s="25">
        <v>-73.3</v>
      </c>
      <c r="C22" s="25">
        <v>-8.4</v>
      </c>
      <c r="D22" s="25">
        <v>4.24</v>
      </c>
      <c r="E22" s="25">
        <v>-12.9</v>
      </c>
      <c r="F22" s="25">
        <v>-668.57</v>
      </c>
      <c r="G22" s="25">
        <v>257.26</v>
      </c>
    </row>
    <row r="23" spans="1:7" x14ac:dyDescent="0.2">
      <c r="A23" s="24" t="s">
        <v>197</v>
      </c>
      <c r="B23" s="25">
        <v>8.3000000000000007</v>
      </c>
      <c r="C23" s="25">
        <v>-11.6</v>
      </c>
      <c r="D23" s="25">
        <v>-7.2</v>
      </c>
      <c r="E23" s="25">
        <v>-8.1</v>
      </c>
      <c r="F23" s="25">
        <v>4</v>
      </c>
      <c r="G23" s="25">
        <v>7</v>
      </c>
    </row>
    <row r="24" spans="1:7" x14ac:dyDescent="0.2">
      <c r="A24" s="24" t="s">
        <v>198</v>
      </c>
      <c r="B24" s="25">
        <v>-19.2</v>
      </c>
      <c r="C24" s="25">
        <v>6.2</v>
      </c>
      <c r="D24" s="25">
        <v>2.8</v>
      </c>
      <c r="E24" s="25">
        <v>4</v>
      </c>
      <c r="F24" s="25">
        <v>-8.5</v>
      </c>
      <c r="G24" s="25">
        <v>-27</v>
      </c>
    </row>
    <row r="25" spans="1:7" x14ac:dyDescent="0.2">
      <c r="A25" s="24" t="s">
        <v>200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</row>
    <row r="26" spans="1:7" x14ac:dyDescent="0.2">
      <c r="A26" s="24" t="s">
        <v>201</v>
      </c>
      <c r="B26" s="25">
        <v>-62.4</v>
      </c>
      <c r="C26" s="25">
        <v>-3</v>
      </c>
      <c r="D26" s="25">
        <v>8.6999999999999993</v>
      </c>
      <c r="E26" s="25">
        <v>-8.8000000000000007</v>
      </c>
      <c r="F26" s="25">
        <v>101.6</v>
      </c>
      <c r="G26" s="25">
        <v>72.3</v>
      </c>
    </row>
    <row r="27" spans="1:7" x14ac:dyDescent="0.2">
      <c r="A27" s="24" t="s">
        <v>202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970</v>
      </c>
    </row>
    <row r="28" spans="1:7" x14ac:dyDescent="0.2">
      <c r="A28" s="24" t="s">
        <v>203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 t="s">
        <v>44</v>
      </c>
    </row>
    <row r="29" spans="1:7" x14ac:dyDescent="0.2">
      <c r="A29" s="24" t="s">
        <v>53</v>
      </c>
      <c r="B29" s="25">
        <v>0</v>
      </c>
      <c r="C29" s="25">
        <v>0</v>
      </c>
      <c r="D29" s="25">
        <v>0</v>
      </c>
      <c r="E29" s="25">
        <v>0</v>
      </c>
      <c r="F29" s="25">
        <v>-765.7</v>
      </c>
      <c r="G29" s="25">
        <v>-765.7</v>
      </c>
    </row>
    <row r="30" spans="1:7" x14ac:dyDescent="0.2">
      <c r="A30" s="7" t="s">
        <v>54</v>
      </c>
      <c r="B30" s="23">
        <v>-95.42</v>
      </c>
      <c r="C30" s="23">
        <v>423.54</v>
      </c>
      <c r="D30" s="23">
        <v>390.14</v>
      </c>
      <c r="E30" s="23">
        <v>-50.94</v>
      </c>
      <c r="F30" s="23">
        <v>-411.11</v>
      </c>
      <c r="G30" s="23">
        <v>-49.67</v>
      </c>
    </row>
    <row r="31" spans="1:7" x14ac:dyDescent="0.2">
      <c r="A31" t="s">
        <v>55</v>
      </c>
      <c r="B31" s="25">
        <v>12.64</v>
      </c>
      <c r="C31" s="25">
        <v>-782.05</v>
      </c>
      <c r="D31" s="25">
        <v>-1075.5</v>
      </c>
      <c r="E31" s="25">
        <v>1084.7</v>
      </c>
      <c r="F31" s="25">
        <v>189.7</v>
      </c>
      <c r="G31" s="25">
        <v>62.12</v>
      </c>
    </row>
    <row r="32" spans="1:7" x14ac:dyDescent="0.2">
      <c r="A32" t="s">
        <v>56</v>
      </c>
      <c r="B32" s="25" t="s">
        <v>44</v>
      </c>
      <c r="C32" s="25" t="s">
        <v>44</v>
      </c>
      <c r="D32" s="25" t="s">
        <v>44</v>
      </c>
      <c r="E32" s="25" t="s">
        <v>44</v>
      </c>
      <c r="F32" s="25" t="s">
        <v>44</v>
      </c>
      <c r="G32" s="25" t="s">
        <v>44</v>
      </c>
    </row>
    <row r="33" spans="1:7" x14ac:dyDescent="0.2">
      <c r="A33" s="7" t="s">
        <v>57</v>
      </c>
      <c r="B33" s="23">
        <v>-108.06</v>
      </c>
      <c r="C33" s="23">
        <v>1210</v>
      </c>
      <c r="D33" s="23">
        <v>1470</v>
      </c>
      <c r="E33" s="23">
        <v>-1140</v>
      </c>
      <c r="F33" s="23">
        <v>-221.41</v>
      </c>
      <c r="G33" s="23">
        <v>-111.78</v>
      </c>
    </row>
    <row r="34" spans="1:7" x14ac:dyDescent="0.2">
      <c r="A34" s="28" t="s">
        <v>58</v>
      </c>
      <c r="B34" s="25">
        <v>-0.15</v>
      </c>
      <c r="C34" s="25">
        <v>1.6</v>
      </c>
      <c r="D34" s="25">
        <v>1.9</v>
      </c>
      <c r="E34" s="25">
        <v>-1.44</v>
      </c>
      <c r="F34" s="25">
        <v>-0.28000000000000003</v>
      </c>
      <c r="G34" s="25">
        <v>-0.13</v>
      </c>
    </row>
    <row r="35" spans="1:7" x14ac:dyDescent="0.2">
      <c r="A35" s="27" t="s">
        <v>59</v>
      </c>
      <c r="B35" s="25">
        <v>-0.15</v>
      </c>
      <c r="C35" s="25">
        <v>1.6</v>
      </c>
      <c r="D35" s="25">
        <v>1.9</v>
      </c>
      <c r="E35" s="25">
        <v>-1.44</v>
      </c>
      <c r="F35" s="25">
        <v>-0.28000000000000003</v>
      </c>
      <c r="G35" s="25">
        <v>-0.13</v>
      </c>
    </row>
    <row r="36" spans="1:7" x14ac:dyDescent="0.2">
      <c r="A36" s="27" t="s">
        <v>60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 t="s">
        <v>44</v>
      </c>
    </row>
    <row r="37" spans="1:7" x14ac:dyDescent="0.2">
      <c r="A37" s="27" t="s">
        <v>61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 t="s">
        <v>44</v>
      </c>
    </row>
    <row r="38" spans="1:7" x14ac:dyDescent="0.2">
      <c r="A38" s="27" t="s">
        <v>62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 t="s">
        <v>44</v>
      </c>
    </row>
    <row r="39" spans="1:7" x14ac:dyDescent="0.2">
      <c r="A39" s="28" t="s">
        <v>63</v>
      </c>
      <c r="B39" s="25">
        <v>-0.15</v>
      </c>
      <c r="C39" s="25">
        <v>1.56</v>
      </c>
      <c r="D39" s="25">
        <v>1.87</v>
      </c>
      <c r="E39" s="25">
        <v>-1.44</v>
      </c>
      <c r="F39" s="25">
        <v>-0.28000000000000003</v>
      </c>
      <c r="G39" s="25">
        <v>-0.2</v>
      </c>
    </row>
    <row r="40" spans="1:7" x14ac:dyDescent="0.2">
      <c r="A40" s="27" t="s">
        <v>64</v>
      </c>
      <c r="B40" s="25">
        <v>-0.15</v>
      </c>
      <c r="C40" s="25">
        <v>1.56</v>
      </c>
      <c r="D40" s="25">
        <v>1.87</v>
      </c>
      <c r="E40" s="25">
        <v>-1.44</v>
      </c>
      <c r="F40" s="25">
        <v>-0.28000000000000003</v>
      </c>
      <c r="G40" s="25">
        <v>-0.2</v>
      </c>
    </row>
    <row r="41" spans="1:7" x14ac:dyDescent="0.2">
      <c r="A41" s="27" t="s">
        <v>65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 t="s">
        <v>44</v>
      </c>
    </row>
    <row r="42" spans="1:7" x14ac:dyDescent="0.2">
      <c r="A42" s="27" t="s">
        <v>66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 t="s">
        <v>44</v>
      </c>
    </row>
    <row r="43" spans="1:7" x14ac:dyDescent="0.2">
      <c r="A43" s="27" t="s">
        <v>67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 t="s">
        <v>44</v>
      </c>
    </row>
    <row r="44" spans="1:7" x14ac:dyDescent="0.2">
      <c r="A44" t="s">
        <v>68</v>
      </c>
      <c r="B44" s="25">
        <v>732.7</v>
      </c>
      <c r="C44" s="25">
        <v>754.33</v>
      </c>
      <c r="D44" s="25">
        <v>770.73</v>
      </c>
      <c r="E44" s="25">
        <v>787.86</v>
      </c>
      <c r="F44" s="25">
        <v>797.57</v>
      </c>
      <c r="G44" s="25">
        <v>3140</v>
      </c>
    </row>
    <row r="45" spans="1:7" x14ac:dyDescent="0.2">
      <c r="A45" t="s">
        <v>69</v>
      </c>
      <c r="B45" s="25">
        <v>732.7</v>
      </c>
      <c r="C45" s="25">
        <v>772.69</v>
      </c>
      <c r="D45" s="25">
        <v>785.53</v>
      </c>
      <c r="E45" s="25">
        <v>787.86</v>
      </c>
      <c r="F45" s="25">
        <v>797.57</v>
      </c>
      <c r="G45" s="25">
        <v>3200</v>
      </c>
    </row>
    <row r="46" spans="1:7" x14ac:dyDescent="0.2">
      <c r="A46" t="s">
        <v>70</v>
      </c>
      <c r="B46" s="25" t="s">
        <v>44</v>
      </c>
      <c r="C46" s="25" t="s">
        <v>44</v>
      </c>
      <c r="D46" s="25" t="s">
        <v>44</v>
      </c>
      <c r="E46" s="25" t="s">
        <v>44</v>
      </c>
      <c r="F46" s="25" t="s">
        <v>44</v>
      </c>
      <c r="G46" s="25" t="s">
        <v>44</v>
      </c>
    </row>
    <row r="47" spans="1:7" x14ac:dyDescent="0.2">
      <c r="A47" t="s">
        <v>71</v>
      </c>
      <c r="B47" s="25" t="s">
        <v>44</v>
      </c>
      <c r="C47" s="25" t="s">
        <v>44</v>
      </c>
      <c r="D47" s="25" t="s">
        <v>44</v>
      </c>
      <c r="E47" s="25" t="s">
        <v>44</v>
      </c>
      <c r="F47" s="25" t="s">
        <v>44</v>
      </c>
      <c r="G47" s="25" t="s">
        <v>44</v>
      </c>
    </row>
    <row r="48" spans="1:7" x14ac:dyDescent="0.2">
      <c r="A48" t="s">
        <v>72</v>
      </c>
      <c r="B48" s="25" t="s">
        <v>44</v>
      </c>
      <c r="C48" s="25" t="s">
        <v>44</v>
      </c>
      <c r="D48" s="25" t="s">
        <v>44</v>
      </c>
      <c r="E48" s="25" t="s">
        <v>44</v>
      </c>
      <c r="F48" s="25" t="s">
        <v>44</v>
      </c>
      <c r="G48" s="25" t="s">
        <v>44</v>
      </c>
    </row>
    <row r="49" spans="1:7" x14ac:dyDescent="0.2">
      <c r="A49" t="s">
        <v>73</v>
      </c>
      <c r="B49" s="25">
        <v>0.44</v>
      </c>
      <c r="C49" s="25">
        <v>0.86</v>
      </c>
      <c r="D49" s="25">
        <v>2.37</v>
      </c>
      <c r="E49" s="25">
        <v>-0.87</v>
      </c>
      <c r="F49" s="25">
        <v>0.2</v>
      </c>
      <c r="G49" s="25">
        <v>0.48</v>
      </c>
    </row>
    <row r="50" spans="1:7" x14ac:dyDescent="0.2">
      <c r="A50" t="s">
        <v>74</v>
      </c>
      <c r="B50" s="25" t="s">
        <v>44</v>
      </c>
      <c r="C50" s="25" t="s">
        <v>44</v>
      </c>
      <c r="D50" s="25" t="s">
        <v>44</v>
      </c>
      <c r="E50" s="25" t="s">
        <v>44</v>
      </c>
      <c r="F50" s="25" t="s">
        <v>44</v>
      </c>
      <c r="G50" s="25" t="s">
        <v>44</v>
      </c>
    </row>
    <row r="51" spans="1:7" x14ac:dyDescent="0.2">
      <c r="A51" t="s">
        <v>75</v>
      </c>
      <c r="B51" s="25">
        <v>2400</v>
      </c>
      <c r="C51" s="25">
        <v>2590</v>
      </c>
      <c r="D51" s="25">
        <v>3090</v>
      </c>
      <c r="E51" s="25">
        <v>3690</v>
      </c>
      <c r="F51" s="25">
        <v>4800</v>
      </c>
      <c r="G51" s="25">
        <v>5510</v>
      </c>
    </row>
    <row r="52" spans="1:7" x14ac:dyDescent="0.2">
      <c r="A52" t="s">
        <v>76</v>
      </c>
      <c r="B52" s="25">
        <v>-108.06</v>
      </c>
      <c r="C52" s="25">
        <v>1210</v>
      </c>
      <c r="D52" s="25">
        <v>1470</v>
      </c>
      <c r="E52" s="25">
        <v>-1140</v>
      </c>
      <c r="F52" s="25">
        <v>-221.41</v>
      </c>
      <c r="G52" s="25">
        <v>-111.78</v>
      </c>
    </row>
    <row r="53" spans="1:7" x14ac:dyDescent="0.2">
      <c r="A53" t="s">
        <v>77</v>
      </c>
      <c r="B53" s="25">
        <v>-108.06</v>
      </c>
      <c r="C53" s="25">
        <v>1210</v>
      </c>
      <c r="D53" s="25">
        <v>1470</v>
      </c>
      <c r="E53" s="25">
        <v>-1140</v>
      </c>
      <c r="F53" s="25">
        <v>337.55</v>
      </c>
      <c r="G53" s="25">
        <v>-147.63999999999999</v>
      </c>
    </row>
    <row r="54" spans="1:7" x14ac:dyDescent="0.2">
      <c r="A54" t="s">
        <v>78</v>
      </c>
      <c r="B54" s="25">
        <v>105.24</v>
      </c>
      <c r="C54" s="25">
        <v>132.61000000000001</v>
      </c>
      <c r="D54" s="25">
        <v>138.18</v>
      </c>
      <c r="E54" s="25">
        <v>152.88</v>
      </c>
      <c r="F54" s="25">
        <v>51.19</v>
      </c>
      <c r="G54" s="25">
        <v>62.89</v>
      </c>
    </row>
    <row r="55" spans="1:7" x14ac:dyDescent="0.2">
      <c r="A55" t="s">
        <v>79</v>
      </c>
      <c r="B55" s="25">
        <v>9.82</v>
      </c>
      <c r="C55" s="25">
        <v>556.15</v>
      </c>
      <c r="D55" s="25">
        <v>528.32000000000005</v>
      </c>
      <c r="E55" s="25">
        <v>101.94</v>
      </c>
      <c r="F55" s="25">
        <v>-359.93</v>
      </c>
      <c r="G55" s="25">
        <v>13.23</v>
      </c>
    </row>
    <row r="56" spans="1:7" x14ac:dyDescent="0.2">
      <c r="A56" t="s">
        <v>80</v>
      </c>
      <c r="B56" s="25">
        <v>405.69</v>
      </c>
      <c r="C56" s="25">
        <v>981.65</v>
      </c>
      <c r="D56" s="25">
        <v>993.87</v>
      </c>
      <c r="E56" s="25">
        <v>597.12</v>
      </c>
      <c r="F56" s="25">
        <v>184.92</v>
      </c>
      <c r="G56" s="25">
        <v>625.78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6186-B181-43B0-8BA5-48DE9DF17657}">
  <dimension ref="A1"/>
  <sheetViews>
    <sheetView workbookViewId="0"/>
    <sheetView workbookViewId="1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Balance Sheet</vt:lpstr>
      <vt:lpstr>Cash flow</vt:lpstr>
      <vt:lpstr>Income Statement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HighlyLevered</cp:lastModifiedBy>
  <dcterms:created xsi:type="dcterms:W3CDTF">2023-03-17T07:08:49Z</dcterms:created>
  <dcterms:modified xsi:type="dcterms:W3CDTF">2024-02-05T13:30:24Z</dcterms:modified>
</cp:coreProperties>
</file>