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B4CFD31-DB35-E141-87B3-BAB10C502261}" xr6:coauthVersionLast="47" xr6:coauthVersionMax="47" xr10:uidLastSave="{00000000-0000-0000-0000-000000000000}"/>
  <bookViews>
    <workbookView xWindow="-2380" yWindow="-21100" windowWidth="38400" windowHeight="21100" activeTab="1" xr2:uid="{145AF836-EC8B-4EF8-AAD4-F4A7FC792BEF}"/>
  </bookViews>
  <sheets>
    <sheet name="Case" sheetId="1" r:id="rId1"/>
    <sheet name="DCF" sheetId="2" r:id="rId2"/>
    <sheet name="IS" sheetId="3" r:id="rId3"/>
    <sheet name="CFS Historicals" sheetId="6" r:id="rId4"/>
    <sheet name="WACC" sheetId="4" r:id="rId5"/>
    <sheet name="Diluted Shrs" sheetId="7" r:id="rId6"/>
  </sheets>
  <definedNames>
    <definedName name="tgr">DCF!$D$16</definedName>
    <definedName name="wacc">DCF!$D$15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1" i="2" l="1"/>
  <c r="T90" i="2"/>
  <c r="T87" i="2"/>
  <c r="T88" i="2"/>
  <c r="Y86" i="2"/>
  <c r="X86" i="2"/>
  <c r="U86" i="2"/>
  <c r="V86" i="2"/>
  <c r="R79" i="2"/>
  <c r="R76" i="2"/>
  <c r="D16" i="2"/>
  <c r="D15" i="2"/>
  <c r="F18" i="2"/>
  <c r="P15" i="2"/>
  <c r="H15" i="2"/>
  <c r="L15" i="2"/>
  <c r="P70" i="2"/>
  <c r="F18" i="4"/>
  <c r="F8" i="4"/>
  <c r="E18" i="7"/>
  <c r="E23" i="7" l="1"/>
  <c r="E24" i="7"/>
  <c r="E25" i="7"/>
  <c r="E26" i="7"/>
  <c r="E27" i="7"/>
  <c r="E28" i="7"/>
  <c r="E22" i="7"/>
  <c r="O70" i="2"/>
  <c r="N70" i="2"/>
  <c r="Q70" i="2"/>
  <c r="R70" i="2" s="1"/>
  <c r="N69" i="2"/>
  <c r="D39" i="2"/>
  <c r="D28" i="2"/>
  <c r="K52" i="2"/>
  <c r="D41" i="2"/>
  <c r="E35" i="2"/>
  <c r="E63" i="2" s="1"/>
  <c r="F35" i="2"/>
  <c r="F63" i="2" s="1"/>
  <c r="G35" i="2"/>
  <c r="G63" i="2" s="1"/>
  <c r="H35" i="2"/>
  <c r="H63" i="2" s="1"/>
  <c r="I35" i="2"/>
  <c r="I63" i="2" s="1"/>
  <c r="J35" i="2"/>
  <c r="J63" i="2" s="1"/>
  <c r="K35" i="2"/>
  <c r="K63" i="2" s="1"/>
  <c r="L35" i="2"/>
  <c r="L63" i="2" s="1"/>
  <c r="M35" i="2"/>
  <c r="M63" i="2" s="1"/>
  <c r="D35" i="2"/>
  <c r="D63" i="2" s="1"/>
  <c r="E32" i="2"/>
  <c r="E60" i="2" s="1"/>
  <c r="F32" i="2"/>
  <c r="F60" i="2" s="1"/>
  <c r="G32" i="2"/>
  <c r="G60" i="2" s="1"/>
  <c r="H32" i="2"/>
  <c r="H60" i="2" s="1"/>
  <c r="I32" i="2"/>
  <c r="I60" i="2" s="1"/>
  <c r="J32" i="2"/>
  <c r="J60" i="2" s="1"/>
  <c r="K32" i="2"/>
  <c r="K60" i="2" s="1"/>
  <c r="L32" i="2"/>
  <c r="L60" i="2" s="1"/>
  <c r="M32" i="2"/>
  <c r="M60" i="2" s="1"/>
  <c r="D32" i="2"/>
  <c r="D60" i="2" s="1"/>
  <c r="E29" i="2"/>
  <c r="E57" i="2" s="1"/>
  <c r="F29" i="2"/>
  <c r="F57" i="2" s="1"/>
  <c r="G29" i="2"/>
  <c r="G57" i="2" s="1"/>
  <c r="H29" i="2"/>
  <c r="H57" i="2" s="1"/>
  <c r="I29" i="2"/>
  <c r="I57" i="2" s="1"/>
  <c r="J29" i="2"/>
  <c r="J57" i="2" s="1"/>
  <c r="K29" i="2"/>
  <c r="K57" i="2" s="1"/>
  <c r="L29" i="2"/>
  <c r="L57" i="2" s="1"/>
  <c r="M29" i="2"/>
  <c r="M57" i="2" s="1"/>
  <c r="D29" i="2"/>
  <c r="D57" i="2" s="1"/>
  <c r="E25" i="2"/>
  <c r="E26" i="2" s="1"/>
  <c r="E53" i="2" s="1"/>
  <c r="F25" i="2"/>
  <c r="F52" i="2" s="1"/>
  <c r="G25" i="2"/>
  <c r="G26" i="2" s="1"/>
  <c r="G53" i="2" s="1"/>
  <c r="H25" i="2"/>
  <c r="H26" i="2" s="1"/>
  <c r="H53" i="2" s="1"/>
  <c r="I25" i="2"/>
  <c r="I52" i="2" s="1"/>
  <c r="J25" i="2"/>
  <c r="J52" i="2" s="1"/>
  <c r="K25" i="2"/>
  <c r="K26" i="2" s="1"/>
  <c r="K53" i="2" s="1"/>
  <c r="L25" i="2"/>
  <c r="L26" i="2" s="1"/>
  <c r="L53" i="2" s="1"/>
  <c r="M25" i="2"/>
  <c r="M26" i="2" s="1"/>
  <c r="M53" i="2" s="1"/>
  <c r="D25" i="2"/>
  <c r="D26" i="2" s="1"/>
  <c r="D53" i="2" s="1"/>
  <c r="E22" i="2"/>
  <c r="E46" i="2" s="1"/>
  <c r="F22" i="2"/>
  <c r="F46" i="2" s="1"/>
  <c r="G22" i="2"/>
  <c r="G46" i="2" s="1"/>
  <c r="H22" i="2"/>
  <c r="H46" i="2" s="1"/>
  <c r="I22" i="2"/>
  <c r="I46" i="2" s="1"/>
  <c r="J22" i="2"/>
  <c r="J46" i="2" s="1"/>
  <c r="K22" i="2"/>
  <c r="K46" i="2" s="1"/>
  <c r="L22" i="2"/>
  <c r="L46" i="2" s="1"/>
  <c r="M22" i="2"/>
  <c r="M46" i="2" s="1"/>
  <c r="N22" i="2"/>
  <c r="O22" i="2"/>
  <c r="P22" i="2"/>
  <c r="Q22" i="2"/>
  <c r="R22" i="2"/>
  <c r="D22" i="2"/>
  <c r="D46" i="2" s="1"/>
  <c r="E11" i="7" l="1"/>
  <c r="E12" i="7" s="1"/>
  <c r="E30" i="7"/>
  <c r="E10" i="7" s="1"/>
  <c r="J26" i="2"/>
  <c r="J53" i="2" s="1"/>
  <c r="N53" i="2"/>
  <c r="O53" i="2" s="1"/>
  <c r="P53" i="2" s="1"/>
  <c r="Q53" i="2" s="1"/>
  <c r="R53" i="2" s="1"/>
  <c r="L52" i="2"/>
  <c r="E52" i="2"/>
  <c r="M52" i="2"/>
  <c r="G52" i="2"/>
  <c r="D52" i="2"/>
  <c r="H52" i="2"/>
  <c r="I26" i="2"/>
  <c r="I53" i="2" s="1"/>
  <c r="F26" i="2"/>
  <c r="F53" i="2" s="1"/>
  <c r="E13" i="7" l="1"/>
  <c r="N19" i="2" l="1"/>
  <c r="O19" i="2"/>
  <c r="P19" i="2"/>
  <c r="Q19" i="2"/>
  <c r="R19" i="2"/>
  <c r="E19" i="2"/>
  <c r="F19" i="2"/>
  <c r="G19" i="2"/>
  <c r="H19" i="2"/>
  <c r="I19" i="2"/>
  <c r="J19" i="2"/>
  <c r="K19" i="2"/>
  <c r="L19" i="2"/>
  <c r="M19" i="2"/>
  <c r="D19" i="2"/>
  <c r="E33" i="2" l="1"/>
  <c r="E61" i="2" s="1"/>
  <c r="E40" i="2"/>
  <c r="E37" i="2"/>
  <c r="E30" i="2"/>
  <c r="E58" i="2" s="1"/>
  <c r="E36" i="2"/>
  <c r="E64" i="2" s="1"/>
  <c r="E23" i="2"/>
  <c r="E47" i="2" s="1"/>
  <c r="Q20" i="2"/>
  <c r="Q23" i="2"/>
  <c r="M40" i="2"/>
  <c r="M20" i="2"/>
  <c r="M41" i="2" s="1"/>
  <c r="M37" i="2"/>
  <c r="M33" i="2"/>
  <c r="M61" i="2" s="1"/>
  <c r="M23" i="2"/>
  <c r="M47" i="2" s="1"/>
  <c r="M30" i="2"/>
  <c r="M58" i="2" s="1"/>
  <c r="M36" i="2"/>
  <c r="M64" i="2" s="1"/>
  <c r="P20" i="2"/>
  <c r="P23" i="2"/>
  <c r="O20" i="2"/>
  <c r="O43" i="2" s="1"/>
  <c r="O23" i="2"/>
  <c r="O49" i="2" s="1"/>
  <c r="N20" i="2"/>
  <c r="N43" i="2" s="1"/>
  <c r="N23" i="2"/>
  <c r="N49" i="2" s="1"/>
  <c r="L40" i="2"/>
  <c r="L20" i="2"/>
  <c r="L41" i="2" s="1"/>
  <c r="L23" i="2"/>
  <c r="L47" i="2" s="1"/>
  <c r="L30" i="2"/>
  <c r="L58" i="2" s="1"/>
  <c r="L33" i="2"/>
  <c r="L61" i="2" s="1"/>
  <c r="L36" i="2"/>
  <c r="L64" i="2" s="1"/>
  <c r="L37" i="2"/>
  <c r="R20" i="2"/>
  <c r="R23" i="2"/>
  <c r="K40" i="2"/>
  <c r="K20" i="2"/>
  <c r="K41" i="2" s="1"/>
  <c r="K36" i="2"/>
  <c r="K64" i="2" s="1"/>
  <c r="K23" i="2"/>
  <c r="K47" i="2" s="1"/>
  <c r="K37" i="2"/>
  <c r="K30" i="2"/>
  <c r="K58" i="2" s="1"/>
  <c r="K33" i="2"/>
  <c r="K61" i="2" s="1"/>
  <c r="J20" i="2"/>
  <c r="J41" i="2" s="1"/>
  <c r="J40" i="2"/>
  <c r="J33" i="2"/>
  <c r="J61" i="2" s="1"/>
  <c r="J37" i="2"/>
  <c r="J36" i="2"/>
  <c r="J64" i="2" s="1"/>
  <c r="J30" i="2"/>
  <c r="J58" i="2" s="1"/>
  <c r="J23" i="2"/>
  <c r="J47" i="2" s="1"/>
  <c r="I20" i="2"/>
  <c r="I41" i="2" s="1"/>
  <c r="I40" i="2"/>
  <c r="I37" i="2"/>
  <c r="I23" i="2"/>
  <c r="I47" i="2" s="1"/>
  <c r="I30" i="2"/>
  <c r="I58" i="2" s="1"/>
  <c r="I36" i="2"/>
  <c r="I64" i="2" s="1"/>
  <c r="I33" i="2"/>
  <c r="I61" i="2" s="1"/>
  <c r="H37" i="2"/>
  <c r="H33" i="2"/>
  <c r="H61" i="2" s="1"/>
  <c r="H20" i="2"/>
  <c r="H41" i="2" s="1"/>
  <c r="H40" i="2"/>
  <c r="H30" i="2"/>
  <c r="H58" i="2" s="1"/>
  <c r="H36" i="2"/>
  <c r="H64" i="2" s="1"/>
  <c r="H23" i="2"/>
  <c r="H47" i="2" s="1"/>
  <c r="E20" i="2"/>
  <c r="E41" i="2" s="1"/>
  <c r="G36" i="2"/>
  <c r="G64" i="2" s="1"/>
  <c r="G40" i="2"/>
  <c r="G33" i="2"/>
  <c r="G61" i="2" s="1"/>
  <c r="G20" i="2"/>
  <c r="G41" i="2" s="1"/>
  <c r="G37" i="2"/>
  <c r="G23" i="2"/>
  <c r="G47" i="2" s="1"/>
  <c r="G30" i="2"/>
  <c r="G58" i="2" s="1"/>
  <c r="D40" i="2"/>
  <c r="D36" i="2"/>
  <c r="D64" i="2" s="1"/>
  <c r="D23" i="2"/>
  <c r="D47" i="2" s="1"/>
  <c r="D33" i="2"/>
  <c r="D61" i="2" s="1"/>
  <c r="D30" i="2"/>
  <c r="D58" i="2" s="1"/>
  <c r="F40" i="2"/>
  <c r="F36" i="2"/>
  <c r="F64" i="2" s="1"/>
  <c r="F37" i="2"/>
  <c r="F20" i="2"/>
  <c r="F41" i="2" s="1"/>
  <c r="F33" i="2"/>
  <c r="F61" i="2" s="1"/>
  <c r="F23" i="2"/>
  <c r="F47" i="2" s="1"/>
  <c r="F30" i="2"/>
  <c r="F58" i="2" s="1"/>
  <c r="F10" i="4"/>
  <c r="F20" i="4"/>
  <c r="F9" i="4" s="1"/>
  <c r="N38" i="2"/>
  <c r="O38" i="2" s="1"/>
  <c r="P38" i="2" s="1"/>
  <c r="Q38" i="2" s="1"/>
  <c r="R38" i="2" s="1"/>
  <c r="E18" i="2"/>
  <c r="F16" i="4" l="1"/>
  <c r="F22" i="4" s="1"/>
  <c r="N58" i="2"/>
  <c r="O58" i="2" s="1"/>
  <c r="N61" i="2"/>
  <c r="N50" i="2"/>
  <c r="N48" i="2"/>
  <c r="N47" i="2"/>
  <c r="E39" i="2"/>
  <c r="E28" i="2"/>
  <c r="O47" i="2"/>
  <c r="O50" i="2"/>
  <c r="P58" i="2"/>
  <c r="N42" i="2"/>
  <c r="N41" i="2"/>
  <c r="N40" i="2" s="1"/>
  <c r="N44" i="2"/>
  <c r="O41" i="2"/>
  <c r="P43" i="2"/>
  <c r="O42" i="2"/>
  <c r="O44" i="2"/>
  <c r="N64" i="2"/>
  <c r="N57" i="2" l="1"/>
  <c r="O40" i="2"/>
  <c r="Q43" i="2"/>
  <c r="P42" i="2"/>
  <c r="P41" i="2"/>
  <c r="P44" i="2"/>
  <c r="G18" i="2"/>
  <c r="F28" i="2"/>
  <c r="F39" i="2"/>
  <c r="N46" i="2"/>
  <c r="O64" i="2"/>
  <c r="N63" i="2"/>
  <c r="Q58" i="2"/>
  <c r="O61" i="2"/>
  <c r="N60" i="2"/>
  <c r="N52" i="2" l="1"/>
  <c r="N55" i="2" s="1"/>
  <c r="N66" i="2" s="1"/>
  <c r="N67" i="2" s="1"/>
  <c r="H18" i="2"/>
  <c r="G28" i="2"/>
  <c r="G39" i="2"/>
  <c r="R43" i="2"/>
  <c r="Q41" i="2"/>
  <c r="Q44" i="2"/>
  <c r="Q42" i="2"/>
  <c r="P61" i="2"/>
  <c r="O60" i="2"/>
  <c r="R58" i="2"/>
  <c r="P64" i="2"/>
  <c r="Q64" i="2" s="1"/>
  <c r="R64" i="2" s="1"/>
  <c r="O63" i="2"/>
  <c r="P40" i="2"/>
  <c r="O57" i="2"/>
  <c r="O46" i="2"/>
  <c r="P49" i="2"/>
  <c r="O48" i="2"/>
  <c r="O52" i="2" l="1"/>
  <c r="O55" i="2" s="1"/>
  <c r="O66" i="2" s="1"/>
  <c r="O67" i="2" s="1"/>
  <c r="P47" i="2"/>
  <c r="P46" i="2" s="1"/>
  <c r="P48" i="2"/>
  <c r="P50" i="2"/>
  <c r="Q49" i="2"/>
  <c r="Q61" i="2"/>
  <c r="P60" i="2"/>
  <c r="P63" i="2"/>
  <c r="Q40" i="2"/>
  <c r="P57" i="2"/>
  <c r="R44" i="2"/>
  <c r="R42" i="2"/>
  <c r="R41" i="2"/>
  <c r="I18" i="2"/>
  <c r="H28" i="2"/>
  <c r="H39" i="2"/>
  <c r="P52" i="2" l="1"/>
  <c r="P55" i="2" s="1"/>
  <c r="P66" i="2" s="1"/>
  <c r="P67" i="2" s="1"/>
  <c r="J18" i="2"/>
  <c r="I28" i="2"/>
  <c r="I39" i="2"/>
  <c r="R61" i="2"/>
  <c r="Q60" i="2"/>
  <c r="Q50" i="2"/>
  <c r="Q47" i="2"/>
  <c r="Q46" i="2" s="1"/>
  <c r="Q48" i="2"/>
  <c r="R49" i="2"/>
  <c r="Q63" i="2"/>
  <c r="R40" i="2"/>
  <c r="Q57" i="2"/>
  <c r="Q52" i="2" l="1"/>
  <c r="Q55" i="2" s="1"/>
  <c r="Q66" i="2" s="1"/>
  <c r="Q67" i="2" s="1"/>
  <c r="R60" i="2"/>
  <c r="R57" i="2"/>
  <c r="R63" i="2"/>
  <c r="R50" i="2"/>
  <c r="R47" i="2"/>
  <c r="R46" i="2" s="1"/>
  <c r="R48" i="2"/>
  <c r="K18" i="2"/>
  <c r="J28" i="2"/>
  <c r="J39" i="2"/>
  <c r="R52" i="2" l="1"/>
  <c r="R55" i="2" s="1"/>
  <c r="R66" i="2" s="1"/>
  <c r="R72" i="2" s="1"/>
  <c r="R73" i="2" s="1"/>
  <c r="L18" i="2"/>
  <c r="K39" i="2"/>
  <c r="K28" i="2"/>
  <c r="R67" i="2" l="1"/>
  <c r="R75" i="2" s="1"/>
  <c r="R78" i="2" s="1"/>
  <c r="R80" i="2" s="1"/>
  <c r="M18" i="2"/>
  <c r="L39" i="2"/>
  <c r="L28" i="2"/>
  <c r="H5" i="2" l="1"/>
  <c r="H6" i="2" s="1"/>
  <c r="T86" i="2"/>
  <c r="M39" i="2"/>
  <c r="M28" i="2"/>
  <c r="N18" i="2"/>
  <c r="O18" i="2" l="1"/>
  <c r="N28" i="2"/>
  <c r="N39" i="2"/>
  <c r="P18" i="2" l="1"/>
  <c r="O28" i="2"/>
  <c r="O39" i="2"/>
  <c r="Q18" i="2" l="1"/>
  <c r="P28" i="2"/>
  <c r="P39" i="2"/>
  <c r="R18" i="2" l="1"/>
  <c r="Q28" i="2"/>
  <c r="Q39" i="2"/>
  <c r="R28" i="2" l="1"/>
  <c r="R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E9" authorId="0" shapeId="0" xr:uid="{0EDDAA19-631D-3348-826C-DE42835D07E9}">
      <text>
        <r>
          <rPr>
            <sz val="10"/>
            <color rgb="FF000000"/>
            <rFont val="Tahoma"/>
            <family val="2"/>
          </rPr>
          <t>https://www.sec.gov/ix?doc=/Archives/edgar/data/1058090/000105809024000032/cmg-20240630.htm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A7626-5709-4562-B26E-E4F5890E5D2E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<sst xmlns="http://schemas.openxmlformats.org/spreadsheetml/2006/main" count="237" uniqueCount="165">
  <si>
    <t>x</t>
  </si>
  <si>
    <t>1. Situation overview</t>
  </si>
  <si>
    <t>2.DCF</t>
  </si>
  <si>
    <t>3. WACC, Mid-Year Convention</t>
  </si>
  <si>
    <t>Ticker</t>
  </si>
  <si>
    <t>Date</t>
  </si>
  <si>
    <t>Assumpitions</t>
  </si>
  <si>
    <t>Revenue</t>
  </si>
  <si>
    <t>% growth</t>
  </si>
  <si>
    <t>EBIT</t>
  </si>
  <si>
    <t>% of Sales</t>
  </si>
  <si>
    <t>Tax</t>
  </si>
  <si>
    <t>% of EBIT</t>
  </si>
  <si>
    <t>Accounts receivable</t>
  </si>
  <si>
    <t>D&amp;A</t>
  </si>
  <si>
    <t>Capital Expenditures</t>
  </si>
  <si>
    <t>Change in NWC</t>
  </si>
  <si>
    <t>% of Change in Sales</t>
  </si>
  <si>
    <t>Conservative Case</t>
  </si>
  <si>
    <t>Base / Street case</t>
  </si>
  <si>
    <t>Optimistic Case</t>
  </si>
  <si>
    <t>Taxes</t>
  </si>
  <si>
    <t>EBIAT</t>
  </si>
  <si>
    <t>CapEx</t>
  </si>
  <si>
    <t>Unlevered FCF</t>
  </si>
  <si>
    <t>Terminal Value</t>
  </si>
  <si>
    <t>Present Value of Terminal Value</t>
  </si>
  <si>
    <t>Enterprise Value</t>
  </si>
  <si>
    <t>(-) Debt</t>
  </si>
  <si>
    <t>(+) Cash</t>
  </si>
  <si>
    <t>Equity Valule</t>
  </si>
  <si>
    <t>Implied Share Price</t>
  </si>
  <si>
    <t>Switches</t>
  </si>
  <si>
    <t>WACC</t>
  </si>
  <si>
    <t>Tgt</t>
  </si>
  <si>
    <t>Conservative</t>
  </si>
  <si>
    <t>Base / Street</t>
  </si>
  <si>
    <t>Optimistic</t>
  </si>
  <si>
    <t xml:space="preserve"> </t>
  </si>
  <si>
    <t>WACC = % of equity x cost of equity + &amp; of debt x cost of debt x (1-tax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</si>
  <si>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</si>
  <si>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</si>
  <si>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</si>
  <si>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</si>
  <si>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</si>
  <si>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</si>
  <si>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</si>
  <si>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</si>
  <si>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</si>
  <si>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</si>
  <si>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</si>
  <si>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</si>
  <si>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Current Price</t>
  </si>
  <si>
    <t>4. Sensitivity table</t>
  </si>
  <si>
    <t>Bull Case</t>
  </si>
  <si>
    <t>Bear Cash</t>
  </si>
  <si>
    <t xml:space="preserve">1. Increased digital sales through the app and ride service </t>
  </si>
  <si>
    <t>2. Domestic and worldwide expansion.</t>
  </si>
  <si>
    <t>3. Customer Loyalty</t>
  </si>
  <si>
    <t>4. High labor costs and margin constraints.</t>
  </si>
  <si>
    <t xml:space="preserve">5. Competition in the fast casual dining sector </t>
  </si>
  <si>
    <t>6. Exposure to economic factors like as supply chains and  economical growth.</t>
  </si>
  <si>
    <t>CMG</t>
  </si>
  <si>
    <t>`</t>
  </si>
  <si>
    <t>Year End</t>
  </si>
  <si>
    <t>USD in Millions</t>
  </si>
  <si>
    <t>TTM</t>
  </si>
  <si>
    <t>CAGR</t>
  </si>
  <si>
    <t>Cost of revenue</t>
  </si>
  <si>
    <t>Gross profit</t>
  </si>
  <si>
    <t>Operating Expenses</t>
  </si>
  <si>
    <t>Sales, general and administrative</t>
  </si>
  <si>
    <t>Depreciation and amortization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</si>
  <si>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</si>
  <si>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</si>
  <si>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</si>
  <si>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</si>
  <si>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</si>
  <si>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</si>
  <si>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</si>
  <si>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</si>
  <si>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</si>
  <si>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</si>
  <si>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</si>
  <si>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Cash Flow Statement for CMG</t>
  </si>
  <si>
    <t>Cash Flows From Operating Activities</t>
  </si>
  <si>
    <t>Investment/Asset impairment charges</t>
  </si>
  <si>
    <t>Deferred income taxes</t>
  </si>
  <si>
    <t>- </t>
  </si>
  <si>
    <t>Stock based compensation</t>
  </si>
  <si>
    <t>Prepaid expenses</t>
  </si>
  <si>
    <t>Inventory</t>
  </si>
  <si>
    <t>Accounts payable</t>
  </si>
  <si>
    <t>Accrued liabilities</t>
  </si>
  <si>
    <t>Other working capital</t>
  </si>
  <si>
    <t>Other non-cash items</t>
  </si>
  <si>
    <t>Other Cash Flows From Operating Activities</t>
  </si>
  <si>
    <t>Net cash provided by operating activities</t>
  </si>
  <si>
    <t>Cash Flows From Investing Activities</t>
  </si>
  <si>
    <t>Investments in property, plant and equipment</t>
  </si>
  <si>
    <t>Property, plant, equipment reductions</t>
  </si>
  <si>
    <t>Acquisitions, net</t>
  </si>
  <si>
    <t>Purchases of investments</t>
  </si>
  <si>
    <t>Sales/Maturities of investments</t>
  </si>
  <si>
    <t>Net cash used for investing activities</t>
  </si>
  <si>
    <t>Cash Flows From Financing Activities</t>
  </si>
  <si>
    <t>Excess tax benefit from stock based compensation</t>
  </si>
  <si>
    <t>Repurchases of treasury stock</t>
  </si>
  <si>
    <t>Other financing activities</t>
  </si>
  <si>
    <t>Other Cash Flows From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</si>
  <si>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</si>
  <si>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</si>
  <si>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</si>
  <si>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</si>
  <si>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</si>
  <si>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</si>
  <si>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</si>
  <si>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</si>
  <si>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</si>
  <si>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Income Statement for CMG</t>
  </si>
  <si>
    <t>2024E</t>
  </si>
  <si>
    <t>2025E</t>
  </si>
  <si>
    <t>2026E</t>
  </si>
  <si>
    <t>2027E</t>
  </si>
  <si>
    <t>2028E</t>
  </si>
  <si>
    <t>--</t>
  </si>
  <si>
    <t>Changes in working capital</t>
  </si>
  <si>
    <t xml:space="preserve">Implied upside / downside </t>
  </si>
  <si>
    <t>Income Statement (12/31, $mm)</t>
  </si>
  <si>
    <t>Cash Flow Items (12/31, $mm)</t>
  </si>
  <si>
    <t>DCF (12/31, $mm)</t>
  </si>
  <si>
    <t>CMG DCF</t>
  </si>
  <si>
    <t>Revenue `25 - `28</t>
  </si>
  <si>
    <t>Revenue `26-`28</t>
  </si>
  <si>
    <t>EBIT `25 - `28</t>
  </si>
  <si>
    <t>Present Unlevered FCF</t>
  </si>
  <si>
    <t>Period</t>
  </si>
  <si>
    <t>Discount Period</t>
  </si>
  <si>
    <t>Diluted Shares count</t>
  </si>
  <si>
    <t>Full Diluted Shares</t>
  </si>
  <si>
    <t>In-the-money exercisable options</t>
  </si>
  <si>
    <t>Total proceeds ($mm)</t>
  </si>
  <si>
    <t>Current price</t>
  </si>
  <si>
    <t>Net dilutive options</t>
  </si>
  <si>
    <t>Total shrs repurchased (mm)</t>
  </si>
  <si>
    <t>Net diluted shares outstanding</t>
  </si>
  <si>
    <t>Options outstanding</t>
  </si>
  <si>
    <t>Tranche 1</t>
  </si>
  <si>
    <t>Tranche 2</t>
  </si>
  <si>
    <t>Tranche 3</t>
  </si>
  <si>
    <t>Tranche 4</t>
  </si>
  <si>
    <t>Tranche 5</t>
  </si>
  <si>
    <t>Tranche 6</t>
  </si>
  <si>
    <t>Tranche 7</t>
  </si>
  <si>
    <t>Basic share outstanding</t>
  </si>
  <si>
    <t>Outstanding</t>
  </si>
  <si>
    <t>Exercise price</t>
  </si>
  <si>
    <t>Dilutive shares</t>
  </si>
  <si>
    <t>RSUs</t>
  </si>
  <si>
    <t>PSUs</t>
  </si>
  <si>
    <t>Fully Diluted Share Count</t>
  </si>
  <si>
    <t>Sensitivity Analysis</t>
  </si>
  <si>
    <t>TGR</t>
  </si>
  <si>
    <t>Chipotle Mexican Grill DCF</t>
  </si>
  <si>
    <t>5. Potential upside/downside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</si>
</sst>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[$$-409]* #,##0.00_);_([$$-409]* \(#,##0.00\);_([$$-409]* &quot;-&quot;??_);_(@_)"/>
    <numFmt numFmtId="167" formatCode="0&quot;A&quot;"/>
    <numFmt numFmtId="168" formatCode="0&quot;E&quot;"/>
    <numFmt numFmtId="169" formatCode="0%;\(0%\)"/>
    <numFmt numFmtId="170" formatCode="0.000"/>
    <numFmt numFmtId="171" formatCode="0.0%;\(0.0%\)"/>
    <numFmt numFmtId="172" formatCode="_(* #,##0.000_);_(* \(#,##0.000\);_(* &quot;-&quot;??_);_(@_)"/>
    <numFmt numFmtId="173" formatCode="&quot;$&quot;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i/>
      <sz val="11"/>
      <color theme="1"/>
      <name val="Calibri"/>
      <family val="2"/>
    </font>
    <font>
      <sz val="11"/>
      <color theme="4"/>
      <name val="Calibri"/>
      <family val="2"/>
    </font>
    <font>
      <sz val="11"/>
      <name val="Calibri"/>
      <family val="2"/>
    </font>
    <font>
      <i/>
      <sz val="11"/>
      <color theme="0"/>
      <name val="Calibri"/>
      <family val="2"/>
    </font>
    <font>
      <i/>
      <sz val="11"/>
      <color theme="4"/>
      <name val="Calibri"/>
      <family val="2"/>
    </font>
    <font>
      <i/>
      <sz val="11"/>
      <color rgb="FFF25D55"/>
      <name val="Calibri"/>
      <family val="2"/>
    </font>
    <font>
      <i/>
      <sz val="11"/>
      <color rgb="FFFF0000"/>
      <name val="Calibri"/>
      <family val="2"/>
    </font>
    <font>
      <i/>
      <sz val="11"/>
      <name val="Calibri"/>
      <family val="2"/>
    </font>
    <font>
      <i/>
      <sz val="11"/>
      <color rgb="FF547EC9"/>
      <name val="Calibri"/>
      <family val="2"/>
    </font>
    <font>
      <i/>
      <sz val="11"/>
      <color theme="9" tint="-0.499984740745262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547EC9"/>
      <name val="Calibri"/>
      <family val="2"/>
    </font>
    <font>
      <sz val="10"/>
      <color rgb="FF000000"/>
      <name val="Tahoma"/>
      <family val="2"/>
    </font>
    <font>
      <u/>
      <sz val="11"/>
      <color theme="1"/>
      <name val="Calibri"/>
      <family val="2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3254D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F2F5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4284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/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dotted">
        <color indexed="64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/>
      <right style="hair">
        <color indexed="64"/>
      </right>
      <top style="dashed">
        <color indexed="64"/>
      </top>
      <bottom/>
      <diagonal/>
    </border>
    <border>
      <left/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dashed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4" fillId="0" borderId="1" xfId="0" applyFont="1" applyBorder="1"/>
    <xf numFmtId="0" fontId="0" fillId="0" borderId="1" xfId="0" applyBorder="1"/>
    <xf numFmtId="43" fontId="0" fillId="0" borderId="0" xfId="1" applyFont="1"/>
    <xf numFmtId="164" fontId="0" fillId="0" borderId="0" xfId="1" applyNumberFormat="1" applyFont="1"/>
    <xf numFmtId="0" fontId="5" fillId="0" borderId="0" xfId="0" applyFont="1"/>
    <xf numFmtId="165" fontId="5" fillId="0" borderId="0" xfId="1" applyNumberFormat="1" applyFont="1"/>
    <xf numFmtId="164" fontId="5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164" fontId="3" fillId="0" borderId="0" xfId="1" applyNumberFormat="1" applyFont="1"/>
    <xf numFmtId="0" fontId="0" fillId="0" borderId="0" xfId="0" applyAlignment="1">
      <alignment horizontal="right"/>
    </xf>
    <xf numFmtId="164" fontId="3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10" xfId="0" applyBorder="1"/>
    <xf numFmtId="10" fontId="0" fillId="0" borderId="0" xfId="0" applyNumberFormat="1"/>
    <xf numFmtId="10" fontId="0" fillId="0" borderId="10" xfId="0" applyNumberFormat="1" applyBorder="1"/>
    <xf numFmtId="0" fontId="0" fillId="0" borderId="11" xfId="0" applyBorder="1"/>
    <xf numFmtId="0" fontId="0" fillId="0" borderId="12" xfId="0" applyBorder="1"/>
    <xf numFmtId="10" fontId="0" fillId="0" borderId="13" xfId="0" applyNumberFormat="1" applyBorder="1"/>
    <xf numFmtId="3" fontId="0" fillId="0" borderId="0" xfId="0" applyNumberFormat="1"/>
    <xf numFmtId="8" fontId="0" fillId="0" borderId="0" xfId="0" applyNumberFormat="1"/>
    <xf numFmtId="0" fontId="9" fillId="0" borderId="0" xfId="0" applyFont="1"/>
    <xf numFmtId="1" fontId="0" fillId="0" borderId="0" xfId="0" applyNumberFormat="1"/>
    <xf numFmtId="0" fontId="10" fillId="0" borderId="1" xfId="0" applyFont="1" applyBorder="1"/>
    <xf numFmtId="0" fontId="11" fillId="0" borderId="1" xfId="0" applyFont="1" applyBorder="1"/>
    <xf numFmtId="0" fontId="7" fillId="0" borderId="1" xfId="0" applyFont="1" applyBorder="1"/>
    <xf numFmtId="0" fontId="7" fillId="0" borderId="0" xfId="0" applyFont="1"/>
    <xf numFmtId="0" fontId="10" fillId="0" borderId="0" xfId="0" applyFont="1"/>
    <xf numFmtId="0" fontId="7" fillId="3" borderId="0" xfId="0" applyFont="1" applyFill="1" applyAlignment="1">
      <alignment horizontal="center" vertical="center"/>
    </xf>
    <xf numFmtId="166" fontId="7" fillId="0" borderId="0" xfId="0" applyNumberFormat="1" applyFont="1"/>
    <xf numFmtId="9" fontId="7" fillId="0" borderId="0" xfId="2" applyFont="1"/>
    <xf numFmtId="0" fontId="12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3" borderId="2" xfId="0" applyFont="1" applyFill="1" applyBorder="1"/>
    <xf numFmtId="171" fontId="7" fillId="3" borderId="2" xfId="2" applyNumberFormat="1" applyFont="1" applyFill="1" applyBorder="1" applyAlignment="1">
      <alignment horizontal="center"/>
    </xf>
    <xf numFmtId="0" fontId="15" fillId="0" borderId="0" xfId="0" applyFont="1"/>
    <xf numFmtId="10" fontId="7" fillId="3" borderId="2" xfId="2" applyNumberFormat="1" applyFont="1" applyFill="1" applyBorder="1"/>
    <xf numFmtId="10" fontId="7" fillId="0" borderId="0" xfId="2" applyNumberFormat="1" applyFont="1"/>
    <xf numFmtId="10" fontId="15" fillId="4" borderId="14" xfId="0" applyNumberFormat="1" applyFont="1" applyFill="1" applyBorder="1"/>
    <xf numFmtId="167" fontId="12" fillId="2" borderId="0" xfId="0" applyNumberFormat="1" applyFont="1" applyFill="1"/>
    <xf numFmtId="168" fontId="12" fillId="2" borderId="0" xfId="0" applyNumberFormat="1" applyFont="1" applyFill="1"/>
    <xf numFmtId="165" fontId="16" fillId="0" borderId="0" xfId="1" applyNumberFormat="1" applyFont="1"/>
    <xf numFmtId="165" fontId="16" fillId="0" borderId="0" xfId="1" applyNumberFormat="1" applyFont="1" applyFill="1" applyBorder="1"/>
    <xf numFmtId="0" fontId="17" fillId="0" borderId="0" xfId="0" applyFont="1"/>
    <xf numFmtId="0" fontId="7" fillId="0" borderId="0" xfId="0" quotePrefix="1" applyFont="1" applyAlignment="1">
      <alignment horizontal="right"/>
    </xf>
    <xf numFmtId="169" fontId="17" fillId="0" borderId="0" xfId="2" applyNumberFormat="1" applyFont="1"/>
    <xf numFmtId="169" fontId="17" fillId="0" borderId="0" xfId="2" quotePrefix="1" applyNumberFormat="1" applyFont="1" applyAlignment="1">
      <alignment horizontal="right"/>
    </xf>
    <xf numFmtId="168" fontId="12" fillId="0" borderId="0" xfId="0" applyNumberFormat="1" applyFont="1"/>
    <xf numFmtId="165" fontId="18" fillId="0" borderId="0" xfId="0" applyNumberFormat="1" applyFont="1"/>
    <xf numFmtId="165" fontId="19" fillId="0" borderId="0" xfId="0" applyNumberFormat="1" applyFont="1"/>
    <xf numFmtId="0" fontId="20" fillId="0" borderId="0" xfId="0" applyFont="1"/>
    <xf numFmtId="169" fontId="21" fillId="0" borderId="0" xfId="0" applyNumberFormat="1" applyFont="1"/>
    <xf numFmtId="9" fontId="17" fillId="0" borderId="0" xfId="0" applyNumberFormat="1" applyFont="1"/>
    <xf numFmtId="0" fontId="7" fillId="0" borderId="17" xfId="0" applyFont="1" applyBorder="1"/>
    <xf numFmtId="9" fontId="22" fillId="3" borderId="3" xfId="0" applyNumberFormat="1" applyFont="1" applyFill="1" applyBorder="1"/>
    <xf numFmtId="9" fontId="24" fillId="0" borderId="0" xfId="0" applyNumberFormat="1" applyFont="1"/>
    <xf numFmtId="9" fontId="23" fillId="0" borderId="0" xfId="0" applyNumberFormat="1" applyFont="1"/>
    <xf numFmtId="165" fontId="18" fillId="0" borderId="17" xfId="0" applyNumberFormat="1" applyFont="1" applyBorder="1"/>
    <xf numFmtId="9" fontId="25" fillId="3" borderId="3" xfId="0" applyNumberFormat="1" applyFont="1" applyFill="1" applyBorder="1"/>
    <xf numFmtId="9" fontId="24" fillId="3" borderId="3" xfId="0" applyNumberFormat="1" applyFont="1" applyFill="1" applyBorder="1"/>
    <xf numFmtId="9" fontId="26" fillId="0" borderId="0" xfId="0" applyNumberFormat="1" applyFont="1"/>
    <xf numFmtId="169" fontId="17" fillId="0" borderId="17" xfId="2" applyNumberFormat="1" applyFont="1" applyBorder="1"/>
    <xf numFmtId="9" fontId="25" fillId="3" borderId="15" xfId="0" applyNumberFormat="1" applyFont="1" applyFill="1" applyBorder="1"/>
    <xf numFmtId="9" fontId="22" fillId="0" borderId="0" xfId="0" applyNumberFormat="1" applyFont="1"/>
    <xf numFmtId="165" fontId="7" fillId="0" borderId="0" xfId="0" applyNumberFormat="1" applyFont="1"/>
    <xf numFmtId="43" fontId="27" fillId="0" borderId="0" xfId="0" applyNumberFormat="1" applyFont="1"/>
    <xf numFmtId="0" fontId="7" fillId="0" borderId="7" xfId="0" applyFont="1" applyBorder="1"/>
    <xf numFmtId="0" fontId="7" fillId="0" borderId="8" xfId="0" applyFont="1" applyBorder="1"/>
    <xf numFmtId="165" fontId="7" fillId="0" borderId="8" xfId="0" applyNumberFormat="1" applyFont="1" applyBorder="1"/>
    <xf numFmtId="165" fontId="7" fillId="0" borderId="16" xfId="0" applyNumberFormat="1" applyFont="1" applyBorder="1"/>
    <xf numFmtId="0" fontId="7" fillId="0" borderId="9" xfId="0" applyFont="1" applyBorder="1"/>
    <xf numFmtId="0" fontId="7" fillId="0" borderId="10" xfId="0" applyFont="1" applyBorder="1"/>
    <xf numFmtId="165" fontId="7" fillId="0" borderId="10" xfId="0" applyNumberFormat="1" applyFont="1" applyBorder="1"/>
    <xf numFmtId="14" fontId="7" fillId="3" borderId="0" xfId="0" applyNumberFormat="1" applyFont="1" applyFill="1" applyAlignment="1">
      <alignment horizontal="center" vertical="center"/>
    </xf>
    <xf numFmtId="2" fontId="7" fillId="0" borderId="0" xfId="0" applyNumberFormat="1" applyFont="1"/>
    <xf numFmtId="43" fontId="7" fillId="0" borderId="0" xfId="0" applyNumberFormat="1" applyFont="1"/>
    <xf numFmtId="0" fontId="3" fillId="0" borderId="10" xfId="0" applyFont="1" applyBorder="1"/>
    <xf numFmtId="0" fontId="14" fillId="0" borderId="4" xfId="0" applyFont="1" applyBorder="1"/>
    <xf numFmtId="0" fontId="28" fillId="0" borderId="0" xfId="0" applyFont="1"/>
    <xf numFmtId="10" fontId="7" fillId="0" borderId="0" xfId="0" applyNumberFormat="1" applyFont="1"/>
    <xf numFmtId="0" fontId="28" fillId="0" borderId="10" xfId="0" applyFont="1" applyBorder="1"/>
    <xf numFmtId="0" fontId="14" fillId="0" borderId="10" xfId="0" applyFont="1" applyBorder="1"/>
    <xf numFmtId="10" fontId="7" fillId="0" borderId="10" xfId="0" applyNumberFormat="1" applyFont="1" applyBorder="1"/>
    <xf numFmtId="43" fontId="7" fillId="0" borderId="0" xfId="1" applyFont="1" applyBorder="1"/>
    <xf numFmtId="165" fontId="24" fillId="0" borderId="0" xfId="1" applyNumberFormat="1" applyFont="1" applyFill="1" applyBorder="1"/>
    <xf numFmtId="0" fontId="29" fillId="0" borderId="0" xfId="0" applyFont="1"/>
    <xf numFmtId="10" fontId="24" fillId="0" borderId="0" xfId="0" applyNumberFormat="1" applyFont="1"/>
    <xf numFmtId="43" fontId="30" fillId="0" borderId="0" xfId="1" applyFont="1" applyBorder="1"/>
    <xf numFmtId="0" fontId="32" fillId="0" borderId="0" xfId="0" applyFont="1" applyAlignment="1">
      <alignment horizontal="center"/>
    </xf>
    <xf numFmtId="170" fontId="7" fillId="0" borderId="0" xfId="0" applyNumberFormat="1" applyFont="1"/>
    <xf numFmtId="170" fontId="7" fillId="0" borderId="0" xfId="1" applyNumberFormat="1" applyFont="1" applyFill="1" applyBorder="1"/>
    <xf numFmtId="0" fontId="0" fillId="0" borderId="0" xfId="0" applyAlignment="1">
      <alignment horizontal="left"/>
    </xf>
    <xf numFmtId="172" fontId="7" fillId="0" borderId="0" xfId="1" applyNumberFormat="1" applyFont="1" applyBorder="1"/>
    <xf numFmtId="170" fontId="14" fillId="0" borderId="5" xfId="0" applyNumberFormat="1" applyFont="1" applyBorder="1"/>
    <xf numFmtId="170" fontId="14" fillId="0" borderId="6" xfId="0" applyNumberFormat="1" applyFont="1" applyBorder="1"/>
    <xf numFmtId="172" fontId="14" fillId="0" borderId="0" xfId="1" applyNumberFormat="1" applyFont="1" applyBorder="1"/>
    <xf numFmtId="10" fontId="1" fillId="0" borderId="0" xfId="2" applyNumberFormat="1" applyFont="1"/>
    <xf numFmtId="10" fontId="6" fillId="5" borderId="18" xfId="0" applyNumberFormat="1" applyFont="1" applyFill="1" applyBorder="1"/>
    <xf numFmtId="0" fontId="6" fillId="5" borderId="18" xfId="2" applyNumberFormat="1" applyFont="1" applyFill="1" applyBorder="1"/>
    <xf numFmtId="171" fontId="8" fillId="4" borderId="14" xfId="0" applyNumberFormat="1" applyFont="1" applyFill="1" applyBorder="1" applyAlignment="1">
      <alignment horizontal="center"/>
    </xf>
    <xf numFmtId="165" fontId="7" fillId="0" borderId="19" xfId="0" applyNumberFormat="1" applyFont="1" applyBorder="1"/>
    <xf numFmtId="44" fontId="7" fillId="0" borderId="0" xfId="3" applyFont="1"/>
    <xf numFmtId="173" fontId="0" fillId="0" borderId="0" xfId="0" applyNumberFormat="1"/>
    <xf numFmtId="173" fontId="33" fillId="6" borderId="20" xfId="0" applyNumberFormat="1" applyFont="1" applyFill="1" applyBorder="1"/>
    <xf numFmtId="10" fontId="0" fillId="6" borderId="21" xfId="0" applyNumberFormat="1" applyFill="1" applyBorder="1"/>
    <xf numFmtId="10" fontId="0" fillId="6" borderId="22" xfId="0" applyNumberFormat="1" applyFill="1" applyBorder="1"/>
    <xf numFmtId="10" fontId="0" fillId="6" borderId="23" xfId="2" applyNumberFormat="1" applyFont="1" applyFill="1" applyBorder="1"/>
    <xf numFmtId="173" fontId="0" fillId="0" borderId="24" xfId="0" applyNumberFormat="1" applyBorder="1"/>
    <xf numFmtId="10" fontId="0" fillId="6" borderId="23" xfId="0" applyNumberFormat="1" applyFill="1" applyBorder="1"/>
    <xf numFmtId="10" fontId="0" fillId="6" borderId="25" xfId="0" applyNumberFormat="1" applyFill="1" applyBorder="1"/>
    <xf numFmtId="173" fontId="0" fillId="0" borderId="26" xfId="0" applyNumberFormat="1" applyBorder="1"/>
    <xf numFmtId="173" fontId="0" fillId="0" borderId="27" xfId="0" applyNumberFormat="1" applyBorder="1"/>
    <xf numFmtId="173" fontId="0" fillId="0" borderId="20" xfId="0" applyNumberFormat="1" applyBorder="1"/>
    <xf numFmtId="173" fontId="0" fillId="0" borderId="21" xfId="0" applyNumberFormat="1" applyBorder="1"/>
    <xf numFmtId="173" fontId="0" fillId="0" borderId="22" xfId="0" applyNumberFormat="1" applyBorder="1"/>
    <xf numFmtId="173" fontId="0" fillId="0" borderId="23" xfId="0" applyNumberFormat="1" applyBorder="1"/>
    <xf numFmtId="173" fontId="0" fillId="0" borderId="25" xfId="0" applyNumberFormat="1" applyBorder="1"/>
    <xf numFmtId="0" fontId="7" fillId="0" borderId="30" xfId="0" applyFont="1" applyBorder="1"/>
    <xf numFmtId="0" fontId="7" fillId="0" borderId="31" xfId="0" applyFont="1" applyBorder="1"/>
    <xf numFmtId="165" fontId="7" fillId="0" borderId="31" xfId="0" applyNumberFormat="1" applyFont="1" applyBorder="1"/>
    <xf numFmtId="165" fontId="7" fillId="0" borderId="32" xfId="0" applyNumberFormat="1" applyFont="1" applyBorder="1"/>
    <xf numFmtId="0" fontId="12" fillId="7" borderId="0" xfId="0" applyFont="1" applyFill="1"/>
    <xf numFmtId="0" fontId="2" fillId="7" borderId="0" xfId="0" applyFont="1" applyFill="1"/>
    <xf numFmtId="10" fontId="2" fillId="7" borderId="0" xfId="0" applyNumberFormat="1" applyFont="1" applyFill="1"/>
    <xf numFmtId="10" fontId="12" fillId="7" borderId="0" xfId="0" applyNumberFormat="1" applyFont="1" applyFill="1"/>
    <xf numFmtId="0" fontId="3" fillId="6" borderId="20" xfId="0" applyFont="1" applyFill="1" applyBorder="1" applyAlignment="1">
      <alignment horizontal="center" wrapText="1"/>
    </xf>
    <xf numFmtId="0" fontId="3" fillId="6" borderId="21" xfId="0" applyFont="1" applyFill="1" applyBorder="1" applyAlignment="1">
      <alignment horizontal="center" wrapText="1"/>
    </xf>
    <xf numFmtId="0" fontId="3" fillId="6" borderId="22" xfId="0" applyFont="1" applyFill="1" applyBorder="1" applyAlignment="1">
      <alignment horizontal="center" wrapText="1"/>
    </xf>
    <xf numFmtId="0" fontId="3" fillId="6" borderId="28" xfId="0" applyFont="1" applyFill="1" applyBorder="1" applyAlignment="1">
      <alignment horizontal="center" vertical="center" textRotation="90" wrapText="1"/>
    </xf>
    <xf numFmtId="0" fontId="3" fillId="6" borderId="29" xfId="0" applyFont="1" applyFill="1" applyBorder="1" applyAlignment="1">
      <alignment horizontal="center" vertical="center" textRotation="90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4284C"/>
      <color rgb="FF547EC9"/>
      <color rgb="FFF25D55"/>
      <color rgb="FFF2F5F7"/>
      <color rgb="FF279C9C"/>
      <color rgb="FF232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121F-F0F9-4101-B900-357A2C364D0F}">
  <sheetPr codeName="Sheet1"/>
  <dimension ref="A2:F11"/>
  <sheetViews>
    <sheetView showGridLines="0" zoomScale="107" workbookViewId="0">
      <selection activeCell="L22" sqref="L22"/>
    </sheetView>
  </sheetViews>
  <sheetFormatPr baseColWidth="10" defaultColWidth="8.83203125" defaultRowHeight="15" x14ac:dyDescent="0.2"/>
  <sheetData>
    <row r="2" spans="1:6" s="2" customFormat="1" ht="17" thickBot="1" x14ac:dyDescent="0.25">
      <c r="B2" s="1" t="s">
        <v>131</v>
      </c>
    </row>
    <row r="4" spans="1:6" x14ac:dyDescent="0.2">
      <c r="A4" t="s">
        <v>0</v>
      </c>
      <c r="B4" t="s">
        <v>1</v>
      </c>
      <c r="F4" s="8" t="s">
        <v>54</v>
      </c>
    </row>
    <row r="5" spans="1:6" x14ac:dyDescent="0.2">
      <c r="B5" t="s">
        <v>2</v>
      </c>
      <c r="F5" t="s">
        <v>56</v>
      </c>
    </row>
    <row r="6" spans="1:6" x14ac:dyDescent="0.2">
      <c r="B6" t="s">
        <v>3</v>
      </c>
      <c r="F6" t="s">
        <v>57</v>
      </c>
    </row>
    <row r="7" spans="1:6" x14ac:dyDescent="0.2">
      <c r="B7" t="s">
        <v>53</v>
      </c>
      <c r="F7" t="s">
        <v>58</v>
      </c>
    </row>
    <row r="8" spans="1:6" x14ac:dyDescent="0.2">
      <c r="B8" t="s">
        <v>164</v>
      </c>
      <c r="F8" s="8" t="s">
        <v>55</v>
      </c>
    </row>
    <row r="9" spans="1:6" x14ac:dyDescent="0.2">
      <c r="F9" t="s">
        <v>59</v>
      </c>
    </row>
    <row r="10" spans="1:6" x14ac:dyDescent="0.2">
      <c r="F10" t="s">
        <v>60</v>
      </c>
    </row>
    <row r="11" spans="1:6" x14ac:dyDescent="0.2">
      <c r="F1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8A5F-A577-42C3-97EF-6781D4C74E68}">
  <sheetPr codeName="Sheet2"/>
  <dimension ref="A2:Y91"/>
  <sheetViews>
    <sheetView showGridLines="0" tabSelected="1" zoomScale="109" zoomScaleNormal="120" workbookViewId="0">
      <selection activeCell="H17" sqref="H17"/>
    </sheetView>
  </sheetViews>
  <sheetFormatPr baseColWidth="10" defaultColWidth="8.83203125" defaultRowHeight="15" outlineLevelRow="1" x14ac:dyDescent="0.2"/>
  <cols>
    <col min="1" max="1" width="3.6640625" style="35" customWidth="1"/>
    <col min="2" max="2" width="17.33203125" style="34" customWidth="1"/>
    <col min="3" max="3" width="8.1640625" style="34" customWidth="1"/>
    <col min="4" max="4" width="9.6640625" style="34" bestFit="1" customWidth="1"/>
    <col min="5" max="7" width="9.33203125" style="34" bestFit="1" customWidth="1"/>
    <col min="8" max="8" width="9.33203125" style="34" customWidth="1"/>
    <col min="9" max="13" width="10" style="34" bestFit="1" customWidth="1"/>
    <col min="14" max="14" width="11" style="34" customWidth="1"/>
    <col min="15" max="18" width="11.5" style="34" customWidth="1"/>
    <col min="19" max="23" width="8.83203125" style="34" customWidth="1"/>
    <col min="24" max="16384" width="8.83203125" style="34"/>
  </cols>
  <sheetData>
    <row r="2" spans="1:23" s="33" customFormat="1" ht="17" thickBot="1" x14ac:dyDescent="0.25">
      <c r="A2" s="31"/>
      <c r="B2" s="32" t="s">
        <v>163</v>
      </c>
    </row>
    <row r="4" spans="1:23" x14ac:dyDescent="0.2">
      <c r="A4" s="35" t="s">
        <v>0</v>
      </c>
      <c r="B4" s="34" t="s">
        <v>4</v>
      </c>
      <c r="C4" s="36" t="s">
        <v>62</v>
      </c>
      <c r="E4" s="34" t="s">
        <v>52</v>
      </c>
      <c r="H4" s="37">
        <v>55</v>
      </c>
      <c r="M4" s="38"/>
    </row>
    <row r="5" spans="1:23" x14ac:dyDescent="0.2">
      <c r="B5" s="34" t="s">
        <v>5</v>
      </c>
      <c r="C5" s="83">
        <v>45513</v>
      </c>
      <c r="E5" s="34" t="s">
        <v>31</v>
      </c>
      <c r="H5" s="37">
        <f ca="1">R80</f>
        <v>23.258078004645558</v>
      </c>
      <c r="Q5" s="37"/>
    </row>
    <row r="6" spans="1:23" x14ac:dyDescent="0.2">
      <c r="B6" s="34" t="s">
        <v>64</v>
      </c>
      <c r="C6" s="83">
        <v>45657</v>
      </c>
      <c r="E6" s="34" t="s">
        <v>127</v>
      </c>
      <c r="H6" s="55">
        <f ca="1">H5/H4-1</f>
        <v>-0.57712585446098985</v>
      </c>
    </row>
    <row r="7" spans="1:23" x14ac:dyDescent="0.2">
      <c r="A7" s="35" t="s">
        <v>63</v>
      </c>
    </row>
    <row r="8" spans="1:23" x14ac:dyDescent="0.2">
      <c r="A8" s="35" t="s">
        <v>0</v>
      </c>
      <c r="B8" s="131" t="s">
        <v>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40"/>
      <c r="U8" s="40"/>
      <c r="V8" s="40"/>
      <c r="W8" s="40"/>
    </row>
    <row r="9" spans="1:23" s="42" customFormat="1" x14ac:dyDescent="0.2">
      <c r="A9" s="40"/>
      <c r="B9" s="41" t="s">
        <v>32</v>
      </c>
      <c r="F9" s="41" t="s">
        <v>35</v>
      </c>
      <c r="J9" s="41" t="s">
        <v>36</v>
      </c>
      <c r="N9" s="41" t="s">
        <v>37</v>
      </c>
    </row>
    <row r="10" spans="1:23" x14ac:dyDescent="0.2">
      <c r="B10" s="34" t="s">
        <v>7</v>
      </c>
      <c r="D10" s="43">
        <v>2</v>
      </c>
      <c r="F10" s="34" t="s">
        <v>132</v>
      </c>
      <c r="H10" s="44">
        <v>-7.4999999999999997E-2</v>
      </c>
      <c r="J10" s="34" t="s">
        <v>133</v>
      </c>
      <c r="L10" s="44">
        <v>-0.15</v>
      </c>
      <c r="N10" s="34" t="s">
        <v>132</v>
      </c>
      <c r="P10" s="44">
        <v>0.1</v>
      </c>
    </row>
    <row r="11" spans="1:23" x14ac:dyDescent="0.2">
      <c r="B11" s="34" t="s">
        <v>9</v>
      </c>
      <c r="D11" s="43">
        <v>2</v>
      </c>
      <c r="F11" s="34" t="s">
        <v>134</v>
      </c>
      <c r="H11" s="44">
        <v>-7.4999999999999997E-2</v>
      </c>
      <c r="J11" s="34" t="s">
        <v>134</v>
      </c>
      <c r="L11" s="44">
        <v>0.05</v>
      </c>
      <c r="N11" s="34" t="s">
        <v>134</v>
      </c>
      <c r="P11" s="44">
        <v>0.1</v>
      </c>
    </row>
    <row r="12" spans="1:23" x14ac:dyDescent="0.2">
      <c r="B12" s="34" t="s">
        <v>33</v>
      </c>
      <c r="D12" s="43">
        <v>2</v>
      </c>
      <c r="P12" s="45"/>
    </row>
    <row r="13" spans="1:23" x14ac:dyDescent="0.2">
      <c r="B13" s="34" t="s">
        <v>34</v>
      </c>
      <c r="D13" s="43">
        <v>2</v>
      </c>
      <c r="P13" s="45"/>
    </row>
    <row r="15" spans="1:23" x14ac:dyDescent="0.2">
      <c r="B15" s="34" t="s">
        <v>33</v>
      </c>
      <c r="D15" s="109">
        <f>CHOOSE(D12,H15,L15,P15)</f>
        <v>8.4876000000000007E-2</v>
      </c>
      <c r="F15" s="34" t="s">
        <v>33</v>
      </c>
      <c r="H15" s="46">
        <f>L15+0.5%</f>
        <v>8.9876000000000011E-2</v>
      </c>
      <c r="I15" s="47"/>
      <c r="J15" s="47" t="s">
        <v>33</v>
      </c>
      <c r="K15" s="47"/>
      <c r="L15" s="48">
        <f>WACC!F22</f>
        <v>8.4876000000000007E-2</v>
      </c>
      <c r="M15" s="47"/>
      <c r="N15" s="47" t="s">
        <v>33</v>
      </c>
      <c r="O15" s="47"/>
      <c r="P15" s="46">
        <f>L15-0.05%</f>
        <v>8.4376000000000007E-2</v>
      </c>
    </row>
    <row r="16" spans="1:23" x14ac:dyDescent="0.2">
      <c r="B16" s="34" t="s">
        <v>34</v>
      </c>
      <c r="D16" s="109">
        <f>CHOOSE(D13,H16,L16,P16)</f>
        <v>2.5000000000000001E-2</v>
      </c>
      <c r="F16" s="34" t="s">
        <v>34</v>
      </c>
      <c r="H16" s="46">
        <v>0.02</v>
      </c>
      <c r="J16" s="34" t="s">
        <v>34</v>
      </c>
      <c r="L16" s="46">
        <v>2.5000000000000001E-2</v>
      </c>
      <c r="N16" s="34" t="s">
        <v>34</v>
      </c>
      <c r="P16" s="46">
        <v>0.03</v>
      </c>
    </row>
    <row r="18" spans="1:23" outlineLevel="1" x14ac:dyDescent="0.2">
      <c r="A18" s="35" t="s">
        <v>0</v>
      </c>
      <c r="B18" s="39" t="s">
        <v>128</v>
      </c>
      <c r="C18" s="39"/>
      <c r="D18" s="49">
        <v>2014</v>
      </c>
      <c r="E18" s="49">
        <f>D18+1</f>
        <v>2015</v>
      </c>
      <c r="F18" s="49">
        <f t="shared" ref="F18:R18" si="0">E18+1</f>
        <v>2016</v>
      </c>
      <c r="G18" s="49">
        <f t="shared" si="0"/>
        <v>2017</v>
      </c>
      <c r="H18" s="49">
        <f t="shared" si="0"/>
        <v>2018</v>
      </c>
      <c r="I18" s="49">
        <f t="shared" si="0"/>
        <v>2019</v>
      </c>
      <c r="J18" s="49">
        <f t="shared" si="0"/>
        <v>2020</v>
      </c>
      <c r="K18" s="49">
        <f t="shared" si="0"/>
        <v>2021</v>
      </c>
      <c r="L18" s="49">
        <f t="shared" si="0"/>
        <v>2022</v>
      </c>
      <c r="M18" s="49">
        <f t="shared" si="0"/>
        <v>2023</v>
      </c>
      <c r="N18" s="50">
        <f t="shared" si="0"/>
        <v>2024</v>
      </c>
      <c r="O18" s="50">
        <f t="shared" si="0"/>
        <v>2025</v>
      </c>
      <c r="P18" s="50">
        <f t="shared" si="0"/>
        <v>2026</v>
      </c>
      <c r="Q18" s="50">
        <f t="shared" si="0"/>
        <v>2027</v>
      </c>
      <c r="R18" s="50">
        <f t="shared" si="0"/>
        <v>2028</v>
      </c>
      <c r="S18" s="40"/>
      <c r="T18" s="40"/>
      <c r="U18" s="40"/>
      <c r="V18" s="40"/>
      <c r="W18" s="40"/>
    </row>
    <row r="19" spans="1:23" outlineLevel="1" x14ac:dyDescent="0.2">
      <c r="B19" s="34" t="s">
        <v>7</v>
      </c>
      <c r="D19" s="51">
        <f>IS!B3</f>
        <v>4108</v>
      </c>
      <c r="E19" s="51">
        <f>IS!C3</f>
        <v>4501</v>
      </c>
      <c r="F19" s="51">
        <f>IS!D3</f>
        <v>3904</v>
      </c>
      <c r="G19" s="51">
        <f>IS!E3</f>
        <v>4476</v>
      </c>
      <c r="H19" s="51">
        <f>IS!F3</f>
        <v>4865</v>
      </c>
      <c r="I19" s="51">
        <f>IS!G3</f>
        <v>5586</v>
      </c>
      <c r="J19" s="51">
        <f>IS!H3</f>
        <v>5985</v>
      </c>
      <c r="K19" s="51">
        <f>IS!I3</f>
        <v>7547</v>
      </c>
      <c r="L19" s="51">
        <f>IS!J3</f>
        <v>8635</v>
      </c>
      <c r="M19" s="51">
        <f>IS!K3</f>
        <v>9872</v>
      </c>
      <c r="N19" s="51">
        <f>IS!L3</f>
        <v>11342</v>
      </c>
      <c r="O19" s="51">
        <f>IS!M3</f>
        <v>12870</v>
      </c>
      <c r="P19" s="51">
        <f>IS!N3</f>
        <v>14642</v>
      </c>
      <c r="Q19" s="51">
        <f>IS!O3</f>
        <v>16730</v>
      </c>
      <c r="R19" s="51">
        <f>IS!P3</f>
        <v>18816</v>
      </c>
      <c r="S19" s="52"/>
      <c r="T19" s="52"/>
      <c r="U19" s="52"/>
      <c r="V19" s="52"/>
      <c r="W19" s="52"/>
    </row>
    <row r="20" spans="1:23" outlineLevel="1" x14ac:dyDescent="0.2">
      <c r="B20" s="53" t="s">
        <v>8</v>
      </c>
      <c r="D20" s="54" t="s">
        <v>125</v>
      </c>
      <c r="E20" s="55">
        <f>E19/D19-1</f>
        <v>9.5666991236611487E-2</v>
      </c>
      <c r="F20" s="55">
        <f t="shared" ref="F20:R20" si="1">F19/E19-1</f>
        <v>-0.13263719173516997</v>
      </c>
      <c r="G20" s="55">
        <f t="shared" si="1"/>
        <v>0.14651639344262302</v>
      </c>
      <c r="H20" s="55">
        <f t="shared" si="1"/>
        <v>8.6907953529937521E-2</v>
      </c>
      <c r="I20" s="55">
        <f t="shared" si="1"/>
        <v>0.14820143884892079</v>
      </c>
      <c r="J20" s="55">
        <f t="shared" si="1"/>
        <v>7.1428571428571397E-2</v>
      </c>
      <c r="K20" s="55">
        <f t="shared" si="1"/>
        <v>0.2609857978279031</v>
      </c>
      <c r="L20" s="55">
        <f t="shared" si="1"/>
        <v>0.14416324367298272</v>
      </c>
      <c r="M20" s="55">
        <f t="shared" si="1"/>
        <v>0.14325419803126804</v>
      </c>
      <c r="N20" s="55">
        <f t="shared" si="1"/>
        <v>0.14890599675850891</v>
      </c>
      <c r="O20" s="55">
        <f t="shared" si="1"/>
        <v>0.13472050784694067</v>
      </c>
      <c r="P20" s="55">
        <f t="shared" si="1"/>
        <v>0.1376845376845377</v>
      </c>
      <c r="Q20" s="55">
        <f t="shared" si="1"/>
        <v>0.14260346947138358</v>
      </c>
      <c r="R20" s="55">
        <f t="shared" si="1"/>
        <v>0.12468619246861934</v>
      </c>
    </row>
    <row r="21" spans="1:23" outlineLevel="1" x14ac:dyDescent="0.2"/>
    <row r="22" spans="1:23" outlineLevel="1" x14ac:dyDescent="0.2">
      <c r="B22" s="34" t="s">
        <v>9</v>
      </c>
      <c r="D22" s="51">
        <f>IS!B10</f>
        <v>733</v>
      </c>
      <c r="E22" s="51">
        <f>IS!C10</f>
        <v>794</v>
      </c>
      <c r="F22" s="51">
        <f>IS!D10</f>
        <v>76</v>
      </c>
      <c r="G22" s="51">
        <f>IS!E10</f>
        <v>296</v>
      </c>
      <c r="H22" s="51">
        <f>IS!F10</f>
        <v>334</v>
      </c>
      <c r="I22" s="51">
        <f>IS!G10</f>
        <v>478</v>
      </c>
      <c r="J22" s="51">
        <f>IS!H10</f>
        <v>336</v>
      </c>
      <c r="K22" s="51">
        <f>IS!I10</f>
        <v>846</v>
      </c>
      <c r="L22" s="51">
        <f>IS!J10</f>
        <v>1211</v>
      </c>
      <c r="M22" s="51">
        <f>IS!K10</f>
        <v>1633</v>
      </c>
      <c r="N22" s="51">
        <f>IS!L10</f>
        <v>1898</v>
      </c>
      <c r="O22" s="51">
        <f>IS!M10</f>
        <v>2284</v>
      </c>
      <c r="P22" s="51">
        <f>IS!N10</f>
        <v>2702</v>
      </c>
      <c r="Q22" s="51">
        <f>IS!O10</f>
        <v>3376</v>
      </c>
      <c r="R22" s="51">
        <f>IS!P10</f>
        <v>3897</v>
      </c>
      <c r="S22" s="52"/>
      <c r="T22" s="52"/>
      <c r="U22" s="52"/>
      <c r="V22" s="52"/>
      <c r="W22" s="52"/>
    </row>
    <row r="23" spans="1:23" outlineLevel="1" x14ac:dyDescent="0.2">
      <c r="B23" s="53" t="s">
        <v>10</v>
      </c>
      <c r="D23" s="55">
        <f>D22/D$19</f>
        <v>0.1784323271665044</v>
      </c>
      <c r="E23" s="55">
        <f t="shared" ref="E23:R23" si="2">E22/E$19</f>
        <v>0.17640524327927126</v>
      </c>
      <c r="F23" s="55">
        <f t="shared" si="2"/>
        <v>1.9467213114754099E-2</v>
      </c>
      <c r="G23" s="55">
        <f t="shared" si="2"/>
        <v>6.6130473637176043E-2</v>
      </c>
      <c r="H23" s="55">
        <f t="shared" si="2"/>
        <v>6.8653648509763618E-2</v>
      </c>
      <c r="I23" s="55">
        <f t="shared" si="2"/>
        <v>8.5571070533476554E-2</v>
      </c>
      <c r="J23" s="55">
        <f t="shared" si="2"/>
        <v>5.6140350877192984E-2</v>
      </c>
      <c r="K23" s="55">
        <f t="shared" si="2"/>
        <v>0.11209752219424937</v>
      </c>
      <c r="L23" s="55">
        <f t="shared" si="2"/>
        <v>0.14024319629415172</v>
      </c>
      <c r="M23" s="55">
        <f t="shared" si="2"/>
        <v>0.16541734197730956</v>
      </c>
      <c r="N23" s="55">
        <f t="shared" si="2"/>
        <v>0.16734262034914477</v>
      </c>
      <c r="O23" s="55">
        <f t="shared" si="2"/>
        <v>0.17746697746697745</v>
      </c>
      <c r="P23" s="55">
        <f t="shared" si="2"/>
        <v>0.18453763147111049</v>
      </c>
      <c r="Q23" s="55">
        <f t="shared" si="2"/>
        <v>0.20179318589360432</v>
      </c>
      <c r="R23" s="55">
        <f t="shared" si="2"/>
        <v>0.20711096938775511</v>
      </c>
    </row>
    <row r="24" spans="1:23" outlineLevel="1" x14ac:dyDescent="0.2"/>
    <row r="25" spans="1:23" outlineLevel="1" x14ac:dyDescent="0.2">
      <c r="B25" s="34" t="s">
        <v>11</v>
      </c>
      <c r="D25" s="51">
        <f>IS!B13</f>
        <v>269</v>
      </c>
      <c r="E25" s="51">
        <f>IS!C13</f>
        <v>294</v>
      </c>
      <c r="F25" s="51">
        <f>IS!D13</f>
        <v>16</v>
      </c>
      <c r="G25" s="51">
        <f>IS!E13</f>
        <v>99</v>
      </c>
      <c r="H25" s="51">
        <f>IS!F13</f>
        <v>92</v>
      </c>
      <c r="I25" s="51">
        <f>IS!G13</f>
        <v>108</v>
      </c>
      <c r="J25" s="51">
        <f>IS!H13</f>
        <v>-62</v>
      </c>
      <c r="K25" s="51">
        <f>IS!I13</f>
        <v>160</v>
      </c>
      <c r="L25" s="51">
        <f>IS!J13</f>
        <v>282</v>
      </c>
      <c r="M25" s="51">
        <f>IS!K13</f>
        <v>392</v>
      </c>
      <c r="N25" s="51"/>
      <c r="O25" s="51"/>
      <c r="P25" s="51"/>
      <c r="Q25" s="51"/>
      <c r="R25" s="51"/>
    </row>
    <row r="26" spans="1:23" outlineLevel="1" x14ac:dyDescent="0.2">
      <c r="B26" s="53" t="s">
        <v>12</v>
      </c>
      <c r="D26" s="55">
        <f>D25/IS!B12</f>
        <v>0.37675070028011204</v>
      </c>
      <c r="E26" s="55">
        <f>E25/IS!C12</f>
        <v>0.38181818181818183</v>
      </c>
      <c r="F26" s="55">
        <f>F25/IS!D12</f>
        <v>0.41025641025641024</v>
      </c>
      <c r="G26" s="55">
        <f>G25/IS!E12</f>
        <v>0.35869565217391303</v>
      </c>
      <c r="H26" s="55">
        <f>H25/IS!F12</f>
        <v>0.34328358208955223</v>
      </c>
      <c r="I26" s="55">
        <f>I25/IS!G12</f>
        <v>0.23580786026200873</v>
      </c>
      <c r="J26" s="55">
        <f>J25/IS!H12</f>
        <v>-0.21088435374149661</v>
      </c>
      <c r="K26" s="55">
        <f>K25/IS!I12</f>
        <v>0.1968019680196802</v>
      </c>
      <c r="L26" s="55">
        <f>L25/IS!J12</f>
        <v>0.23857868020304568</v>
      </c>
      <c r="M26" s="55">
        <f>M25/IS!K12</f>
        <v>0.24182603331276989</v>
      </c>
      <c r="N26" s="55"/>
      <c r="O26" s="55"/>
      <c r="P26" s="55"/>
      <c r="Q26" s="55"/>
      <c r="R26" s="55"/>
    </row>
    <row r="27" spans="1:23" outlineLevel="1" x14ac:dyDescent="0.2"/>
    <row r="28" spans="1:23" outlineLevel="1" x14ac:dyDescent="0.2">
      <c r="A28" s="35" t="s">
        <v>0</v>
      </c>
      <c r="B28" s="39" t="s">
        <v>129</v>
      </c>
      <c r="C28" s="39"/>
      <c r="D28" s="49">
        <f>D18</f>
        <v>2014</v>
      </c>
      <c r="E28" s="49">
        <f t="shared" ref="E28:R28" si="3">E18</f>
        <v>2015</v>
      </c>
      <c r="F28" s="49">
        <f t="shared" si="3"/>
        <v>2016</v>
      </c>
      <c r="G28" s="49">
        <f t="shared" si="3"/>
        <v>2017</v>
      </c>
      <c r="H28" s="49">
        <f t="shared" si="3"/>
        <v>2018</v>
      </c>
      <c r="I28" s="49">
        <f t="shared" si="3"/>
        <v>2019</v>
      </c>
      <c r="J28" s="49">
        <f t="shared" si="3"/>
        <v>2020</v>
      </c>
      <c r="K28" s="49">
        <f t="shared" si="3"/>
        <v>2021</v>
      </c>
      <c r="L28" s="49">
        <f t="shared" si="3"/>
        <v>2022</v>
      </c>
      <c r="M28" s="49">
        <f t="shared" si="3"/>
        <v>2023</v>
      </c>
      <c r="N28" s="50">
        <f t="shared" si="3"/>
        <v>2024</v>
      </c>
      <c r="O28" s="50">
        <f t="shared" si="3"/>
        <v>2025</v>
      </c>
      <c r="P28" s="50">
        <f t="shared" si="3"/>
        <v>2026</v>
      </c>
      <c r="Q28" s="50">
        <f t="shared" si="3"/>
        <v>2027</v>
      </c>
      <c r="R28" s="50">
        <f t="shared" si="3"/>
        <v>2028</v>
      </c>
      <c r="S28" s="40"/>
      <c r="T28" s="40"/>
      <c r="U28" s="40"/>
      <c r="V28" s="40"/>
      <c r="W28" s="40"/>
    </row>
    <row r="29" spans="1:23" outlineLevel="1" x14ac:dyDescent="0.2">
      <c r="B29" s="34" t="s">
        <v>14</v>
      </c>
      <c r="D29" s="51">
        <f>'CFS Historicals'!B5</f>
        <v>110</v>
      </c>
      <c r="E29" s="51">
        <f>'CFS Historicals'!C5</f>
        <v>130</v>
      </c>
      <c r="F29" s="51">
        <f>'CFS Historicals'!D5</f>
        <v>146</v>
      </c>
      <c r="G29" s="51">
        <f>'CFS Historicals'!E5</f>
        <v>163</v>
      </c>
      <c r="H29" s="51">
        <f>'CFS Historicals'!F5</f>
        <v>202</v>
      </c>
      <c r="I29" s="51">
        <f>'CFS Historicals'!G5</f>
        <v>213</v>
      </c>
      <c r="J29" s="51">
        <f>'CFS Historicals'!H5</f>
        <v>239</v>
      </c>
      <c r="K29" s="51">
        <f>'CFS Historicals'!I5</f>
        <v>255</v>
      </c>
      <c r="L29" s="51">
        <f>'CFS Historicals'!J5</f>
        <v>287</v>
      </c>
      <c r="M29" s="51">
        <f>'CFS Historicals'!K5</f>
        <v>319</v>
      </c>
      <c r="N29" s="51"/>
      <c r="O29" s="51"/>
      <c r="P29" s="51"/>
      <c r="Q29" s="51"/>
      <c r="R29" s="51"/>
    </row>
    <row r="30" spans="1:23" outlineLevel="1" x14ac:dyDescent="0.2">
      <c r="B30" s="53" t="s">
        <v>10</v>
      </c>
      <c r="D30" s="55">
        <f>D29/D$19</f>
        <v>2.6777020447906523E-2</v>
      </c>
      <c r="E30" s="55">
        <f t="shared" ref="E30" si="4">E29/E$19</f>
        <v>2.888247056209731E-2</v>
      </c>
      <c r="F30" s="55">
        <f t="shared" ref="F30" si="5">F29/F$19</f>
        <v>3.7397540983606557E-2</v>
      </c>
      <c r="G30" s="55">
        <f t="shared" ref="G30" si="6">G29/G$19</f>
        <v>3.6416443252904378E-2</v>
      </c>
      <c r="H30" s="55">
        <f t="shared" ref="H30" si="7">H29/H$19</f>
        <v>4.1521068859198353E-2</v>
      </c>
      <c r="I30" s="55">
        <f t="shared" ref="I30" si="8">I29/I$19</f>
        <v>3.8131041890440386E-2</v>
      </c>
      <c r="J30" s="55">
        <f t="shared" ref="J30" si="9">J29/J$19</f>
        <v>3.9933166248955723E-2</v>
      </c>
      <c r="K30" s="55">
        <f t="shared" ref="K30" si="10">K29/K$19</f>
        <v>3.3788260235855308E-2</v>
      </c>
      <c r="L30" s="55">
        <f t="shared" ref="L30" si="11">L29/L$19</f>
        <v>3.3236826867400114E-2</v>
      </c>
      <c r="M30" s="55">
        <f t="shared" ref="M30" si="12">M29/M$19</f>
        <v>3.2313614262560776E-2</v>
      </c>
      <c r="N30" s="55"/>
      <c r="O30" s="55"/>
      <c r="P30" s="55"/>
      <c r="Q30" s="55"/>
      <c r="R30" s="55"/>
    </row>
    <row r="31" spans="1:23" outlineLevel="1" x14ac:dyDescent="0.2">
      <c r="B31" s="53"/>
    </row>
    <row r="32" spans="1:23" outlineLevel="1" x14ac:dyDescent="0.2">
      <c r="B32" s="34" t="s">
        <v>15</v>
      </c>
      <c r="D32" s="51">
        <f>-'CFS Historicals'!B38</f>
        <v>253</v>
      </c>
      <c r="E32" s="51">
        <f>-'CFS Historicals'!C38</f>
        <v>257</v>
      </c>
      <c r="F32" s="51">
        <f>-'CFS Historicals'!D38</f>
        <v>259</v>
      </c>
      <c r="G32" s="51">
        <f>-'CFS Historicals'!E38</f>
        <v>217</v>
      </c>
      <c r="H32" s="51">
        <f>-'CFS Historicals'!F38</f>
        <v>287</v>
      </c>
      <c r="I32" s="51">
        <f>-'CFS Historicals'!G38</f>
        <v>334</v>
      </c>
      <c r="J32" s="51">
        <f>-'CFS Historicals'!H38</f>
        <v>373</v>
      </c>
      <c r="K32" s="51">
        <f>-'CFS Historicals'!I38</f>
        <v>442</v>
      </c>
      <c r="L32" s="51">
        <f>-'CFS Historicals'!J38</f>
        <v>479</v>
      </c>
      <c r="M32" s="51">
        <f>-'CFS Historicals'!K38</f>
        <v>561</v>
      </c>
      <c r="N32" s="51"/>
      <c r="O32" s="51"/>
      <c r="P32" s="51"/>
      <c r="Q32" s="51"/>
      <c r="R32" s="51"/>
    </row>
    <row r="33" spans="1:23" outlineLevel="1" x14ac:dyDescent="0.2">
      <c r="B33" s="53" t="s">
        <v>10</v>
      </c>
      <c r="D33" s="55">
        <f t="shared" ref="D33:M33" si="13">D32/D$19</f>
        <v>6.1587147030185002E-2</v>
      </c>
      <c r="E33" s="55">
        <f t="shared" si="13"/>
        <v>5.7098422572761612E-2</v>
      </c>
      <c r="F33" s="55">
        <f t="shared" si="13"/>
        <v>6.6342213114754092E-2</v>
      </c>
      <c r="G33" s="55">
        <f t="shared" si="13"/>
        <v>4.8480786416443253E-2</v>
      </c>
      <c r="H33" s="55">
        <f t="shared" si="13"/>
        <v>5.8992805755395686E-2</v>
      </c>
      <c r="I33" s="55">
        <f t="shared" si="13"/>
        <v>5.979233798782671E-2</v>
      </c>
      <c r="J33" s="55">
        <f t="shared" si="13"/>
        <v>6.232247284878864E-2</v>
      </c>
      <c r="K33" s="55">
        <f t="shared" si="13"/>
        <v>5.8566317742149196E-2</v>
      </c>
      <c r="L33" s="55">
        <f t="shared" si="13"/>
        <v>5.5471916618413435E-2</v>
      </c>
      <c r="M33" s="55">
        <f t="shared" si="13"/>
        <v>5.6827390599675849E-2</v>
      </c>
      <c r="N33" s="55"/>
      <c r="O33" s="55"/>
      <c r="P33" s="55"/>
      <c r="Q33" s="55"/>
      <c r="R33" s="55"/>
    </row>
    <row r="34" spans="1:23" outlineLevel="1" x14ac:dyDescent="0.2">
      <c r="B34" s="53"/>
    </row>
    <row r="35" spans="1:23" outlineLevel="1" x14ac:dyDescent="0.2">
      <c r="B35" s="34" t="s">
        <v>16</v>
      </c>
      <c r="D35" s="51">
        <f>'CFS Historicals'!B9</f>
        <v>65.05</v>
      </c>
      <c r="E35" s="51">
        <f>'CFS Historicals'!C9</f>
        <v>68.5</v>
      </c>
      <c r="F35" s="51">
        <f>'CFS Historicals'!D9</f>
        <v>108.3</v>
      </c>
      <c r="G35" s="51">
        <f>'CFS Historicals'!E9</f>
        <v>66.900000000000006</v>
      </c>
      <c r="H35" s="51">
        <f>'CFS Historicals'!F9</f>
        <v>104.1</v>
      </c>
      <c r="I35" s="51">
        <f>'CFS Historicals'!G9</f>
        <v>-131.5</v>
      </c>
      <c r="J35" s="51">
        <f>'CFS Historicals'!H9</f>
        <v>-338.6</v>
      </c>
      <c r="K35" s="51">
        <f>'CFS Historicals'!I9</f>
        <v>197.4</v>
      </c>
      <c r="L35" s="51">
        <f>'CFS Historicals'!J9</f>
        <v>78.599999999999994</v>
      </c>
      <c r="M35" s="51">
        <f>'CFS Historicals'!K9</f>
        <v>95.3</v>
      </c>
      <c r="N35" s="51"/>
      <c r="O35" s="51"/>
      <c r="P35" s="51"/>
      <c r="Q35" s="51"/>
      <c r="R35" s="51"/>
    </row>
    <row r="36" spans="1:23" outlineLevel="1" x14ac:dyDescent="0.2">
      <c r="B36" s="53" t="s">
        <v>10</v>
      </c>
      <c r="D36" s="55">
        <f t="shared" ref="D36" si="14">D35/D$19</f>
        <v>1.5834956183057448E-2</v>
      </c>
      <c r="E36" s="55">
        <f t="shared" ref="E36" si="15">E35/E$19</f>
        <v>1.5218840257720507E-2</v>
      </c>
      <c r="F36" s="55">
        <f t="shared" ref="F36" si="16">F35/F$19</f>
        <v>2.7740778688524589E-2</v>
      </c>
      <c r="G36" s="55">
        <f t="shared" ref="G36" si="17">G35/G$19</f>
        <v>1.494638069705094E-2</v>
      </c>
      <c r="H36" s="55">
        <f t="shared" ref="H36" si="18">H35/H$19</f>
        <v>2.1397738951695784E-2</v>
      </c>
      <c r="I36" s="55">
        <f t="shared" ref="I36" si="19">I35/I$19</f>
        <v>-2.3540995345506625E-2</v>
      </c>
      <c r="J36" s="55">
        <f t="shared" ref="J36" si="20">J35/J$19</f>
        <v>-5.6574770258980792E-2</v>
      </c>
      <c r="K36" s="55">
        <f t="shared" ref="K36" si="21">K35/K$19</f>
        <v>2.615608851199152E-2</v>
      </c>
      <c r="L36" s="55">
        <f t="shared" ref="L36" si="22">L35/L$19</f>
        <v>9.1024898668210768E-3</v>
      </c>
      <c r="M36" s="55">
        <f t="shared" ref="M36" si="23">M35/M$19</f>
        <v>9.6535656401944888E-3</v>
      </c>
      <c r="N36" s="55"/>
      <c r="O36" s="55"/>
      <c r="P36" s="55"/>
      <c r="Q36" s="55"/>
      <c r="R36" s="55"/>
    </row>
    <row r="37" spans="1:23" outlineLevel="1" x14ac:dyDescent="0.2">
      <c r="B37" s="53" t="s">
        <v>17</v>
      </c>
      <c r="D37" s="56" t="s">
        <v>125</v>
      </c>
      <c r="E37" s="55">
        <f t="shared" ref="E37:M37" si="24">E35/(E19-D19)</f>
        <v>0.17430025445292621</v>
      </c>
      <c r="F37" s="55">
        <f t="shared" si="24"/>
        <v>-0.18140703517587939</v>
      </c>
      <c r="G37" s="55">
        <f t="shared" si="24"/>
        <v>0.11695804195804196</v>
      </c>
      <c r="H37" s="55">
        <f t="shared" si="24"/>
        <v>0.26760925449871464</v>
      </c>
      <c r="I37" s="55">
        <f t="shared" si="24"/>
        <v>-0.18238557558945909</v>
      </c>
      <c r="J37" s="55">
        <f t="shared" si="24"/>
        <v>-0.84862155388471183</v>
      </c>
      <c r="K37" s="55">
        <f t="shared" si="24"/>
        <v>0.12637644046094751</v>
      </c>
      <c r="L37" s="55">
        <f t="shared" si="24"/>
        <v>7.2242647058823523E-2</v>
      </c>
      <c r="M37" s="55">
        <f t="shared" si="24"/>
        <v>7.7041228779304763E-2</v>
      </c>
      <c r="N37" s="55"/>
      <c r="O37" s="55"/>
      <c r="P37" s="55"/>
      <c r="Q37" s="55"/>
      <c r="R37" s="55"/>
    </row>
    <row r="38" spans="1:23" x14ac:dyDescent="0.2">
      <c r="N38" s="34">
        <f>M38+1</f>
        <v>1</v>
      </c>
      <c r="O38" s="34">
        <f t="shared" ref="O38:R38" si="25">N38+1</f>
        <v>2</v>
      </c>
      <c r="P38" s="34">
        <f t="shared" si="25"/>
        <v>3</v>
      </c>
      <c r="Q38" s="34">
        <f t="shared" si="25"/>
        <v>4</v>
      </c>
      <c r="R38" s="34">
        <f t="shared" si="25"/>
        <v>5</v>
      </c>
    </row>
    <row r="39" spans="1:23" x14ac:dyDescent="0.2">
      <c r="A39" s="35" t="s">
        <v>0</v>
      </c>
      <c r="B39" s="39" t="s">
        <v>130</v>
      </c>
      <c r="C39" s="39"/>
      <c r="D39" s="49">
        <f>D18</f>
        <v>2014</v>
      </c>
      <c r="E39" s="49">
        <f t="shared" ref="E39:R39" si="26">E18</f>
        <v>2015</v>
      </c>
      <c r="F39" s="49">
        <f t="shared" si="26"/>
        <v>2016</v>
      </c>
      <c r="G39" s="49">
        <f t="shared" si="26"/>
        <v>2017</v>
      </c>
      <c r="H39" s="49">
        <f t="shared" si="26"/>
        <v>2018</v>
      </c>
      <c r="I39" s="49">
        <f t="shared" si="26"/>
        <v>2019</v>
      </c>
      <c r="J39" s="49">
        <f t="shared" si="26"/>
        <v>2020</v>
      </c>
      <c r="K39" s="49">
        <f t="shared" si="26"/>
        <v>2021</v>
      </c>
      <c r="L39" s="49">
        <f t="shared" si="26"/>
        <v>2022</v>
      </c>
      <c r="M39" s="49">
        <f t="shared" si="26"/>
        <v>2023</v>
      </c>
      <c r="N39" s="50">
        <f t="shared" si="26"/>
        <v>2024</v>
      </c>
      <c r="O39" s="50">
        <f t="shared" si="26"/>
        <v>2025</v>
      </c>
      <c r="P39" s="50">
        <f t="shared" si="26"/>
        <v>2026</v>
      </c>
      <c r="Q39" s="50">
        <f t="shared" si="26"/>
        <v>2027</v>
      </c>
      <c r="R39" s="50">
        <f t="shared" si="26"/>
        <v>2028</v>
      </c>
      <c r="S39" s="57"/>
      <c r="T39" s="57"/>
      <c r="U39" s="57"/>
      <c r="V39" s="57"/>
      <c r="W39" s="57"/>
    </row>
    <row r="40" spans="1:23" x14ac:dyDescent="0.2">
      <c r="B40" s="34" t="s">
        <v>7</v>
      </c>
      <c r="D40" s="58">
        <f>D19</f>
        <v>4108</v>
      </c>
      <c r="E40" s="58">
        <f t="shared" ref="E40:M40" si="27">E19</f>
        <v>4501</v>
      </c>
      <c r="F40" s="58">
        <f t="shared" si="27"/>
        <v>3904</v>
      </c>
      <c r="G40" s="58">
        <f t="shared" si="27"/>
        <v>4476</v>
      </c>
      <c r="H40" s="58">
        <f t="shared" si="27"/>
        <v>4865</v>
      </c>
      <c r="I40" s="58">
        <f t="shared" si="27"/>
        <v>5586</v>
      </c>
      <c r="J40" s="58">
        <f t="shared" si="27"/>
        <v>5985</v>
      </c>
      <c r="K40" s="58">
        <f t="shared" si="27"/>
        <v>7547</v>
      </c>
      <c r="L40" s="58">
        <f t="shared" si="27"/>
        <v>8635</v>
      </c>
      <c r="M40" s="58">
        <f t="shared" si="27"/>
        <v>9872</v>
      </c>
      <c r="N40" s="59">
        <f ca="1">M40*(1+N41)</f>
        <v>11342</v>
      </c>
      <c r="O40" s="59">
        <f t="shared" ref="O40:R40" ca="1" si="28">N40*(1+O41)</f>
        <v>12870.000000000002</v>
      </c>
      <c r="P40" s="59">
        <f t="shared" ca="1" si="28"/>
        <v>14343.77499559161</v>
      </c>
      <c r="Q40" s="59">
        <f t="shared" ca="1" si="28"/>
        <v>15739.934466552044</v>
      </c>
      <c r="R40" s="59">
        <f t="shared" ca="1" si="28"/>
        <v>17042.181594441881</v>
      </c>
      <c r="S40" s="59"/>
      <c r="T40" s="59"/>
      <c r="U40" s="59"/>
      <c r="V40" s="59"/>
      <c r="W40" s="59"/>
    </row>
    <row r="41" spans="1:23" s="53" customFormat="1" x14ac:dyDescent="0.2">
      <c r="A41" s="60"/>
      <c r="B41" s="53" t="s">
        <v>8</v>
      </c>
      <c r="D41" s="58" t="str">
        <f>D20</f>
        <v>--</v>
      </c>
      <c r="E41" s="61">
        <f>E20</f>
        <v>9.5666991236611487E-2</v>
      </c>
      <c r="F41" s="61">
        <f t="shared" ref="F41:M41" si="29">F20</f>
        <v>-0.13263719173516997</v>
      </c>
      <c r="G41" s="61">
        <f t="shared" si="29"/>
        <v>0.14651639344262302</v>
      </c>
      <c r="H41" s="61">
        <f t="shared" si="29"/>
        <v>8.6907953529937521E-2</v>
      </c>
      <c r="I41" s="61">
        <f t="shared" si="29"/>
        <v>0.14820143884892079</v>
      </c>
      <c r="J41" s="61">
        <f t="shared" si="29"/>
        <v>7.1428571428571397E-2</v>
      </c>
      <c r="K41" s="61">
        <f t="shared" si="29"/>
        <v>0.2609857978279031</v>
      </c>
      <c r="L41" s="61">
        <f t="shared" si="29"/>
        <v>0.14416324367298272</v>
      </c>
      <c r="M41" s="61">
        <f t="shared" si="29"/>
        <v>0.14325419803126804</v>
      </c>
      <c r="N41" s="62">
        <f ca="1">OFFSET(N41,$D$10,0)</f>
        <v>0.14890599675850891</v>
      </c>
      <c r="O41" s="62">
        <f t="shared" ref="O41:R41" ca="1" si="30">OFFSET(O41,$D$10,0)</f>
        <v>0.13472050784694067</v>
      </c>
      <c r="P41" s="62">
        <f t="shared" ca="1" si="30"/>
        <v>0.11451243166989956</v>
      </c>
      <c r="Q41" s="62">
        <f t="shared" ca="1" si="30"/>
        <v>9.7335566919414626E-2</v>
      </c>
      <c r="R41" s="62">
        <f t="shared" ca="1" si="30"/>
        <v>8.2735231881502433E-2</v>
      </c>
      <c r="S41" s="62"/>
      <c r="T41" s="62"/>
      <c r="U41" s="62"/>
      <c r="V41" s="62"/>
      <c r="W41" s="62"/>
    </row>
    <row r="42" spans="1:23" x14ac:dyDescent="0.2">
      <c r="B42" s="34" t="s">
        <v>18</v>
      </c>
      <c r="M42" s="63"/>
      <c r="N42" s="64">
        <f>N43</f>
        <v>0.14890599675850891</v>
      </c>
      <c r="O42" s="69">
        <f>O43*(1+$H$10)</f>
        <v>0.12461646975842013</v>
      </c>
      <c r="P42" s="69">
        <f t="shared" ref="P42:R42" si="31">P43*(1+$H$10)</f>
        <v>0.1059239992946571</v>
      </c>
      <c r="Q42" s="69">
        <f t="shared" si="31"/>
        <v>9.003539940045853E-2</v>
      </c>
      <c r="R42" s="69">
        <f t="shared" si="31"/>
        <v>7.6530089490389752E-2</v>
      </c>
      <c r="S42" s="65"/>
      <c r="T42" s="65"/>
      <c r="U42" s="65"/>
      <c r="V42" s="65"/>
      <c r="W42" s="66"/>
    </row>
    <row r="43" spans="1:23" x14ac:dyDescent="0.2">
      <c r="B43" s="34" t="s">
        <v>19</v>
      </c>
      <c r="D43" s="58"/>
      <c r="E43" s="58"/>
      <c r="F43" s="58"/>
      <c r="G43" s="58"/>
      <c r="H43" s="58"/>
      <c r="I43" s="58"/>
      <c r="J43" s="58"/>
      <c r="K43" s="58"/>
      <c r="L43" s="58"/>
      <c r="M43" s="67"/>
      <c r="N43" s="68">
        <f>N20</f>
        <v>0.14890599675850891</v>
      </c>
      <c r="O43" s="68">
        <f>O20</f>
        <v>0.13472050784694067</v>
      </c>
      <c r="P43" s="69">
        <f>O43*(1+$L$10)</f>
        <v>0.11451243166989956</v>
      </c>
      <c r="Q43" s="69">
        <f>P43*(1+$L$10)</f>
        <v>9.7335566919414626E-2</v>
      </c>
      <c r="R43" s="69">
        <f>Q43*(1+$L$10)</f>
        <v>8.2735231881502433E-2</v>
      </c>
      <c r="S43" s="65"/>
      <c r="T43" s="65"/>
      <c r="U43" s="65"/>
      <c r="V43" s="65"/>
      <c r="W43" s="70"/>
    </row>
    <row r="44" spans="1:23" x14ac:dyDescent="0.2">
      <c r="B44" s="34" t="s">
        <v>20</v>
      </c>
      <c r="D44" s="58"/>
      <c r="E44" s="55"/>
      <c r="F44" s="55"/>
      <c r="G44" s="55"/>
      <c r="H44" s="55"/>
      <c r="I44" s="55"/>
      <c r="J44" s="55"/>
      <c r="K44" s="55"/>
      <c r="L44" s="55"/>
      <c r="M44" s="71"/>
      <c r="N44" s="64">
        <f>N43</f>
        <v>0.14890599675850891</v>
      </c>
      <c r="O44" s="69">
        <f>O43*(1+$P$10)</f>
        <v>0.14819255863163475</v>
      </c>
      <c r="P44" s="69">
        <f t="shared" ref="P44:R44" si="32">P43*(1+$P$10)</f>
        <v>0.12596367483688953</v>
      </c>
      <c r="Q44" s="69">
        <f t="shared" si="32"/>
        <v>0.10706912361135609</v>
      </c>
      <c r="R44" s="69">
        <f t="shared" si="32"/>
        <v>9.1008755069652683E-2</v>
      </c>
      <c r="S44" s="65"/>
      <c r="T44" s="65"/>
      <c r="U44" s="65"/>
      <c r="V44" s="65"/>
      <c r="W44" s="62"/>
    </row>
    <row r="46" spans="1:23" x14ac:dyDescent="0.2">
      <c r="B46" s="34" t="s">
        <v>9</v>
      </c>
      <c r="D46" s="58">
        <f>D22</f>
        <v>733</v>
      </c>
      <c r="E46" s="58">
        <f t="shared" ref="E46:M46" si="33">E22</f>
        <v>794</v>
      </c>
      <c r="F46" s="58">
        <f t="shared" si="33"/>
        <v>76</v>
      </c>
      <c r="G46" s="58">
        <f t="shared" si="33"/>
        <v>296</v>
      </c>
      <c r="H46" s="58">
        <f t="shared" si="33"/>
        <v>334</v>
      </c>
      <c r="I46" s="58">
        <f t="shared" si="33"/>
        <v>478</v>
      </c>
      <c r="J46" s="58">
        <f t="shared" si="33"/>
        <v>336</v>
      </c>
      <c r="K46" s="58">
        <f t="shared" si="33"/>
        <v>846</v>
      </c>
      <c r="L46" s="58">
        <f t="shared" si="33"/>
        <v>1211</v>
      </c>
      <c r="M46" s="58">
        <f t="shared" si="33"/>
        <v>1633</v>
      </c>
      <c r="N46" s="59">
        <f ca="1">N47*N40</f>
        <v>1898</v>
      </c>
      <c r="O46" s="59">
        <f t="shared" ref="O46:R46" ca="1" si="34">O47*O40</f>
        <v>2284</v>
      </c>
      <c r="P46" s="59">
        <f t="shared" ca="1" si="34"/>
        <v>2672.8237136307534</v>
      </c>
      <c r="Q46" s="59">
        <f t="shared" ca="1" si="34"/>
        <v>3079.6337513262906</v>
      </c>
      <c r="R46" s="59">
        <f t="shared" ca="1" si="34"/>
        <v>3501.1493620449919</v>
      </c>
      <c r="S46" s="59"/>
      <c r="T46" s="59"/>
      <c r="U46" s="59"/>
      <c r="V46" s="59"/>
      <c r="W46" s="59"/>
    </row>
    <row r="47" spans="1:23" x14ac:dyDescent="0.2">
      <c r="B47" s="53" t="s">
        <v>10</v>
      </c>
      <c r="D47" s="61">
        <f>D23</f>
        <v>0.1784323271665044</v>
      </c>
      <c r="E47" s="61">
        <f t="shared" ref="E47:M47" si="35">E23</f>
        <v>0.17640524327927126</v>
      </c>
      <c r="F47" s="61">
        <f t="shared" si="35"/>
        <v>1.9467213114754099E-2</v>
      </c>
      <c r="G47" s="61">
        <f t="shared" si="35"/>
        <v>6.6130473637176043E-2</v>
      </c>
      <c r="H47" s="61">
        <f t="shared" si="35"/>
        <v>6.8653648509763618E-2</v>
      </c>
      <c r="I47" s="61">
        <f t="shared" si="35"/>
        <v>8.5571070533476554E-2</v>
      </c>
      <c r="J47" s="61">
        <f t="shared" si="35"/>
        <v>5.6140350877192984E-2</v>
      </c>
      <c r="K47" s="61">
        <f t="shared" si="35"/>
        <v>0.11209752219424937</v>
      </c>
      <c r="L47" s="61">
        <f t="shared" si="35"/>
        <v>0.14024319629415172</v>
      </c>
      <c r="M47" s="61">
        <f t="shared" si="35"/>
        <v>0.16541734197730956</v>
      </c>
      <c r="N47" s="62">
        <f ca="1">OFFSET(N47,$D$11,0)</f>
        <v>0.16734262034914477</v>
      </c>
      <c r="O47" s="62">
        <f t="shared" ref="O47:R47" ca="1" si="36">OFFSET(O47,$D$11,0)</f>
        <v>0.17746697746697745</v>
      </c>
      <c r="P47" s="62">
        <f t="shared" ca="1" si="36"/>
        <v>0.18634032634032632</v>
      </c>
      <c r="Q47" s="62">
        <f t="shared" ca="1" si="36"/>
        <v>0.19565734265734264</v>
      </c>
      <c r="R47" s="62">
        <f t="shared" ca="1" si="36"/>
        <v>0.20544020979020977</v>
      </c>
      <c r="S47" s="62"/>
      <c r="T47" s="62"/>
      <c r="U47" s="62"/>
      <c r="V47" s="62"/>
      <c r="W47" s="62"/>
    </row>
    <row r="48" spans="1:23" x14ac:dyDescent="0.2">
      <c r="B48" s="34" t="s">
        <v>18</v>
      </c>
      <c r="M48" s="63"/>
      <c r="N48" s="64">
        <f>N49</f>
        <v>0.16734262034914477</v>
      </c>
      <c r="O48" s="69">
        <f>O49*(1+$H$11)</f>
        <v>0.16415695415695417</v>
      </c>
      <c r="P48" s="69">
        <f t="shared" ref="P48:R48" si="37">P49*(1+$H$11)</f>
        <v>0.17236480186480185</v>
      </c>
      <c r="Q48" s="69">
        <f t="shared" si="37"/>
        <v>0.18098304195804193</v>
      </c>
      <c r="R48" s="69">
        <f t="shared" si="37"/>
        <v>0.19003219405594404</v>
      </c>
      <c r="S48" s="65"/>
      <c r="T48" s="65"/>
      <c r="U48" s="65"/>
      <c r="V48" s="65"/>
      <c r="W48" s="66"/>
    </row>
    <row r="49" spans="1:23" x14ac:dyDescent="0.2">
      <c r="B49" s="34" t="s">
        <v>19</v>
      </c>
      <c r="M49" s="63"/>
      <c r="N49" s="68">
        <f>N23</f>
        <v>0.16734262034914477</v>
      </c>
      <c r="O49" s="72">
        <f>O23</f>
        <v>0.17746697746697745</v>
      </c>
      <c r="P49" s="69">
        <f>O49*(1+$L$11)</f>
        <v>0.18634032634032632</v>
      </c>
      <c r="Q49" s="69">
        <f t="shared" ref="Q49:R49" si="38">P49*(1+$L$11)</f>
        <v>0.19565734265734264</v>
      </c>
      <c r="R49" s="69">
        <f t="shared" si="38"/>
        <v>0.20544020979020977</v>
      </c>
      <c r="S49" s="65"/>
      <c r="T49" s="65"/>
      <c r="U49" s="65"/>
      <c r="V49" s="65"/>
      <c r="W49" s="70"/>
    </row>
    <row r="50" spans="1:23" x14ac:dyDescent="0.2">
      <c r="B50" s="34" t="s">
        <v>20</v>
      </c>
      <c r="M50" s="63"/>
      <c r="N50" s="64">
        <f>N49</f>
        <v>0.16734262034914477</v>
      </c>
      <c r="O50" s="69">
        <f>O49*(1+$P$11)</f>
        <v>0.19521367521367522</v>
      </c>
      <c r="P50" s="69">
        <f t="shared" ref="P50:R50" si="39">P49*(1+$P$11)</f>
        <v>0.20497435897435898</v>
      </c>
      <c r="Q50" s="69">
        <f t="shared" si="39"/>
        <v>0.21522307692307691</v>
      </c>
      <c r="R50" s="69">
        <f t="shared" si="39"/>
        <v>0.22598423076923077</v>
      </c>
      <c r="S50" s="65"/>
      <c r="T50" s="65"/>
      <c r="U50" s="65"/>
      <c r="V50" s="65"/>
      <c r="W50" s="62"/>
    </row>
    <row r="52" spans="1:23" x14ac:dyDescent="0.2">
      <c r="B52" s="34" t="s">
        <v>21</v>
      </c>
      <c r="D52" s="58">
        <f>D25</f>
        <v>269</v>
      </c>
      <c r="E52" s="58">
        <f t="shared" ref="E52:M52" si="40">E25</f>
        <v>294</v>
      </c>
      <c r="F52" s="58">
        <f t="shared" si="40"/>
        <v>16</v>
      </c>
      <c r="G52" s="58">
        <f t="shared" si="40"/>
        <v>99</v>
      </c>
      <c r="H52" s="58">
        <f t="shared" si="40"/>
        <v>92</v>
      </c>
      <c r="I52" s="58">
        <f t="shared" si="40"/>
        <v>108</v>
      </c>
      <c r="J52" s="58">
        <f t="shared" si="40"/>
        <v>-62</v>
      </c>
      <c r="K52" s="58">
        <f t="shared" si="40"/>
        <v>160</v>
      </c>
      <c r="L52" s="58">
        <f t="shared" si="40"/>
        <v>282</v>
      </c>
      <c r="M52" s="58">
        <f t="shared" si="40"/>
        <v>392</v>
      </c>
      <c r="N52" s="59">
        <f ca="1">N46*N53</f>
        <v>428.44609385145702</v>
      </c>
      <c r="O52" s="59">
        <f t="shared" ref="O52:R52" ca="1" si="41">O46*O53</f>
        <v>515.58002020902416</v>
      </c>
      <c r="P52" s="59">
        <f t="shared" ca="1" si="41"/>
        <v>603.35135914575426</v>
      </c>
      <c r="Q52" s="59">
        <f t="shared" ca="1" si="41"/>
        <v>695.1828510267959</v>
      </c>
      <c r="R52" s="59">
        <f t="shared" ca="1" si="41"/>
        <v>790.33391367686909</v>
      </c>
      <c r="S52" s="58"/>
      <c r="T52" s="58"/>
      <c r="U52" s="58"/>
      <c r="V52" s="58"/>
      <c r="W52" s="58"/>
    </row>
    <row r="53" spans="1:23" x14ac:dyDescent="0.2">
      <c r="B53" s="53" t="s">
        <v>12</v>
      </c>
      <c r="D53" s="61">
        <f>D26</f>
        <v>0.37675070028011204</v>
      </c>
      <c r="E53" s="61">
        <f t="shared" ref="E53:M53" si="42">E26</f>
        <v>0.38181818181818183</v>
      </c>
      <c r="F53" s="61">
        <f t="shared" si="42"/>
        <v>0.41025641025641024</v>
      </c>
      <c r="G53" s="61">
        <f t="shared" si="42"/>
        <v>0.35869565217391303</v>
      </c>
      <c r="H53" s="61">
        <f t="shared" si="42"/>
        <v>0.34328358208955223</v>
      </c>
      <c r="I53" s="61">
        <f t="shared" si="42"/>
        <v>0.23580786026200873</v>
      </c>
      <c r="J53" s="61">
        <f t="shared" si="42"/>
        <v>-0.21088435374149661</v>
      </c>
      <c r="K53" s="61">
        <f t="shared" si="42"/>
        <v>0.1968019680196802</v>
      </c>
      <c r="L53" s="61">
        <f t="shared" si="42"/>
        <v>0.23857868020304568</v>
      </c>
      <c r="M53" s="61">
        <f t="shared" si="42"/>
        <v>0.24182603331276989</v>
      </c>
      <c r="N53" s="73">
        <f>AVERAGE(K53:M53)</f>
        <v>0.22573556051183194</v>
      </c>
      <c r="O53" s="61">
        <f>N53</f>
        <v>0.22573556051183194</v>
      </c>
      <c r="P53" s="61">
        <f t="shared" ref="P53:R53" si="43">O53</f>
        <v>0.22573556051183194</v>
      </c>
      <c r="Q53" s="61">
        <f t="shared" si="43"/>
        <v>0.22573556051183194</v>
      </c>
      <c r="R53" s="61">
        <f t="shared" si="43"/>
        <v>0.22573556051183194</v>
      </c>
      <c r="S53" s="65"/>
      <c r="T53" s="65"/>
      <c r="U53" s="65"/>
      <c r="V53" s="65"/>
      <c r="W53" s="70"/>
    </row>
    <row r="55" spans="1:23" x14ac:dyDescent="0.2">
      <c r="A55" s="35" t="s">
        <v>0</v>
      </c>
      <c r="B55" s="127" t="s">
        <v>22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9"/>
      <c r="N55" s="129">
        <f ca="1">N46-N52</f>
        <v>1469.5539061485429</v>
      </c>
      <c r="O55" s="129">
        <f t="shared" ref="O55:R55" ca="1" si="44">O46-O52</f>
        <v>1768.419979790976</v>
      </c>
      <c r="P55" s="129">
        <f t="shared" ca="1" si="44"/>
        <v>2069.4723544849994</v>
      </c>
      <c r="Q55" s="129">
        <f t="shared" ca="1" si="44"/>
        <v>2384.4509002994946</v>
      </c>
      <c r="R55" s="130">
        <f t="shared" ca="1" si="44"/>
        <v>2710.8154483681228</v>
      </c>
      <c r="S55" s="74"/>
      <c r="T55" s="74"/>
      <c r="U55" s="74"/>
      <c r="V55" s="74"/>
      <c r="W55" s="74"/>
    </row>
    <row r="57" spans="1:23" x14ac:dyDescent="0.2">
      <c r="B57" s="34" t="s">
        <v>14</v>
      </c>
      <c r="D57" s="58">
        <f>D29</f>
        <v>110</v>
      </c>
      <c r="E57" s="58">
        <f t="shared" ref="E57:M58" si="45">E29</f>
        <v>130</v>
      </c>
      <c r="F57" s="58">
        <f t="shared" si="45"/>
        <v>146</v>
      </c>
      <c r="G57" s="58">
        <f t="shared" si="45"/>
        <v>163</v>
      </c>
      <c r="H57" s="58">
        <f t="shared" si="45"/>
        <v>202</v>
      </c>
      <c r="I57" s="58">
        <f t="shared" si="45"/>
        <v>213</v>
      </c>
      <c r="J57" s="58">
        <f t="shared" si="45"/>
        <v>239</v>
      </c>
      <c r="K57" s="58">
        <f t="shared" si="45"/>
        <v>255</v>
      </c>
      <c r="L57" s="58">
        <f t="shared" si="45"/>
        <v>287</v>
      </c>
      <c r="M57" s="58">
        <f t="shared" si="45"/>
        <v>319</v>
      </c>
      <c r="N57" s="58">
        <f ca="1">N58*N$40</f>
        <v>375.56651696369573</v>
      </c>
      <c r="O57" s="58">
        <f t="shared" ref="O57:R57" ca="1" si="46">O58*O$40</f>
        <v>426.16302885935153</v>
      </c>
      <c r="P57" s="58">
        <f t="shared" ca="1" si="46"/>
        <v>474.96399358184544</v>
      </c>
      <c r="Q57" s="58">
        <f t="shared" ca="1" si="46"/>
        <v>521.19488316344359</v>
      </c>
      <c r="R57" s="58">
        <f t="shared" ca="1" si="46"/>
        <v>564.3160626774237</v>
      </c>
      <c r="S57" s="75"/>
      <c r="T57" s="75"/>
      <c r="U57" s="75"/>
      <c r="V57" s="75"/>
      <c r="W57" s="75"/>
    </row>
    <row r="58" spans="1:23" x14ac:dyDescent="0.2">
      <c r="B58" s="53" t="s">
        <v>10</v>
      </c>
      <c r="D58" s="61">
        <f>D30</f>
        <v>2.6777020447906523E-2</v>
      </c>
      <c r="E58" s="61">
        <f t="shared" si="45"/>
        <v>2.888247056209731E-2</v>
      </c>
      <c r="F58" s="61">
        <f t="shared" si="45"/>
        <v>3.7397540983606557E-2</v>
      </c>
      <c r="G58" s="61">
        <f t="shared" si="45"/>
        <v>3.6416443252904378E-2</v>
      </c>
      <c r="H58" s="61">
        <f t="shared" si="45"/>
        <v>4.1521068859198353E-2</v>
      </c>
      <c r="I58" s="61">
        <f t="shared" si="45"/>
        <v>3.8131041890440386E-2</v>
      </c>
      <c r="J58" s="61">
        <f t="shared" si="45"/>
        <v>3.9933166248955723E-2</v>
      </c>
      <c r="K58" s="61">
        <f t="shared" si="45"/>
        <v>3.3788260235855308E-2</v>
      </c>
      <c r="L58" s="61">
        <f t="shared" si="45"/>
        <v>3.3236826867400114E-2</v>
      </c>
      <c r="M58" s="61">
        <f t="shared" si="45"/>
        <v>3.2313614262560776E-2</v>
      </c>
      <c r="N58" s="73">
        <f>AVERAGE(K58:M58)</f>
        <v>3.3112900455272064E-2</v>
      </c>
      <c r="O58" s="61">
        <f>N58</f>
        <v>3.3112900455272064E-2</v>
      </c>
      <c r="P58" s="61">
        <f t="shared" ref="P58:R58" si="47">O58</f>
        <v>3.3112900455272064E-2</v>
      </c>
      <c r="Q58" s="61">
        <f t="shared" si="47"/>
        <v>3.3112900455272064E-2</v>
      </c>
      <c r="R58" s="61">
        <f t="shared" si="47"/>
        <v>3.3112900455272064E-2</v>
      </c>
      <c r="S58" s="65"/>
      <c r="T58" s="65"/>
      <c r="U58" s="65"/>
      <c r="V58" s="65"/>
      <c r="W58" s="70"/>
    </row>
    <row r="60" spans="1:23" x14ac:dyDescent="0.2">
      <c r="B60" s="34" t="s">
        <v>23</v>
      </c>
      <c r="D60" s="58">
        <f>D32</f>
        <v>253</v>
      </c>
      <c r="E60" s="58">
        <f t="shared" ref="E60:M60" si="48">E32</f>
        <v>257</v>
      </c>
      <c r="F60" s="58">
        <f t="shared" si="48"/>
        <v>259</v>
      </c>
      <c r="G60" s="58">
        <f t="shared" si="48"/>
        <v>217</v>
      </c>
      <c r="H60" s="58">
        <f t="shared" si="48"/>
        <v>287</v>
      </c>
      <c r="I60" s="58">
        <f t="shared" si="48"/>
        <v>334</v>
      </c>
      <c r="J60" s="58">
        <f t="shared" si="48"/>
        <v>373</v>
      </c>
      <c r="K60" s="58">
        <f t="shared" si="48"/>
        <v>442</v>
      </c>
      <c r="L60" s="58">
        <f t="shared" si="48"/>
        <v>479</v>
      </c>
      <c r="M60" s="58">
        <f t="shared" si="48"/>
        <v>561</v>
      </c>
      <c r="N60" s="58">
        <f ca="1">N61*N$40</f>
        <v>645.98597276634155</v>
      </c>
      <c r="O60" s="58">
        <f t="shared" ref="O60" ca="1" si="49">O61*O$40</f>
        <v>733.01353107942316</v>
      </c>
      <c r="P60" s="58">
        <f t="shared" ref="P60" ca="1" si="50">P61*P$40</f>
        <v>816.95269297026744</v>
      </c>
      <c r="Q60" s="58">
        <f t="shared" ref="Q60" ca="1" si="51">Q61*Q$40</f>
        <v>896.47124648687088</v>
      </c>
      <c r="R60" s="58">
        <f t="shared" ref="R60" ca="1" si="52">R61*R$40</f>
        <v>970.64100294006175</v>
      </c>
      <c r="S60" s="75"/>
      <c r="T60" s="75"/>
      <c r="U60" s="75"/>
      <c r="V60" s="75"/>
      <c r="W60" s="75"/>
    </row>
    <row r="61" spans="1:23" x14ac:dyDescent="0.2">
      <c r="B61" s="53" t="s">
        <v>10</v>
      </c>
      <c r="D61" s="61">
        <f>D33</f>
        <v>6.1587147030185002E-2</v>
      </c>
      <c r="E61" s="61">
        <f t="shared" ref="E61:M61" si="53">E33</f>
        <v>5.7098422572761612E-2</v>
      </c>
      <c r="F61" s="61">
        <f t="shared" si="53"/>
        <v>6.6342213114754092E-2</v>
      </c>
      <c r="G61" s="61">
        <f t="shared" si="53"/>
        <v>4.8480786416443253E-2</v>
      </c>
      <c r="H61" s="61">
        <f t="shared" si="53"/>
        <v>5.8992805755395686E-2</v>
      </c>
      <c r="I61" s="61">
        <f t="shared" si="53"/>
        <v>5.979233798782671E-2</v>
      </c>
      <c r="J61" s="61">
        <f t="shared" si="53"/>
        <v>6.232247284878864E-2</v>
      </c>
      <c r="K61" s="61">
        <f t="shared" si="53"/>
        <v>5.8566317742149196E-2</v>
      </c>
      <c r="L61" s="61">
        <f t="shared" si="53"/>
        <v>5.5471916618413435E-2</v>
      </c>
      <c r="M61" s="61">
        <f t="shared" si="53"/>
        <v>5.6827390599675849E-2</v>
      </c>
      <c r="N61" s="73">
        <f>AVERAGE(K61:M61)</f>
        <v>5.6955208320079491E-2</v>
      </c>
      <c r="O61" s="61">
        <f>N61</f>
        <v>5.6955208320079491E-2</v>
      </c>
      <c r="P61" s="61">
        <f t="shared" ref="P61:R61" si="54">O61</f>
        <v>5.6955208320079491E-2</v>
      </c>
      <c r="Q61" s="61">
        <f t="shared" si="54"/>
        <v>5.6955208320079491E-2</v>
      </c>
      <c r="R61" s="61">
        <f t="shared" si="54"/>
        <v>5.6955208320079491E-2</v>
      </c>
      <c r="S61" s="65"/>
      <c r="T61" s="65"/>
      <c r="U61" s="65"/>
      <c r="V61" s="65"/>
      <c r="W61" s="70"/>
    </row>
    <row r="63" spans="1:23" x14ac:dyDescent="0.2">
      <c r="B63" s="34" t="s">
        <v>16</v>
      </c>
      <c r="D63" s="58">
        <f>D35</f>
        <v>65.05</v>
      </c>
      <c r="E63" s="58">
        <f t="shared" ref="E63:M63" si="55">E35</f>
        <v>68.5</v>
      </c>
      <c r="F63" s="58">
        <f t="shared" si="55"/>
        <v>108.3</v>
      </c>
      <c r="G63" s="58">
        <f t="shared" si="55"/>
        <v>66.900000000000006</v>
      </c>
      <c r="H63" s="58">
        <f t="shared" si="55"/>
        <v>104.1</v>
      </c>
      <c r="I63" s="58">
        <f t="shared" si="55"/>
        <v>-131.5</v>
      </c>
      <c r="J63" s="58">
        <f t="shared" si="55"/>
        <v>-338.6</v>
      </c>
      <c r="K63" s="58">
        <f t="shared" si="55"/>
        <v>197.4</v>
      </c>
      <c r="L63" s="58">
        <f t="shared" si="55"/>
        <v>78.599999999999994</v>
      </c>
      <c r="M63" s="58">
        <f t="shared" si="55"/>
        <v>95.3</v>
      </c>
      <c r="N63" s="58">
        <f ca="1">N64*N$40</f>
        <v>169.79784582119279</v>
      </c>
      <c r="O63" s="58">
        <f t="shared" ref="O63" ca="1" si="56">O64*O$40</f>
        <v>192.67309784154045</v>
      </c>
      <c r="P63" s="58">
        <f t="shared" ref="P63" ca="1" si="57">P64*P$40</f>
        <v>214.73656279274772</v>
      </c>
      <c r="Q63" s="58">
        <f t="shared" ref="Q63" ca="1" si="58">Q64*Q$40</f>
        <v>235.63806787050632</v>
      </c>
      <c r="R63" s="58">
        <f t="shared" ref="R63" ca="1" si="59">R64*R$40</f>
        <v>255.13363805588187</v>
      </c>
      <c r="S63" s="58"/>
      <c r="T63" s="58"/>
      <c r="U63" s="58"/>
      <c r="V63" s="58"/>
      <c r="W63" s="58"/>
    </row>
    <row r="64" spans="1:23" x14ac:dyDescent="0.2">
      <c r="B64" s="53" t="s">
        <v>10</v>
      </c>
      <c r="D64" s="61">
        <f>D36</f>
        <v>1.5834956183057448E-2</v>
      </c>
      <c r="E64" s="61">
        <f t="shared" ref="E64:M64" si="60">E36</f>
        <v>1.5218840257720507E-2</v>
      </c>
      <c r="F64" s="61">
        <f t="shared" si="60"/>
        <v>2.7740778688524589E-2</v>
      </c>
      <c r="G64" s="61">
        <f t="shared" si="60"/>
        <v>1.494638069705094E-2</v>
      </c>
      <c r="H64" s="61">
        <f t="shared" si="60"/>
        <v>2.1397738951695784E-2</v>
      </c>
      <c r="I64" s="61">
        <f t="shared" si="60"/>
        <v>-2.3540995345506625E-2</v>
      </c>
      <c r="J64" s="61">
        <f t="shared" si="60"/>
        <v>-5.6574770258980792E-2</v>
      </c>
      <c r="K64" s="61">
        <f t="shared" si="60"/>
        <v>2.615608851199152E-2</v>
      </c>
      <c r="L64" s="61">
        <f t="shared" si="60"/>
        <v>9.1024898668210768E-3</v>
      </c>
      <c r="M64" s="61">
        <f t="shared" si="60"/>
        <v>9.6535656401944888E-3</v>
      </c>
      <c r="N64" s="73">
        <f>AVERAGE(K64:M64)</f>
        <v>1.4970714673002363E-2</v>
      </c>
      <c r="O64" s="61">
        <f>N64</f>
        <v>1.4970714673002363E-2</v>
      </c>
      <c r="P64" s="61">
        <f t="shared" ref="P64:R64" si="61">O64</f>
        <v>1.4970714673002363E-2</v>
      </c>
      <c r="Q64" s="61">
        <f t="shared" si="61"/>
        <v>1.4970714673002363E-2</v>
      </c>
      <c r="R64" s="61">
        <f t="shared" si="61"/>
        <v>1.4970714673002363E-2</v>
      </c>
      <c r="S64" s="62"/>
      <c r="T64" s="62"/>
      <c r="U64" s="62"/>
      <c r="V64" s="62"/>
      <c r="W64" s="62"/>
    </row>
    <row r="66" spans="1:23" x14ac:dyDescent="0.2">
      <c r="A66" s="35" t="s">
        <v>0</v>
      </c>
      <c r="B66" s="76" t="s">
        <v>24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8"/>
      <c r="N66" s="78">
        <f ca="1">N55+N57-N60-N63</f>
        <v>1029.3366045247042</v>
      </c>
      <c r="O66" s="78">
        <f t="shared" ref="O66:R66" ca="1" si="62">O55+O57-O60-O63</f>
        <v>1268.8963797293638</v>
      </c>
      <c r="P66" s="78">
        <f t="shared" ca="1" si="62"/>
        <v>1512.7470923038297</v>
      </c>
      <c r="Q66" s="78">
        <f t="shared" ca="1" si="62"/>
        <v>1773.5364691055611</v>
      </c>
      <c r="R66" s="79">
        <f t="shared" ca="1" si="62"/>
        <v>2049.356870049603</v>
      </c>
      <c r="S66" s="74"/>
      <c r="T66" s="74"/>
      <c r="U66" s="74"/>
      <c r="V66" s="74"/>
      <c r="W66" s="74"/>
    </row>
    <row r="67" spans="1:23" x14ac:dyDescent="0.2">
      <c r="B67" s="80" t="s">
        <v>135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2"/>
      <c r="N67" s="82">
        <f ca="1">(N66*N69)/(1+wacc)^N70</f>
        <v>399.54483282113188</v>
      </c>
      <c r="O67" s="82">
        <f ca="1">O66/(1+wacc)^O70</f>
        <v>1179.7245656133716</v>
      </c>
      <c r="P67" s="82">
        <f ca="1">P66/(1+wacc)^P70</f>
        <v>1296.4049772532308</v>
      </c>
      <c r="Q67" s="82">
        <f ca="1">Q66/(1+wacc)^Q70</f>
        <v>1400.987900237787</v>
      </c>
      <c r="R67" s="110">
        <f ca="1">R66/(1+wacc)^R70</f>
        <v>1492.216203330632</v>
      </c>
      <c r="S67" s="74"/>
      <c r="T67" s="74"/>
      <c r="U67" s="74"/>
      <c r="V67" s="74"/>
      <c r="W67" s="74"/>
    </row>
    <row r="68" spans="1:23" x14ac:dyDescent="0.2">
      <c r="A68" s="35">
        <v>1</v>
      </c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</row>
    <row r="69" spans="1:23" x14ac:dyDescent="0.2">
      <c r="B69" s="34" t="s">
        <v>136</v>
      </c>
      <c r="M69" s="74"/>
      <c r="N69" s="84">
        <f>YEARFRAC(C5,C6)</f>
        <v>0.39444444444444443</v>
      </c>
      <c r="S69" s="74"/>
      <c r="T69" s="74"/>
      <c r="U69" s="74"/>
      <c r="V69" s="74"/>
      <c r="W69" s="74"/>
    </row>
    <row r="70" spans="1:23" x14ac:dyDescent="0.2">
      <c r="B70" s="34" t="s">
        <v>137</v>
      </c>
      <c r="M70" s="74"/>
      <c r="N70" s="85">
        <f>N69/2</f>
        <v>0.19722222222222222</v>
      </c>
      <c r="O70" s="85">
        <f>N69+0.5</f>
        <v>0.89444444444444438</v>
      </c>
      <c r="P70" s="85">
        <f t="shared" ref="P70:R70" si="63">O70+1</f>
        <v>1.8944444444444444</v>
      </c>
      <c r="Q70" s="85">
        <f t="shared" si="63"/>
        <v>2.8944444444444444</v>
      </c>
      <c r="R70" s="85">
        <f t="shared" si="63"/>
        <v>3.8944444444444444</v>
      </c>
      <c r="S70" s="74"/>
      <c r="T70" s="74"/>
      <c r="U70" s="74"/>
      <c r="V70" s="74"/>
      <c r="W70" s="74"/>
    </row>
    <row r="72" spans="1:23" x14ac:dyDescent="0.2">
      <c r="B72" s="34" t="s">
        <v>25</v>
      </c>
      <c r="R72" s="74">
        <f ca="1">(R66*(1+tgr))/(wacc-tgr)</f>
        <v>35082.350053457856</v>
      </c>
      <c r="W72" s="74"/>
    </row>
    <row r="73" spans="1:23" x14ac:dyDescent="0.2">
      <c r="B73" s="34" t="s">
        <v>26</v>
      </c>
      <c r="R73" s="74">
        <f ca="1">R72/(1+wacc)^R70</f>
        <v>25544.819433727993</v>
      </c>
      <c r="W73" s="74"/>
    </row>
    <row r="74" spans="1:23" x14ac:dyDescent="0.2">
      <c r="R74" s="74"/>
    </row>
    <row r="75" spans="1:23" x14ac:dyDescent="0.2">
      <c r="B75" s="34" t="s">
        <v>27</v>
      </c>
      <c r="R75" s="74">
        <f ca="1">SUM(N67:R67,R73)</f>
        <v>31313.697912984146</v>
      </c>
      <c r="W75" s="74"/>
    </row>
    <row r="76" spans="1:23" x14ac:dyDescent="0.2">
      <c r="B76" s="34" t="s">
        <v>28</v>
      </c>
      <c r="R76" s="74">
        <f>WACC!F15</f>
        <v>0</v>
      </c>
      <c r="W76" s="74"/>
    </row>
    <row r="77" spans="1:23" x14ac:dyDescent="0.2">
      <c r="B77" s="34" t="s">
        <v>29</v>
      </c>
      <c r="R77" s="74">
        <v>807</v>
      </c>
      <c r="W77" s="74"/>
    </row>
    <row r="78" spans="1:23" x14ac:dyDescent="0.2">
      <c r="B78" s="34" t="s">
        <v>30</v>
      </c>
      <c r="P78" s="34" t="s">
        <v>38</v>
      </c>
      <c r="R78" s="74">
        <f ca="1">R75-R76+R77</f>
        <v>32120.697912984146</v>
      </c>
      <c r="W78" s="74"/>
    </row>
    <row r="79" spans="1:23" x14ac:dyDescent="0.2">
      <c r="B79" s="34" t="s">
        <v>160</v>
      </c>
      <c r="R79" s="74">
        <f>'Diluted Shrs'!E18*1000</f>
        <v>1381.0555586995783</v>
      </c>
      <c r="W79" s="74"/>
    </row>
    <row r="80" spans="1:23" x14ac:dyDescent="0.2">
      <c r="A80" s="35" t="s">
        <v>0</v>
      </c>
      <c r="B80" s="34" t="s">
        <v>31</v>
      </c>
      <c r="R80" s="111">
        <f ca="1">R78/R79</f>
        <v>23.258078004645558</v>
      </c>
      <c r="W80" s="37"/>
    </row>
    <row r="83" spans="1:25" x14ac:dyDescent="0.2">
      <c r="A83" s="35" t="s">
        <v>0</v>
      </c>
      <c r="B83" s="39" t="s">
        <v>161</v>
      </c>
      <c r="C83" s="3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50"/>
      <c r="O83" s="50"/>
      <c r="P83" s="50"/>
      <c r="Q83" s="50"/>
      <c r="R83" s="50"/>
      <c r="S83" s="57"/>
      <c r="T83" s="57"/>
      <c r="U83" s="57"/>
      <c r="V83" s="57"/>
      <c r="W83" s="57"/>
    </row>
    <row r="85" spans="1:25" x14ac:dyDescent="0.2">
      <c r="S85" s="135" t="s">
        <v>162</v>
      </c>
      <c r="T85" s="136"/>
      <c r="U85" s="136"/>
      <c r="V85" s="136"/>
      <c r="W85" s="136"/>
      <c r="X85" s="136"/>
      <c r="Y85" s="137"/>
    </row>
    <row r="86" spans="1:25" x14ac:dyDescent="0.2">
      <c r="S86" s="138" t="s">
        <v>33</v>
      </c>
      <c r="T86" s="113">
        <f ca="1">R80</f>
        <v>23.258078004645558</v>
      </c>
      <c r="U86" s="114">
        <f>V86-0.25%</f>
        <v>2.0000000000000004E-2</v>
      </c>
      <c r="V86" s="114">
        <f>W86-0.25%</f>
        <v>2.2500000000000003E-2</v>
      </c>
      <c r="W86" s="114">
        <v>2.5000000000000001E-2</v>
      </c>
      <c r="X86" s="114">
        <f>W86+0.25%</f>
        <v>2.75E-2</v>
      </c>
      <c r="Y86" s="115">
        <f>X86+0.25%</f>
        <v>0.03</v>
      </c>
    </row>
    <row r="87" spans="1:25" ht="15" customHeight="1" x14ac:dyDescent="0.2">
      <c r="S87" s="138"/>
      <c r="T87" s="116">
        <f>T88+0.25%</f>
        <v>8.9800000000000005E-2</v>
      </c>
      <c r="U87" s="122">
        <f t="dataTable" ref="U87:Y91" dt2D="1" dtr="1" r1="D16" r2="D15" ca="1"/>
        <v>20.231028540839553</v>
      </c>
      <c r="V87" s="123">
        <v>20.846740679143487</v>
      </c>
      <c r="W87" s="123">
        <v>21.509961470094332</v>
      </c>
      <c r="X87" s="123">
        <v>22.226410253898372</v>
      </c>
      <c r="Y87" s="124">
        <v>23.00276278216764</v>
      </c>
    </row>
    <row r="88" spans="1:25" x14ac:dyDescent="0.2">
      <c r="S88" s="138"/>
      <c r="T88" s="116">
        <f>T89+0.25%</f>
        <v>8.7300000000000003E-2</v>
      </c>
      <c r="U88" s="125">
        <v>20.974012341263858</v>
      </c>
      <c r="V88" s="112">
        <v>21.641656565172195</v>
      </c>
      <c r="W88" s="112">
        <v>22.362883792604485</v>
      </c>
      <c r="X88" s="112">
        <v>23.144414299922417</v>
      </c>
      <c r="Y88" s="117">
        <v>23.994141186587452</v>
      </c>
    </row>
    <row r="89" spans="1:25" x14ac:dyDescent="0.2">
      <c r="S89" s="138"/>
      <c r="T89" s="116">
        <v>8.48E-2</v>
      </c>
      <c r="U89" s="125">
        <v>21.77451788905568</v>
      </c>
      <c r="V89" s="112">
        <v>22.500566540432381</v>
      </c>
      <c r="W89" s="112">
        <v>23.28732160078706</v>
      </c>
      <c r="X89" s="112">
        <v>24.142728935169199</v>
      </c>
      <c r="Y89" s="117">
        <v>25.076184384002271</v>
      </c>
    </row>
    <row r="90" spans="1:25" x14ac:dyDescent="0.2">
      <c r="S90" s="138"/>
      <c r="T90" s="118">
        <f>T89-0.25%</f>
        <v>8.2299999999999998E-2</v>
      </c>
      <c r="U90" s="125">
        <v>22.639472097447001</v>
      </c>
      <c r="V90" s="112">
        <v>23.431498812527987</v>
      </c>
      <c r="W90" s="112">
        <v>24.292637806411857</v>
      </c>
      <c r="X90" s="112">
        <v>25.232347876380018</v>
      </c>
      <c r="Y90" s="117">
        <v>26.261896385159666</v>
      </c>
    </row>
    <row r="91" spans="1:25" x14ac:dyDescent="0.2">
      <c r="S91" s="139"/>
      <c r="T91" s="119">
        <f>T90-0.25%</f>
        <v>7.9799999999999996E-2</v>
      </c>
      <c r="U91" s="126">
        <v>23.576960255318024</v>
      </c>
      <c r="V91" s="120">
        <v>24.443882702084103</v>
      </c>
      <c r="W91" s="120">
        <v>25.389903912241252</v>
      </c>
      <c r="X91" s="120">
        <v>26.42636692069259</v>
      </c>
      <c r="Y91" s="121">
        <v>27.566892480193253</v>
      </c>
    </row>
  </sheetData>
  <mergeCells count="2">
    <mergeCell ref="S85:Y85"/>
    <mergeCell ref="S86:S91"/>
  </mergeCells>
  <dataValidations count="1">
    <dataValidation type="list" allowBlank="1" showInputMessage="1" showErrorMessage="1" sqref="D10:D13" xr:uid="{EAA44878-83F5-4243-B2BD-3B0B2386AB29}">
      <formula1>"1,2,3"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049-D643-4E05-B425-EFD7435B192A}">
  <sheetPr codeName="Sheet4"/>
  <dimension ref="A1:U29"/>
  <sheetViews>
    <sheetView zoomScale="108" workbookViewId="0">
      <selection activeCell="J28" sqref="J28"/>
    </sheetView>
  </sheetViews>
  <sheetFormatPr baseColWidth="10" defaultColWidth="9.1640625" defaultRowHeight="14" x14ac:dyDescent="0.2"/>
  <cols>
    <col min="1" max="1" width="27.6640625" style="5" bestFit="1" customWidth="1"/>
    <col min="2" max="16384" width="9.1640625" style="5"/>
  </cols>
  <sheetData>
    <row r="1" spans="1:21" ht="21" x14ac:dyDescent="0.25">
      <c r="A1" s="29" t="s">
        <v>119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21" ht="15" x14ac:dyDescent="0.2">
      <c r="A2" s="8" t="s">
        <v>65</v>
      </c>
      <c r="B2" s="8">
        <v>2014</v>
      </c>
      <c r="C2" s="8">
        <v>2015</v>
      </c>
      <c r="D2" s="8">
        <v>2016</v>
      </c>
      <c r="E2" s="8">
        <v>2017</v>
      </c>
      <c r="F2" s="8">
        <v>2018</v>
      </c>
      <c r="G2" s="8">
        <v>2019</v>
      </c>
      <c r="H2" s="8">
        <v>2020</v>
      </c>
      <c r="I2" s="8">
        <v>2021</v>
      </c>
      <c r="J2" s="8">
        <v>2022</v>
      </c>
      <c r="K2" s="8">
        <v>2023</v>
      </c>
      <c r="L2" s="8" t="s">
        <v>120</v>
      </c>
      <c r="M2" s="8" t="s">
        <v>121</v>
      </c>
      <c r="N2" s="8" t="s">
        <v>122</v>
      </c>
      <c r="O2" s="8" t="s">
        <v>123</v>
      </c>
      <c r="P2" s="8" t="s">
        <v>124</v>
      </c>
      <c r="Q2" s="8" t="s">
        <v>66</v>
      </c>
      <c r="R2" s="8" t="s">
        <v>67</v>
      </c>
    </row>
    <row r="3" spans="1:21" ht="15" x14ac:dyDescent="0.2">
      <c r="A3" t="s">
        <v>7</v>
      </c>
      <c r="B3" s="27">
        <v>4108</v>
      </c>
      <c r="C3" s="27">
        <v>4501</v>
      </c>
      <c r="D3" s="27">
        <v>3904</v>
      </c>
      <c r="E3" s="27">
        <v>4476</v>
      </c>
      <c r="F3" s="27">
        <v>4865</v>
      </c>
      <c r="G3" s="27">
        <v>5586</v>
      </c>
      <c r="H3" s="27">
        <v>5985</v>
      </c>
      <c r="I3" s="27">
        <v>7547</v>
      </c>
      <c r="J3" s="27">
        <v>8635</v>
      </c>
      <c r="K3" s="27">
        <v>9872</v>
      </c>
      <c r="L3" s="27">
        <v>11342</v>
      </c>
      <c r="M3" s="27">
        <v>12870</v>
      </c>
      <c r="N3" s="27">
        <v>14642</v>
      </c>
      <c r="O3" s="27">
        <v>16730</v>
      </c>
      <c r="P3" s="27">
        <v>18816</v>
      </c>
      <c r="Q3" s="27">
        <v>10663</v>
      </c>
      <c r="R3" s="22">
        <v>0.104</v>
      </c>
    </row>
    <row r="4" spans="1:21" ht="15" x14ac:dyDescent="0.2">
      <c r="A4" t="s">
        <v>68</v>
      </c>
      <c r="B4" s="27">
        <v>2991</v>
      </c>
      <c r="C4" s="27">
        <v>3327</v>
      </c>
      <c r="D4" s="27">
        <v>3406</v>
      </c>
      <c r="E4" s="27">
        <v>3720</v>
      </c>
      <c r="F4" s="27">
        <v>3954</v>
      </c>
      <c r="G4" s="27">
        <v>4444</v>
      </c>
      <c r="H4" s="27">
        <v>4944</v>
      </c>
      <c r="I4" s="27">
        <v>5840</v>
      </c>
      <c r="J4" s="27">
        <v>6573</v>
      </c>
      <c r="K4" s="27">
        <v>7286</v>
      </c>
      <c r="L4" s="27"/>
      <c r="M4" s="27"/>
      <c r="N4" s="27"/>
      <c r="O4" s="27"/>
      <c r="P4" s="27"/>
      <c r="Q4" s="27">
        <v>7774</v>
      </c>
      <c r="R4" s="22">
        <v>0.105</v>
      </c>
      <c r="S4" s="6"/>
      <c r="T4" s="6"/>
      <c r="U4" s="6"/>
    </row>
    <row r="5" spans="1:21" ht="15" x14ac:dyDescent="0.2">
      <c r="A5" t="s">
        <v>69</v>
      </c>
      <c r="B5" s="27">
        <v>1118</v>
      </c>
      <c r="C5" s="27">
        <v>1174</v>
      </c>
      <c r="D5">
        <v>498</v>
      </c>
      <c r="E5">
        <v>756</v>
      </c>
      <c r="F5">
        <v>911</v>
      </c>
      <c r="G5" s="27">
        <v>1142</v>
      </c>
      <c r="H5" s="27">
        <v>1041</v>
      </c>
      <c r="I5" s="27">
        <v>1707</v>
      </c>
      <c r="J5" s="27">
        <v>2062</v>
      </c>
      <c r="K5" s="27">
        <v>2586</v>
      </c>
      <c r="L5" s="27">
        <v>3020</v>
      </c>
      <c r="M5" s="27">
        <v>3509</v>
      </c>
      <c r="N5" s="27">
        <v>4693</v>
      </c>
      <c r="O5" s="27">
        <v>4819</v>
      </c>
      <c r="P5" s="27">
        <v>5462</v>
      </c>
      <c r="Q5" s="27">
        <v>2889</v>
      </c>
      <c r="R5" s="22">
        <v>0.104</v>
      </c>
      <c r="S5" s="6"/>
      <c r="T5" s="6"/>
      <c r="U5" s="6"/>
    </row>
    <row r="6" spans="1:21" ht="15" x14ac:dyDescent="0.2">
      <c r="A6" t="s">
        <v>70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6"/>
      <c r="T6" s="6"/>
      <c r="U6" s="6"/>
    </row>
    <row r="7" spans="1:21" ht="15" x14ac:dyDescent="0.2">
      <c r="A7" t="s">
        <v>71</v>
      </c>
      <c r="B7">
        <v>274</v>
      </c>
      <c r="C7">
        <v>250</v>
      </c>
      <c r="D7">
        <v>276</v>
      </c>
      <c r="E7">
        <v>296</v>
      </c>
      <c r="F7">
        <v>375</v>
      </c>
      <c r="G7">
        <v>452</v>
      </c>
      <c r="H7">
        <v>466</v>
      </c>
      <c r="I7">
        <v>607</v>
      </c>
      <c r="J7">
        <v>564</v>
      </c>
      <c r="K7">
        <v>634</v>
      </c>
      <c r="L7">
        <v>717</v>
      </c>
      <c r="M7">
        <v>757</v>
      </c>
      <c r="N7">
        <v>807</v>
      </c>
      <c r="O7">
        <v>854</v>
      </c>
      <c r="P7">
        <v>948</v>
      </c>
      <c r="Q7">
        <v>708</v>
      </c>
      <c r="R7" s="22">
        <v>0.104</v>
      </c>
      <c r="S7" s="6"/>
      <c r="T7" s="6"/>
      <c r="U7" s="6"/>
    </row>
    <row r="8" spans="1:21" ht="15" x14ac:dyDescent="0.2">
      <c r="A8" t="s">
        <v>72</v>
      </c>
      <c r="B8">
        <v>110</v>
      </c>
      <c r="C8">
        <v>130</v>
      </c>
      <c r="D8">
        <v>146</v>
      </c>
      <c r="E8">
        <v>163</v>
      </c>
      <c r="F8">
        <v>202</v>
      </c>
      <c r="G8">
        <v>213</v>
      </c>
      <c r="H8">
        <v>239</v>
      </c>
      <c r="I8">
        <v>255</v>
      </c>
      <c r="J8">
        <v>287</v>
      </c>
      <c r="K8">
        <v>319</v>
      </c>
      <c r="L8" s="27">
        <v>341</v>
      </c>
      <c r="M8" s="27">
        <v>378</v>
      </c>
      <c r="N8" s="27">
        <v>424</v>
      </c>
      <c r="O8" s="27">
        <v>467</v>
      </c>
      <c r="P8" s="27">
        <v>505</v>
      </c>
      <c r="Q8">
        <v>331</v>
      </c>
      <c r="R8" s="22">
        <v>0.121</v>
      </c>
      <c r="S8" s="7"/>
      <c r="T8" s="7"/>
      <c r="U8" s="7"/>
    </row>
    <row r="9" spans="1:21" ht="15" x14ac:dyDescent="0.2">
      <c r="A9" t="s">
        <v>70</v>
      </c>
      <c r="B9">
        <v>384</v>
      </c>
      <c r="C9">
        <v>381</v>
      </c>
      <c r="D9">
        <v>423</v>
      </c>
      <c r="E9">
        <v>460</v>
      </c>
      <c r="F9">
        <v>577</v>
      </c>
      <c r="G9">
        <v>664</v>
      </c>
      <c r="H9">
        <v>705</v>
      </c>
      <c r="I9">
        <v>862</v>
      </c>
      <c r="J9">
        <v>851</v>
      </c>
      <c r="K9">
        <v>953</v>
      </c>
      <c r="L9"/>
      <c r="M9"/>
      <c r="N9"/>
      <c r="O9"/>
      <c r="P9"/>
      <c r="Q9" s="27">
        <v>1039</v>
      </c>
      <c r="R9" s="22">
        <v>0.109</v>
      </c>
      <c r="S9" s="6"/>
      <c r="T9" s="6"/>
      <c r="U9" s="6"/>
    </row>
    <row r="10" spans="1:21" ht="15" x14ac:dyDescent="0.2">
      <c r="A10" t="s">
        <v>73</v>
      </c>
      <c r="B10">
        <v>733</v>
      </c>
      <c r="C10">
        <v>794</v>
      </c>
      <c r="D10">
        <v>76</v>
      </c>
      <c r="E10">
        <v>296</v>
      </c>
      <c r="F10">
        <v>334</v>
      </c>
      <c r="G10">
        <v>478</v>
      </c>
      <c r="H10">
        <v>336</v>
      </c>
      <c r="I10">
        <v>846</v>
      </c>
      <c r="J10" s="27">
        <v>1211</v>
      </c>
      <c r="K10" s="27">
        <v>1633</v>
      </c>
      <c r="L10" s="27">
        <v>1898</v>
      </c>
      <c r="M10" s="27">
        <v>2284</v>
      </c>
      <c r="N10" s="27">
        <v>2702</v>
      </c>
      <c r="O10" s="27">
        <v>3376</v>
      </c>
      <c r="P10" s="27">
        <v>3897</v>
      </c>
      <c r="Q10" s="27">
        <v>1850</v>
      </c>
      <c r="R10" s="22">
        <v>0.10100000000000001</v>
      </c>
      <c r="S10" s="6"/>
      <c r="T10" s="6"/>
      <c r="U10" s="6"/>
    </row>
    <row r="11" spans="1:21" ht="15" x14ac:dyDescent="0.2">
      <c r="A11" t="s">
        <v>74</v>
      </c>
      <c r="B11">
        <v>-23</v>
      </c>
      <c r="C11">
        <v>-30</v>
      </c>
      <c r="D11">
        <v>-41</v>
      </c>
      <c r="E11">
        <v>-26</v>
      </c>
      <c r="F11">
        <v>-75</v>
      </c>
      <c r="G11">
        <v>-34</v>
      </c>
      <c r="H11">
        <v>-46</v>
      </c>
      <c r="I11">
        <v>-41</v>
      </c>
      <c r="J11">
        <v>-51</v>
      </c>
      <c r="K11">
        <v>-75</v>
      </c>
      <c r="L11"/>
      <c r="M11"/>
      <c r="N11"/>
      <c r="O11"/>
      <c r="P11"/>
      <c r="Q11">
        <v>-64</v>
      </c>
      <c r="R11" s="22">
        <v>0.115</v>
      </c>
      <c r="S11" s="6"/>
      <c r="T11" s="6"/>
      <c r="U11" s="6"/>
    </row>
    <row r="12" spans="1:21" ht="15" x14ac:dyDescent="0.2">
      <c r="A12" t="s">
        <v>75</v>
      </c>
      <c r="B12">
        <v>714</v>
      </c>
      <c r="C12">
        <v>770</v>
      </c>
      <c r="D12">
        <v>39</v>
      </c>
      <c r="E12">
        <v>276</v>
      </c>
      <c r="F12">
        <v>268</v>
      </c>
      <c r="G12">
        <v>458</v>
      </c>
      <c r="H12">
        <v>294</v>
      </c>
      <c r="I12">
        <v>813</v>
      </c>
      <c r="J12" s="27">
        <v>1182</v>
      </c>
      <c r="K12" s="27">
        <v>1621</v>
      </c>
      <c r="L12" s="27">
        <v>1981</v>
      </c>
      <c r="M12" s="27">
        <v>2362</v>
      </c>
      <c r="N12" s="27">
        <v>2775</v>
      </c>
      <c r="O12" s="27">
        <v>3445</v>
      </c>
      <c r="P12" s="27">
        <v>3969</v>
      </c>
      <c r="Q12" s="27">
        <v>1864</v>
      </c>
      <c r="R12" s="22">
        <v>0.105</v>
      </c>
      <c r="S12" s="6"/>
      <c r="T12" s="6"/>
      <c r="U12" s="6"/>
    </row>
    <row r="13" spans="1:21" ht="15" x14ac:dyDescent="0.2">
      <c r="A13" t="s">
        <v>76</v>
      </c>
      <c r="B13">
        <v>269</v>
      </c>
      <c r="C13">
        <v>294</v>
      </c>
      <c r="D13">
        <v>16</v>
      </c>
      <c r="E13">
        <v>99</v>
      </c>
      <c r="F13">
        <v>92</v>
      </c>
      <c r="G13">
        <v>108</v>
      </c>
      <c r="H13">
        <v>-62</v>
      </c>
      <c r="I13">
        <v>160</v>
      </c>
      <c r="J13">
        <v>282</v>
      </c>
      <c r="K13">
        <v>392</v>
      </c>
      <c r="L13"/>
      <c r="M13"/>
      <c r="N13"/>
      <c r="O13"/>
      <c r="P13"/>
      <c r="Q13">
        <v>454</v>
      </c>
      <c r="R13" s="22">
        <v>5.6000000000000001E-2</v>
      </c>
      <c r="S13" s="6"/>
      <c r="T13" s="6"/>
      <c r="U13" s="6"/>
    </row>
    <row r="14" spans="1:21" ht="15" x14ac:dyDescent="0.2">
      <c r="A14" t="s">
        <v>77</v>
      </c>
      <c r="B14">
        <v>445</v>
      </c>
      <c r="C14">
        <v>476</v>
      </c>
      <c r="D14">
        <v>23</v>
      </c>
      <c r="E14">
        <v>176</v>
      </c>
      <c r="F14">
        <v>177</v>
      </c>
      <c r="G14">
        <v>350</v>
      </c>
      <c r="H14">
        <v>356</v>
      </c>
      <c r="I14">
        <v>653</v>
      </c>
      <c r="J14">
        <v>899</v>
      </c>
      <c r="K14" s="27">
        <v>1229</v>
      </c>
      <c r="L14" s="27"/>
      <c r="M14" s="27"/>
      <c r="N14" s="27"/>
      <c r="O14" s="27"/>
      <c r="P14" s="27"/>
      <c r="Q14" s="27">
        <v>1410</v>
      </c>
      <c r="R14" s="22">
        <v>0.128</v>
      </c>
      <c r="S14" s="6"/>
      <c r="T14" s="6"/>
      <c r="U14" s="6"/>
    </row>
    <row r="15" spans="1:21" ht="15" x14ac:dyDescent="0.2">
      <c r="A15" t="s">
        <v>78</v>
      </c>
      <c r="B15">
        <v>445</v>
      </c>
      <c r="C15">
        <v>476</v>
      </c>
      <c r="D15">
        <v>23</v>
      </c>
      <c r="E15">
        <v>176</v>
      </c>
      <c r="F15">
        <v>177</v>
      </c>
      <c r="G15">
        <v>350</v>
      </c>
      <c r="H15">
        <v>356</v>
      </c>
      <c r="I15">
        <v>653</v>
      </c>
      <c r="J15">
        <v>899</v>
      </c>
      <c r="K15" s="27">
        <v>1229</v>
      </c>
      <c r="L15" s="27">
        <v>1496</v>
      </c>
      <c r="M15" s="27">
        <v>1766</v>
      </c>
      <c r="N15" s="27">
        <v>2075</v>
      </c>
      <c r="O15" s="27">
        <v>2567</v>
      </c>
      <c r="P15" s="27">
        <v>2957</v>
      </c>
      <c r="Q15" s="27">
        <v>1410</v>
      </c>
      <c r="R15" s="22">
        <v>0.128</v>
      </c>
      <c r="S15" s="6"/>
      <c r="T15" s="6"/>
      <c r="U15" s="6"/>
    </row>
    <row r="16" spans="1:21" ht="15" x14ac:dyDescent="0.2">
      <c r="A16" t="s">
        <v>79</v>
      </c>
      <c r="B16">
        <v>445</v>
      </c>
      <c r="C16">
        <v>476</v>
      </c>
      <c r="D16">
        <v>23</v>
      </c>
      <c r="E16">
        <v>176</v>
      </c>
      <c r="F16">
        <v>177</v>
      </c>
      <c r="G16">
        <v>350</v>
      </c>
      <c r="H16">
        <v>356</v>
      </c>
      <c r="I16">
        <v>653</v>
      </c>
      <c r="J16">
        <v>899</v>
      </c>
      <c r="K16" s="27">
        <v>1229</v>
      </c>
      <c r="L16" s="27"/>
      <c r="M16" s="27"/>
      <c r="N16" s="27"/>
      <c r="O16" s="27"/>
      <c r="P16" s="27"/>
      <c r="Q16" s="27">
        <v>1410</v>
      </c>
      <c r="R16" s="22">
        <v>0.128</v>
      </c>
      <c r="S16" s="6"/>
      <c r="T16" s="6"/>
      <c r="U16" s="6"/>
    </row>
    <row r="17" spans="1:21" ht="15" x14ac:dyDescent="0.2">
      <c r="A17" t="s">
        <v>80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6"/>
      <c r="T17" s="6"/>
      <c r="U17" s="6"/>
    </row>
    <row r="18" spans="1:21" ht="15" x14ac:dyDescent="0.2">
      <c r="A18" t="s">
        <v>81</v>
      </c>
      <c r="B18" s="28">
        <v>0.28999999999999998</v>
      </c>
      <c r="C18" s="28">
        <v>0.31</v>
      </c>
      <c r="D18" s="28">
        <v>0.02</v>
      </c>
      <c r="E18" s="28">
        <v>0.12</v>
      </c>
      <c r="F18" s="28">
        <v>0.13</v>
      </c>
      <c r="G18" s="28">
        <v>0.25</v>
      </c>
      <c r="H18" s="28">
        <v>0.25</v>
      </c>
      <c r="I18" s="28">
        <v>0.46</v>
      </c>
      <c r="J18" s="28">
        <v>0.65</v>
      </c>
      <c r="K18" s="28">
        <v>0.89</v>
      </c>
      <c r="L18" s="28"/>
      <c r="M18" s="28"/>
      <c r="N18" s="28"/>
      <c r="O18" s="28"/>
      <c r="P18" s="28"/>
      <c r="Q18" s="28">
        <v>1.02</v>
      </c>
      <c r="R18" s="22">
        <v>0.14000000000000001</v>
      </c>
      <c r="S18" s="6"/>
      <c r="T18" s="6"/>
      <c r="U18" s="6"/>
    </row>
    <row r="19" spans="1:21" ht="15" x14ac:dyDescent="0.2">
      <c r="A19" t="s">
        <v>82</v>
      </c>
      <c r="B19" s="28">
        <v>0.28000000000000003</v>
      </c>
      <c r="C19" s="28">
        <v>0.3</v>
      </c>
      <c r="D19" s="28">
        <v>0.02</v>
      </c>
      <c r="E19" s="28">
        <v>0.12</v>
      </c>
      <c r="F19" s="28">
        <v>0.13</v>
      </c>
      <c r="G19" s="28">
        <v>0.25</v>
      </c>
      <c r="H19" s="28">
        <v>0.25</v>
      </c>
      <c r="I19" s="28">
        <v>0.46</v>
      </c>
      <c r="J19" s="28">
        <v>0.64</v>
      </c>
      <c r="K19" s="28">
        <v>0.89</v>
      </c>
      <c r="L19" s="28"/>
      <c r="M19" s="28"/>
      <c r="N19" s="28"/>
      <c r="O19" s="28"/>
      <c r="P19" s="28"/>
      <c r="Q19" s="28">
        <v>1.02</v>
      </c>
      <c r="R19" s="22">
        <v>0.14399999999999999</v>
      </c>
      <c r="S19" s="6"/>
      <c r="T19" s="6"/>
      <c r="U19" s="6"/>
    </row>
    <row r="20" spans="1:21" ht="15" x14ac:dyDescent="0.2">
      <c r="A20" t="s">
        <v>83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6"/>
      <c r="T20" s="6"/>
      <c r="U20" s="6"/>
    </row>
    <row r="21" spans="1:21" ht="15" x14ac:dyDescent="0.2">
      <c r="A21" t="s">
        <v>81</v>
      </c>
      <c r="B21" s="27">
        <v>1552</v>
      </c>
      <c r="C21" s="27">
        <v>1555</v>
      </c>
      <c r="D21" s="27">
        <v>1463</v>
      </c>
      <c r="E21" s="27">
        <v>1425</v>
      </c>
      <c r="F21" s="27">
        <v>1391</v>
      </c>
      <c r="G21" s="27">
        <v>1387</v>
      </c>
      <c r="H21" s="27">
        <v>1396</v>
      </c>
      <c r="I21" s="27">
        <v>1407</v>
      </c>
      <c r="J21" s="27">
        <v>1393</v>
      </c>
      <c r="K21" s="27">
        <v>1378</v>
      </c>
      <c r="L21" s="27"/>
      <c r="M21" s="27"/>
      <c r="N21" s="27"/>
      <c r="O21" s="27"/>
      <c r="P21" s="27"/>
      <c r="Q21" s="27">
        <v>1374</v>
      </c>
      <c r="R21" s="22">
        <v>-1.2999999999999999E-2</v>
      </c>
      <c r="S21" s="6"/>
      <c r="T21" s="6"/>
      <c r="U21" s="6"/>
    </row>
    <row r="22" spans="1:21" ht="15" x14ac:dyDescent="0.2">
      <c r="A22" t="s">
        <v>82</v>
      </c>
      <c r="B22" s="27">
        <v>1576</v>
      </c>
      <c r="C22" s="27">
        <v>1575</v>
      </c>
      <c r="D22" s="27">
        <v>1489</v>
      </c>
      <c r="E22" s="27">
        <v>1428</v>
      </c>
      <c r="F22" s="27">
        <v>1398</v>
      </c>
      <c r="G22" s="27">
        <v>1415</v>
      </c>
      <c r="H22" s="27">
        <v>1421</v>
      </c>
      <c r="I22" s="27">
        <v>1426</v>
      </c>
      <c r="J22" s="27">
        <v>1403</v>
      </c>
      <c r="K22" s="27">
        <v>1386</v>
      </c>
      <c r="L22" s="27"/>
      <c r="M22" s="27"/>
      <c r="N22" s="27"/>
      <c r="O22" s="27"/>
      <c r="P22" s="27"/>
      <c r="Q22" s="27">
        <v>1382</v>
      </c>
      <c r="R22" s="22">
        <v>-1.4E-2</v>
      </c>
      <c r="S22" s="6"/>
      <c r="T22" s="6"/>
      <c r="U22" s="6"/>
    </row>
    <row r="23" spans="1:21" ht="15" x14ac:dyDescent="0.2">
      <c r="A2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2"/>
      <c r="S23" s="6"/>
      <c r="T23" s="6"/>
      <c r="U23" s="6"/>
    </row>
    <row r="24" spans="1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5D06-3823-4EAE-87BD-784CCE72EA00}">
  <sheetPr codeName="Sheet6"/>
  <dimension ref="A1:M59"/>
  <sheetViews>
    <sheetView zoomScale="101" workbookViewId="0">
      <selection activeCell="H32" sqref="H32"/>
    </sheetView>
  </sheetViews>
  <sheetFormatPr baseColWidth="10" defaultColWidth="8.83203125" defaultRowHeight="15" x14ac:dyDescent="0.2"/>
  <cols>
    <col min="1" max="1" width="39" customWidth="1"/>
    <col min="2" max="6" width="9.33203125" style="17" bestFit="1" customWidth="1"/>
    <col min="7" max="8" width="10.6640625" style="17" bestFit="1" customWidth="1"/>
    <col min="9" max="10" width="10" style="17" bestFit="1" customWidth="1"/>
    <col min="11" max="11" width="11" style="17" bestFit="1" customWidth="1"/>
  </cols>
  <sheetData>
    <row r="1" spans="1:13" ht="21" x14ac:dyDescent="0.25">
      <c r="A1" s="29" t="s">
        <v>84</v>
      </c>
      <c r="B1"/>
      <c r="C1"/>
      <c r="D1"/>
      <c r="E1"/>
      <c r="F1"/>
      <c r="G1"/>
      <c r="H1"/>
      <c r="I1"/>
      <c r="J1"/>
      <c r="K1"/>
    </row>
    <row r="2" spans="1:13" x14ac:dyDescent="0.2">
      <c r="A2" s="8" t="s">
        <v>65</v>
      </c>
      <c r="B2" s="8">
        <v>2014</v>
      </c>
      <c r="C2" s="8">
        <v>2015</v>
      </c>
      <c r="D2" s="8">
        <v>2016</v>
      </c>
      <c r="E2" s="8">
        <v>2017</v>
      </c>
      <c r="F2" s="8">
        <v>2018</v>
      </c>
      <c r="G2" s="8">
        <v>2019</v>
      </c>
      <c r="H2" s="8">
        <v>2020</v>
      </c>
      <c r="I2" s="8">
        <v>2021</v>
      </c>
      <c r="J2" s="8">
        <v>2022</v>
      </c>
      <c r="K2" s="8">
        <v>2023</v>
      </c>
      <c r="L2" s="8" t="s">
        <v>66</v>
      </c>
      <c r="M2" s="8" t="s">
        <v>67</v>
      </c>
    </row>
    <row r="3" spans="1:13" x14ac:dyDescent="0.2">
      <c r="A3" t="s">
        <v>85</v>
      </c>
      <c r="B3"/>
      <c r="C3"/>
      <c r="D3"/>
      <c r="E3"/>
      <c r="F3"/>
      <c r="G3"/>
      <c r="H3"/>
      <c r="I3"/>
      <c r="J3"/>
      <c r="K3"/>
    </row>
    <row r="4" spans="1:13" x14ac:dyDescent="0.2">
      <c r="A4" t="s">
        <v>78</v>
      </c>
      <c r="B4">
        <v>445</v>
      </c>
      <c r="C4">
        <v>476</v>
      </c>
      <c r="D4">
        <v>23</v>
      </c>
      <c r="E4">
        <v>176</v>
      </c>
      <c r="F4">
        <v>177</v>
      </c>
      <c r="G4">
        <v>350</v>
      </c>
      <c r="H4">
        <v>356</v>
      </c>
      <c r="I4">
        <v>653</v>
      </c>
      <c r="J4">
        <v>899</v>
      </c>
      <c r="K4" s="27">
        <v>1229</v>
      </c>
      <c r="L4" s="27">
        <v>1410</v>
      </c>
      <c r="M4" s="22">
        <v>0.128</v>
      </c>
    </row>
    <row r="5" spans="1:13" x14ac:dyDescent="0.2">
      <c r="A5" t="s">
        <v>72</v>
      </c>
      <c r="B5">
        <v>110</v>
      </c>
      <c r="C5">
        <v>130</v>
      </c>
      <c r="D5">
        <v>146</v>
      </c>
      <c r="E5">
        <v>163</v>
      </c>
      <c r="F5">
        <v>202</v>
      </c>
      <c r="G5">
        <v>213</v>
      </c>
      <c r="H5">
        <v>239</v>
      </c>
      <c r="I5">
        <v>255</v>
      </c>
      <c r="J5">
        <v>287</v>
      </c>
      <c r="K5">
        <v>319</v>
      </c>
      <c r="L5">
        <v>331</v>
      </c>
      <c r="M5" s="22">
        <v>0.121</v>
      </c>
    </row>
    <row r="6" spans="1:13" x14ac:dyDescent="0.2">
      <c r="A6" t="s">
        <v>86</v>
      </c>
      <c r="B6">
        <v>0</v>
      </c>
      <c r="C6">
        <v>0</v>
      </c>
      <c r="D6">
        <v>24</v>
      </c>
      <c r="E6">
        <v>13</v>
      </c>
      <c r="F6">
        <v>62</v>
      </c>
      <c r="G6">
        <v>15</v>
      </c>
      <c r="H6">
        <v>29</v>
      </c>
      <c r="I6">
        <v>17</v>
      </c>
      <c r="J6">
        <v>21</v>
      </c>
      <c r="K6">
        <v>37</v>
      </c>
      <c r="L6">
        <v>23</v>
      </c>
      <c r="M6" s="22">
        <v>-6.0000000000000001E-3</v>
      </c>
    </row>
    <row r="7" spans="1:13" x14ac:dyDescent="0.2">
      <c r="A7" t="s">
        <v>87</v>
      </c>
      <c r="B7">
        <v>-21</v>
      </c>
      <c r="C7">
        <v>12</v>
      </c>
      <c r="D7">
        <v>-14</v>
      </c>
      <c r="E7">
        <v>-18</v>
      </c>
      <c r="F7">
        <v>11</v>
      </c>
      <c r="G7">
        <v>30</v>
      </c>
      <c r="H7">
        <v>108</v>
      </c>
      <c r="I7">
        <v>-12</v>
      </c>
      <c r="J7">
        <v>-43</v>
      </c>
      <c r="K7">
        <v>-10</v>
      </c>
      <c r="L7">
        <v>-23</v>
      </c>
      <c r="M7" t="s">
        <v>88</v>
      </c>
    </row>
    <row r="8" spans="1:13" s="8" customFormat="1" x14ac:dyDescent="0.2">
      <c r="A8" t="s">
        <v>89</v>
      </c>
      <c r="B8">
        <v>96</v>
      </c>
      <c r="C8">
        <v>58</v>
      </c>
      <c r="D8">
        <v>64</v>
      </c>
      <c r="E8">
        <v>65</v>
      </c>
      <c r="F8">
        <v>69</v>
      </c>
      <c r="G8">
        <v>91</v>
      </c>
      <c r="H8">
        <v>83</v>
      </c>
      <c r="I8">
        <v>176</v>
      </c>
      <c r="J8">
        <v>98</v>
      </c>
      <c r="K8">
        <v>124</v>
      </c>
      <c r="L8">
        <v>155</v>
      </c>
      <c r="M8" s="22">
        <v>0.05</v>
      </c>
    </row>
    <row r="9" spans="1:13" s="8" customFormat="1" x14ac:dyDescent="0.2">
      <c r="A9" t="s">
        <v>126</v>
      </c>
      <c r="B9" s="30">
        <v>65.05</v>
      </c>
      <c r="C9" s="30">
        <v>68.5</v>
      </c>
      <c r="D9" s="30">
        <v>108.3</v>
      </c>
      <c r="E9" s="30">
        <v>66.900000000000006</v>
      </c>
      <c r="F9" s="30">
        <v>104.1</v>
      </c>
      <c r="G9" s="30">
        <v>-131.5</v>
      </c>
      <c r="H9" s="30">
        <v>-338.6</v>
      </c>
      <c r="I9" s="30">
        <v>197.4</v>
      </c>
      <c r="J9" s="30">
        <v>78.599999999999994</v>
      </c>
      <c r="K9" s="30">
        <v>95.3</v>
      </c>
      <c r="L9" s="30">
        <v>-19.2</v>
      </c>
      <c r="M9" s="30"/>
    </row>
    <row r="10" spans="1:13" s="8" customFormat="1" x14ac:dyDescent="0.2">
      <c r="A10" t="s">
        <v>13</v>
      </c>
      <c r="B10">
        <v>-11</v>
      </c>
      <c r="C10">
        <v>-4</v>
      </c>
      <c r="D10">
        <v>-2</v>
      </c>
      <c r="E10">
        <v>0</v>
      </c>
      <c r="F10">
        <v>-8</v>
      </c>
      <c r="G10">
        <v>-3</v>
      </c>
      <c r="H10">
        <v>3</v>
      </c>
      <c r="I10">
        <v>-2</v>
      </c>
      <c r="J10">
        <v>-14</v>
      </c>
      <c r="K10">
        <v>-11</v>
      </c>
      <c r="L10">
        <v>-37</v>
      </c>
      <c r="M10" t="s">
        <v>88</v>
      </c>
    </row>
    <row r="11" spans="1:13" x14ac:dyDescent="0.2">
      <c r="A11" t="s">
        <v>90</v>
      </c>
      <c r="B11">
        <v>-1</v>
      </c>
      <c r="C11">
        <v>-5</v>
      </c>
      <c r="D11">
        <v>-4</v>
      </c>
      <c r="E11">
        <v>-7</v>
      </c>
      <c r="F11">
        <v>-4</v>
      </c>
      <c r="G11">
        <v>-23</v>
      </c>
      <c r="H11">
        <v>-11</v>
      </c>
      <c r="I11">
        <v>-27</v>
      </c>
      <c r="J11">
        <v>-15</v>
      </c>
      <c r="K11">
        <v>-39</v>
      </c>
      <c r="L11">
        <v>3</v>
      </c>
      <c r="M11" s="22">
        <v>0</v>
      </c>
    </row>
    <row r="12" spans="1:13" x14ac:dyDescent="0.2">
      <c r="A12" t="s">
        <v>91</v>
      </c>
      <c r="B12">
        <v>-2</v>
      </c>
      <c r="C12">
        <v>0</v>
      </c>
      <c r="D12">
        <v>0</v>
      </c>
      <c r="E12">
        <v>-5</v>
      </c>
      <c r="F12">
        <v>-2</v>
      </c>
      <c r="G12">
        <v>-5</v>
      </c>
      <c r="H12">
        <v>0</v>
      </c>
      <c r="I12">
        <v>-6</v>
      </c>
      <c r="J12">
        <v>-3</v>
      </c>
      <c r="K12">
        <v>-4</v>
      </c>
      <c r="L12">
        <v>0</v>
      </c>
      <c r="M12" s="22">
        <v>5.8000000000000003E-2</v>
      </c>
    </row>
    <row r="13" spans="1:13" x14ac:dyDescent="0.2">
      <c r="A13" t="s">
        <v>92</v>
      </c>
      <c r="B13">
        <v>2</v>
      </c>
      <c r="C13">
        <v>20</v>
      </c>
      <c r="D13">
        <v>-7</v>
      </c>
      <c r="E13">
        <v>11</v>
      </c>
      <c r="F13">
        <v>32</v>
      </c>
      <c r="G13">
        <v>-1</v>
      </c>
      <c r="H13">
        <v>-4</v>
      </c>
      <c r="I13">
        <v>21</v>
      </c>
      <c r="J13">
        <v>18</v>
      </c>
      <c r="K13">
        <v>5</v>
      </c>
      <c r="L13">
        <v>24</v>
      </c>
      <c r="M13" s="22">
        <v>0.28399999999999997</v>
      </c>
    </row>
    <row r="14" spans="1:13" x14ac:dyDescent="0.2">
      <c r="A14" t="s">
        <v>93</v>
      </c>
      <c r="B14">
        <v>35</v>
      </c>
      <c r="C14">
        <v>-7</v>
      </c>
      <c r="D14">
        <v>25</v>
      </c>
      <c r="E14">
        <v>34</v>
      </c>
      <c r="F14">
        <v>44</v>
      </c>
      <c r="G14">
        <v>48</v>
      </c>
      <c r="H14">
        <v>82</v>
      </c>
      <c r="I14">
        <v>-34</v>
      </c>
      <c r="J14">
        <v>-18</v>
      </c>
      <c r="K14">
        <v>60</v>
      </c>
      <c r="L14">
        <v>65</v>
      </c>
      <c r="M14" s="22">
        <v>6.7000000000000004E-2</v>
      </c>
    </row>
    <row r="15" spans="1:13" s="8" customFormat="1" x14ac:dyDescent="0.2">
      <c r="A15" t="s">
        <v>94</v>
      </c>
      <c r="B15">
        <v>36</v>
      </c>
      <c r="C15">
        <v>66</v>
      </c>
      <c r="D15">
        <v>100</v>
      </c>
      <c r="E15">
        <v>30</v>
      </c>
      <c r="F15">
        <v>43</v>
      </c>
      <c r="G15">
        <v>-2</v>
      </c>
      <c r="H15">
        <v>-218</v>
      </c>
      <c r="I15">
        <v>228</v>
      </c>
      <c r="J15">
        <v>80</v>
      </c>
      <c r="K15">
        <v>30</v>
      </c>
      <c r="L15">
        <v>-137</v>
      </c>
      <c r="M15" t="s">
        <v>88</v>
      </c>
    </row>
    <row r="16" spans="1:13" x14ac:dyDescent="0.2">
      <c r="A16" t="s">
        <v>95</v>
      </c>
      <c r="B16">
        <v>0</v>
      </c>
      <c r="C16">
        <v>1</v>
      </c>
      <c r="D16">
        <v>-2</v>
      </c>
      <c r="E16">
        <v>0</v>
      </c>
      <c r="F16">
        <v>-3</v>
      </c>
      <c r="G16">
        <v>-11</v>
      </c>
      <c r="H16">
        <v>4</v>
      </c>
      <c r="I16">
        <v>-5</v>
      </c>
      <c r="J16">
        <v>-16</v>
      </c>
      <c r="K16">
        <v>-13</v>
      </c>
      <c r="L16">
        <v>1</v>
      </c>
      <c r="M16" s="22">
        <v>0.214</v>
      </c>
    </row>
    <row r="17" spans="1:13" x14ac:dyDescent="0.2">
      <c r="A17" t="s">
        <v>96</v>
      </c>
      <c r="B17">
        <v>-9</v>
      </c>
      <c r="C17">
        <v>-62</v>
      </c>
      <c r="D17">
        <v>2</v>
      </c>
      <c r="E17">
        <v>5</v>
      </c>
      <c r="F17">
        <v>-1</v>
      </c>
      <c r="G17">
        <v>17</v>
      </c>
      <c r="H17">
        <v>-5</v>
      </c>
      <c r="I17">
        <v>17</v>
      </c>
      <c r="J17">
        <v>30</v>
      </c>
      <c r="K17">
        <v>55</v>
      </c>
      <c r="L17">
        <v>63</v>
      </c>
      <c r="M17" s="22">
        <v>0.59599999999999997</v>
      </c>
    </row>
    <row r="18" spans="1:13" x14ac:dyDescent="0.2">
      <c r="A18" t="s">
        <v>97</v>
      </c>
      <c r="B18">
        <v>682</v>
      </c>
      <c r="C18">
        <v>683</v>
      </c>
      <c r="D18">
        <v>355</v>
      </c>
      <c r="E18">
        <v>468</v>
      </c>
      <c r="F18">
        <v>622</v>
      </c>
      <c r="G18">
        <v>722</v>
      </c>
      <c r="H18">
        <v>664</v>
      </c>
      <c r="I18" s="27">
        <v>1282</v>
      </c>
      <c r="J18" s="27">
        <v>1323</v>
      </c>
      <c r="K18" s="27">
        <v>1783</v>
      </c>
      <c r="L18" s="27">
        <v>1878</v>
      </c>
      <c r="M18" s="22">
        <v>0.111</v>
      </c>
    </row>
    <row r="19" spans="1:13" x14ac:dyDescent="0.2">
      <c r="A19" t="s">
        <v>98</v>
      </c>
      <c r="B19"/>
      <c r="C19"/>
      <c r="D19"/>
      <c r="E19"/>
      <c r="F19"/>
      <c r="G19"/>
      <c r="H19"/>
      <c r="I19"/>
      <c r="J19"/>
      <c r="K19"/>
    </row>
    <row r="20" spans="1:13" s="8" customFormat="1" x14ac:dyDescent="0.2">
      <c r="A20" t="s">
        <v>99</v>
      </c>
      <c r="B20">
        <v>-253</v>
      </c>
      <c r="C20">
        <v>-257</v>
      </c>
      <c r="D20">
        <v>-259</v>
      </c>
      <c r="E20">
        <v>-217</v>
      </c>
      <c r="F20">
        <v>-287</v>
      </c>
      <c r="G20">
        <v>-334</v>
      </c>
      <c r="H20">
        <v>-373</v>
      </c>
      <c r="I20">
        <v>-442</v>
      </c>
      <c r="J20">
        <v>-479</v>
      </c>
      <c r="K20">
        <v>-561</v>
      </c>
      <c r="L20">
        <v>-576</v>
      </c>
      <c r="M20" s="22">
        <v>0.09</v>
      </c>
    </row>
    <row r="21" spans="1:13" x14ac:dyDescent="0.2">
      <c r="A2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4</v>
      </c>
      <c r="J21">
        <v>0</v>
      </c>
      <c r="K21">
        <v>0</v>
      </c>
      <c r="L21">
        <v>0</v>
      </c>
      <c r="M21" t="s">
        <v>88</v>
      </c>
    </row>
    <row r="22" spans="1:13" x14ac:dyDescent="0.2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</v>
      </c>
      <c r="I22">
        <v>0</v>
      </c>
      <c r="J22">
        <v>0</v>
      </c>
      <c r="K22">
        <v>0</v>
      </c>
      <c r="L22">
        <v>0</v>
      </c>
      <c r="M22" t="s">
        <v>88</v>
      </c>
    </row>
    <row r="23" spans="1:13" x14ac:dyDescent="0.2">
      <c r="A23" t="s">
        <v>102</v>
      </c>
      <c r="B23">
        <v>-521</v>
      </c>
      <c r="C23">
        <v>-559</v>
      </c>
      <c r="D23">
        <v>0</v>
      </c>
      <c r="E23">
        <v>-200</v>
      </c>
      <c r="F23">
        <v>-485</v>
      </c>
      <c r="G23">
        <v>-449</v>
      </c>
      <c r="H23">
        <v>-468</v>
      </c>
      <c r="I23">
        <v>-429</v>
      </c>
      <c r="J23">
        <v>-614</v>
      </c>
      <c r="K23" s="27">
        <v>-1115</v>
      </c>
      <c r="L23" s="27">
        <v>-1263</v>
      </c>
      <c r="M23" t="s">
        <v>88</v>
      </c>
    </row>
    <row r="24" spans="1:13" x14ac:dyDescent="0.2">
      <c r="A24" t="s">
        <v>103</v>
      </c>
      <c r="B24">
        <v>255</v>
      </c>
      <c r="C24">
        <v>353</v>
      </c>
      <c r="D24">
        <v>586</v>
      </c>
      <c r="E24">
        <v>330</v>
      </c>
      <c r="F24">
        <v>385</v>
      </c>
      <c r="G24">
        <v>477</v>
      </c>
      <c r="H24">
        <v>419</v>
      </c>
      <c r="I24">
        <v>346</v>
      </c>
      <c r="J24">
        <v>264</v>
      </c>
      <c r="K24">
        <v>730</v>
      </c>
      <c r="L24">
        <v>884</v>
      </c>
      <c r="M24" s="22">
        <v>0.13800000000000001</v>
      </c>
    </row>
    <row r="25" spans="1:13" x14ac:dyDescent="0.2">
      <c r="A25" t="s">
        <v>104</v>
      </c>
      <c r="B25">
        <v>-519</v>
      </c>
      <c r="C25">
        <v>-464</v>
      </c>
      <c r="D25">
        <v>327</v>
      </c>
      <c r="E25">
        <v>-87</v>
      </c>
      <c r="F25">
        <v>-388</v>
      </c>
      <c r="G25">
        <v>-292</v>
      </c>
      <c r="H25">
        <v>-433</v>
      </c>
      <c r="I25">
        <v>-522</v>
      </c>
      <c r="J25">
        <v>-830</v>
      </c>
      <c r="K25">
        <v>-946</v>
      </c>
      <c r="L25">
        <v>-956</v>
      </c>
      <c r="M25" t="s">
        <v>88</v>
      </c>
    </row>
    <row r="26" spans="1:13" x14ac:dyDescent="0.2">
      <c r="A26" t="s">
        <v>105</v>
      </c>
      <c r="B26"/>
      <c r="C26"/>
      <c r="D26"/>
      <c r="E26"/>
      <c r="F26"/>
      <c r="G26"/>
      <c r="H26"/>
      <c r="I26"/>
      <c r="J26"/>
      <c r="K26"/>
    </row>
    <row r="27" spans="1:13" x14ac:dyDescent="0.2">
      <c r="A27" t="s">
        <v>106</v>
      </c>
      <c r="B27">
        <v>-22</v>
      </c>
      <c r="C27">
        <v>-74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">
      <c r="A28" t="s">
        <v>107</v>
      </c>
      <c r="B28">
        <v>-88</v>
      </c>
      <c r="C28">
        <v>-461</v>
      </c>
      <c r="D28">
        <v>-837</v>
      </c>
      <c r="E28">
        <v>-285</v>
      </c>
      <c r="F28">
        <v>-161</v>
      </c>
      <c r="G28">
        <v>-191</v>
      </c>
      <c r="H28">
        <v>-54</v>
      </c>
      <c r="I28">
        <v>-466</v>
      </c>
      <c r="J28">
        <v>-830</v>
      </c>
      <c r="K28">
        <v>-592</v>
      </c>
      <c r="L28">
        <v>-543</v>
      </c>
      <c r="M28" s="22">
        <v>0.20799999999999999</v>
      </c>
    </row>
    <row r="29" spans="1:13" x14ac:dyDescent="0.2">
      <c r="A29" t="s">
        <v>108</v>
      </c>
      <c r="B29">
        <v>22</v>
      </c>
      <c r="C29">
        <v>74</v>
      </c>
      <c r="D29">
        <v>-1</v>
      </c>
      <c r="E29">
        <v>-1</v>
      </c>
      <c r="F29">
        <v>-6</v>
      </c>
      <c r="G29">
        <v>-11</v>
      </c>
      <c r="H29">
        <v>-50</v>
      </c>
      <c r="I29">
        <v>-82</v>
      </c>
      <c r="J29">
        <v>-99</v>
      </c>
      <c r="K29">
        <v>-68</v>
      </c>
      <c r="L29">
        <v>-74</v>
      </c>
      <c r="M29" t="s">
        <v>88</v>
      </c>
    </row>
    <row r="30" spans="1:13" s="8" customFormat="1" x14ac:dyDescent="0.2">
      <c r="A30" t="s">
        <v>109</v>
      </c>
      <c r="B30">
        <v>22</v>
      </c>
      <c r="C30">
        <v>74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88</v>
      </c>
    </row>
    <row r="31" spans="1:13" x14ac:dyDescent="0.2">
      <c r="A31" t="s">
        <v>110</v>
      </c>
      <c r="B31">
        <v>-67</v>
      </c>
      <c r="C31">
        <v>-386</v>
      </c>
      <c r="D31">
        <v>-836</v>
      </c>
      <c r="E31">
        <v>-286</v>
      </c>
      <c r="F31">
        <v>-167</v>
      </c>
      <c r="G31">
        <v>-202</v>
      </c>
      <c r="H31">
        <v>-105</v>
      </c>
      <c r="I31">
        <v>-549</v>
      </c>
      <c r="J31">
        <v>-929</v>
      </c>
      <c r="K31">
        <v>-661</v>
      </c>
      <c r="L31">
        <v>-617</v>
      </c>
      <c r="M31" s="22">
        <v>0.26100000000000001</v>
      </c>
    </row>
    <row r="32" spans="1:13" s="8" customFormat="1" x14ac:dyDescent="0.2">
      <c r="A32" t="s">
        <v>111</v>
      </c>
      <c r="B32">
        <v>0</v>
      </c>
      <c r="C32">
        <v>-4</v>
      </c>
      <c r="D32">
        <v>0</v>
      </c>
      <c r="E32">
        <v>2</v>
      </c>
      <c r="F32">
        <v>-1</v>
      </c>
      <c r="G32">
        <v>0</v>
      </c>
      <c r="H32">
        <v>1</v>
      </c>
      <c r="I32">
        <v>-1</v>
      </c>
      <c r="J32">
        <v>-1</v>
      </c>
      <c r="K32">
        <v>0</v>
      </c>
      <c r="L32">
        <v>-1</v>
      </c>
      <c r="M32" t="s">
        <v>88</v>
      </c>
    </row>
    <row r="33" spans="1:13" x14ac:dyDescent="0.2">
      <c r="A33" t="s">
        <v>112</v>
      </c>
      <c r="B33">
        <v>96</v>
      </c>
      <c r="C33">
        <v>-167</v>
      </c>
      <c r="D33">
        <v>-154</v>
      </c>
      <c r="E33">
        <v>96</v>
      </c>
      <c r="F33">
        <v>67</v>
      </c>
      <c r="G33">
        <v>228</v>
      </c>
      <c r="H33">
        <v>126</v>
      </c>
      <c r="I33">
        <v>211</v>
      </c>
      <c r="J33">
        <v>-436</v>
      </c>
      <c r="K33">
        <v>177</v>
      </c>
      <c r="L33">
        <v>305</v>
      </c>
      <c r="M33" s="22">
        <v>0.127</v>
      </c>
    </row>
    <row r="34" spans="1:13" x14ac:dyDescent="0.2">
      <c r="A34" t="s">
        <v>113</v>
      </c>
      <c r="B34">
        <v>323</v>
      </c>
      <c r="C34">
        <v>419</v>
      </c>
      <c r="D34">
        <v>248</v>
      </c>
      <c r="E34">
        <v>116</v>
      </c>
      <c r="F34">
        <v>214</v>
      </c>
      <c r="G34">
        <v>280</v>
      </c>
      <c r="H34">
        <v>508</v>
      </c>
      <c r="I34">
        <v>636</v>
      </c>
      <c r="J34">
        <v>846</v>
      </c>
      <c r="K34">
        <v>409</v>
      </c>
      <c r="L34">
        <v>530</v>
      </c>
      <c r="M34" s="22">
        <v>5.2999999999999999E-2</v>
      </c>
    </row>
    <row r="35" spans="1:13" s="8" customFormat="1" x14ac:dyDescent="0.2">
      <c r="A35" t="s">
        <v>114</v>
      </c>
      <c r="B35">
        <v>419</v>
      </c>
      <c r="C35">
        <v>248</v>
      </c>
      <c r="D35">
        <v>116</v>
      </c>
      <c r="E35">
        <v>214</v>
      </c>
      <c r="F35">
        <v>280</v>
      </c>
      <c r="G35">
        <v>508</v>
      </c>
      <c r="H35">
        <v>636</v>
      </c>
      <c r="I35">
        <v>846</v>
      </c>
      <c r="J35">
        <v>409</v>
      </c>
      <c r="K35">
        <v>586</v>
      </c>
      <c r="L35">
        <v>835</v>
      </c>
      <c r="M35" s="22">
        <v>7.3999999999999996E-2</v>
      </c>
    </row>
    <row r="36" spans="1:13" x14ac:dyDescent="0.2">
      <c r="A36" t="s">
        <v>115</v>
      </c>
      <c r="B36"/>
      <c r="C36"/>
      <c r="D36"/>
      <c r="E36"/>
      <c r="F36"/>
      <c r="G36"/>
      <c r="H36"/>
      <c r="I36"/>
      <c r="J36"/>
      <c r="K36"/>
    </row>
    <row r="37" spans="1:13" s="8" customFormat="1" x14ac:dyDescent="0.2">
      <c r="A37" t="s">
        <v>116</v>
      </c>
      <c r="B37">
        <v>682</v>
      </c>
      <c r="C37">
        <v>683</v>
      </c>
      <c r="D37">
        <v>355</v>
      </c>
      <c r="E37">
        <v>468</v>
      </c>
      <c r="F37">
        <v>622</v>
      </c>
      <c r="G37">
        <v>722</v>
      </c>
      <c r="H37">
        <v>664</v>
      </c>
      <c r="I37" s="27">
        <v>1282</v>
      </c>
      <c r="J37" s="27">
        <v>1323</v>
      </c>
      <c r="K37" s="27">
        <v>1783</v>
      </c>
      <c r="L37" s="27">
        <v>1878</v>
      </c>
      <c r="M37" s="22">
        <v>0.111</v>
      </c>
    </row>
    <row r="38" spans="1:13" x14ac:dyDescent="0.2">
      <c r="A38" t="s">
        <v>117</v>
      </c>
      <c r="B38">
        <v>-253</v>
      </c>
      <c r="C38">
        <v>-257</v>
      </c>
      <c r="D38">
        <v>-259</v>
      </c>
      <c r="E38">
        <v>-217</v>
      </c>
      <c r="F38">
        <v>-287</v>
      </c>
      <c r="G38">
        <v>-334</v>
      </c>
      <c r="H38">
        <v>-373</v>
      </c>
      <c r="I38">
        <v>-442</v>
      </c>
      <c r="J38">
        <v>-479</v>
      </c>
      <c r="K38">
        <v>-561</v>
      </c>
      <c r="L38">
        <v>-576</v>
      </c>
      <c r="M38" s="22">
        <v>0.09</v>
      </c>
    </row>
    <row r="39" spans="1:13" x14ac:dyDescent="0.2">
      <c r="A39" t="s">
        <v>118</v>
      </c>
      <c r="B39">
        <v>429</v>
      </c>
      <c r="C39">
        <v>426</v>
      </c>
      <c r="D39">
        <v>96</v>
      </c>
      <c r="E39">
        <v>251</v>
      </c>
      <c r="F39">
        <v>334</v>
      </c>
      <c r="G39">
        <v>388</v>
      </c>
      <c r="H39">
        <v>290</v>
      </c>
      <c r="I39">
        <v>840</v>
      </c>
      <c r="J39">
        <v>844</v>
      </c>
      <c r="K39" s="27">
        <v>1223</v>
      </c>
      <c r="L39" s="27">
        <v>1301</v>
      </c>
      <c r="M39" s="22">
        <v>0.122</v>
      </c>
    </row>
    <row r="40" spans="1:13" x14ac:dyDescent="0.2">
      <c r="A40" s="15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4"/>
    </row>
    <row r="41" spans="1:13" x14ac:dyDescent="0.2">
      <c r="A41" s="1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4"/>
    </row>
    <row r="42" spans="1:13" s="8" customFormat="1" x14ac:dyDescent="0.2">
      <c r="A42" s="1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6"/>
    </row>
    <row r="43" spans="1:13" x14ac:dyDescent="0.2">
      <c r="A43" s="14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4"/>
    </row>
    <row r="44" spans="1:13" x14ac:dyDescent="0.2">
      <c r="A44" s="14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4"/>
    </row>
    <row r="45" spans="1:13" x14ac:dyDescent="0.2">
      <c r="A45" s="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4"/>
    </row>
    <row r="46" spans="1:13" x14ac:dyDescent="0.2">
      <c r="A46" s="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4"/>
    </row>
    <row r="47" spans="1:13" x14ac:dyDescent="0.2">
      <c r="A47" s="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4"/>
    </row>
    <row r="48" spans="1:13" s="8" customFormat="1" x14ac:dyDescent="0.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6"/>
    </row>
    <row r="49" spans="1:12" x14ac:dyDescent="0.2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4"/>
    </row>
    <row r="50" spans="1:12" x14ac:dyDescent="0.2">
      <c r="A50" s="11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4"/>
    </row>
    <row r="51" spans="1:12" s="8" customFormat="1" x14ac:dyDescent="0.2">
      <c r="A51" s="12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6"/>
    </row>
    <row r="52" spans="1:12" x14ac:dyDescent="0.2">
      <c r="A52" s="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4"/>
    </row>
    <row r="53" spans="1:12" x14ac:dyDescent="0.2">
      <c r="A53" s="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4"/>
    </row>
    <row r="54" spans="1:12" x14ac:dyDescent="0.2">
      <c r="A54" s="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4"/>
    </row>
    <row r="55" spans="1:12" x14ac:dyDescent="0.2">
      <c r="A55" s="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4"/>
    </row>
    <row r="56" spans="1:12" x14ac:dyDescent="0.2">
      <c r="A56" s="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4"/>
    </row>
    <row r="57" spans="1:12" x14ac:dyDescent="0.2">
      <c r="A57" s="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4"/>
    </row>
    <row r="58" spans="1:12" x14ac:dyDescent="0.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4"/>
    </row>
    <row r="59" spans="1:12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620-CA7A-4721-B230-B63E42271BB1}">
  <sheetPr codeName="Sheet3"/>
  <dimension ref="A2:F22"/>
  <sheetViews>
    <sheetView showGridLines="0" zoomScale="133" workbookViewId="0">
      <selection activeCell="B2" sqref="B2"/>
    </sheetView>
  </sheetViews>
  <sheetFormatPr baseColWidth="10" defaultColWidth="8.83203125" defaultRowHeight="15" x14ac:dyDescent="0.2"/>
  <cols>
    <col min="1" max="1" width="4.1640625" customWidth="1"/>
    <col min="2" max="2" width="8" bestFit="1" customWidth="1"/>
    <col min="3" max="3" width="6.6640625" bestFit="1" customWidth="1"/>
    <col min="6" max="6" width="21.33203125" style="22" customWidth="1"/>
  </cols>
  <sheetData>
    <row r="2" spans="1:6" s="21" customFormat="1" x14ac:dyDescent="0.2">
      <c r="B2" s="86" t="s">
        <v>33</v>
      </c>
      <c r="F2" s="23"/>
    </row>
    <row r="4" spans="1:6" x14ac:dyDescent="0.2">
      <c r="B4" t="s">
        <v>39</v>
      </c>
    </row>
    <row r="5" spans="1:6" x14ac:dyDescent="0.2">
      <c r="B5" t="s">
        <v>40</v>
      </c>
    </row>
    <row r="7" spans="1:6" x14ac:dyDescent="0.2">
      <c r="A7" t="s">
        <v>0</v>
      </c>
      <c r="B7" s="132" t="s">
        <v>33</v>
      </c>
      <c r="C7" s="132"/>
      <c r="D7" s="132"/>
      <c r="E7" s="132"/>
      <c r="F7" s="133"/>
    </row>
    <row r="8" spans="1:6" x14ac:dyDescent="0.2">
      <c r="B8" t="s">
        <v>41</v>
      </c>
      <c r="F8" s="3">
        <f>'Diluted Shrs'!E8*'Diluted Shrs'!E18*1000</f>
        <v>68817.998489999984</v>
      </c>
    </row>
    <row r="9" spans="1:6" x14ac:dyDescent="0.2">
      <c r="B9" t="s">
        <v>42</v>
      </c>
      <c r="F9" s="106">
        <f>F8/$F$20</f>
        <v>1</v>
      </c>
    </row>
    <row r="10" spans="1:6" x14ac:dyDescent="0.2">
      <c r="B10" t="s">
        <v>43</v>
      </c>
      <c r="F10" s="22">
        <f>F11+F12*F13</f>
        <v>8.4876000000000007E-2</v>
      </c>
    </row>
    <row r="11" spans="1:6" x14ac:dyDescent="0.2">
      <c r="B11" t="s">
        <v>44</v>
      </c>
      <c r="F11" s="107">
        <v>4.2000000000000003E-2</v>
      </c>
    </row>
    <row r="12" spans="1:6" x14ac:dyDescent="0.2">
      <c r="B12" t="s">
        <v>45</v>
      </c>
      <c r="F12" s="108">
        <v>1.08</v>
      </c>
    </row>
    <row r="13" spans="1:6" x14ac:dyDescent="0.2">
      <c r="B13" t="s">
        <v>46</v>
      </c>
      <c r="F13" s="107">
        <v>3.9699999999999999E-2</v>
      </c>
    </row>
    <row r="15" spans="1:6" x14ac:dyDescent="0.2">
      <c r="B15" t="s">
        <v>47</v>
      </c>
      <c r="F15" s="108">
        <v>0</v>
      </c>
    </row>
    <row r="16" spans="1:6" x14ac:dyDescent="0.2">
      <c r="B16" t="s">
        <v>48</v>
      </c>
      <c r="F16" s="22">
        <f>F15/F20</f>
        <v>0</v>
      </c>
    </row>
    <row r="17" spans="1:6" x14ac:dyDescent="0.2">
      <c r="B17" t="s">
        <v>49</v>
      </c>
      <c r="F17" s="107">
        <v>0</v>
      </c>
    </row>
    <row r="18" spans="1:6" x14ac:dyDescent="0.2">
      <c r="B18" t="s">
        <v>50</v>
      </c>
      <c r="F18" s="107">
        <f>DCF!N53</f>
        <v>0.22573556051183194</v>
      </c>
    </row>
    <row r="19" spans="1:6" x14ac:dyDescent="0.2">
      <c r="F19" s="22" t="s">
        <v>38</v>
      </c>
    </row>
    <row r="20" spans="1:6" x14ac:dyDescent="0.2">
      <c r="B20" t="s">
        <v>51</v>
      </c>
      <c r="F20" s="3">
        <f>F8+F15</f>
        <v>68817.998489999984</v>
      </c>
    </row>
    <row r="22" spans="1:6" x14ac:dyDescent="0.2">
      <c r="A22" t="s">
        <v>0</v>
      </c>
      <c r="B22" s="24" t="s">
        <v>33</v>
      </c>
      <c r="C22" s="25"/>
      <c r="D22" s="25"/>
      <c r="E22" s="25"/>
      <c r="F22" s="26">
        <f>(F9*F10)+(F16*F17)</f>
        <v>8.4876000000000007E-2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93F7-480F-D54C-9AF3-231DD06A39F0}">
  <dimension ref="A1:P30"/>
  <sheetViews>
    <sheetView showGridLines="0" zoomScale="125" workbookViewId="0">
      <selection activeCell="B2" sqref="B2"/>
    </sheetView>
  </sheetViews>
  <sheetFormatPr baseColWidth="10" defaultRowHeight="15" x14ac:dyDescent="0.2"/>
  <cols>
    <col min="1" max="1" width="2.5" style="88" customWidth="1"/>
    <col min="2" max="2" width="24" style="34" customWidth="1"/>
    <col min="3" max="5" width="12.83203125" style="34" customWidth="1"/>
    <col min="6" max="16384" width="10.83203125" style="34"/>
  </cols>
  <sheetData>
    <row r="1" spans="1:5" x14ac:dyDescent="0.2">
      <c r="E1" s="89"/>
    </row>
    <row r="2" spans="1:5" s="81" customFormat="1" x14ac:dyDescent="0.2">
      <c r="A2" s="90"/>
      <c r="B2" s="91" t="s">
        <v>138</v>
      </c>
      <c r="E2" s="92"/>
    </row>
    <row r="3" spans="1:5" x14ac:dyDescent="0.2">
      <c r="E3" s="89"/>
    </row>
    <row r="4" spans="1:5" x14ac:dyDescent="0.2">
      <c r="B4" s="34" t="s">
        <v>39</v>
      </c>
      <c r="E4" s="89"/>
    </row>
    <row r="5" spans="1:5" x14ac:dyDescent="0.2">
      <c r="B5" s="34" t="s">
        <v>40</v>
      </c>
      <c r="E5" s="89"/>
    </row>
    <row r="6" spans="1:5" x14ac:dyDescent="0.2">
      <c r="E6" s="89"/>
    </row>
    <row r="7" spans="1:5" x14ac:dyDescent="0.2">
      <c r="A7" s="88" t="s">
        <v>0</v>
      </c>
      <c r="B7" s="131" t="s">
        <v>139</v>
      </c>
      <c r="C7" s="131"/>
      <c r="D7" s="131"/>
      <c r="E7" s="134"/>
    </row>
    <row r="8" spans="1:5" x14ac:dyDescent="0.2">
      <c r="B8" s="34" t="s">
        <v>142</v>
      </c>
      <c r="E8" s="97">
        <v>49.83</v>
      </c>
    </row>
    <row r="9" spans="1:5" x14ac:dyDescent="0.2">
      <c r="B9" s="34" t="s">
        <v>154</v>
      </c>
      <c r="E9" s="102">
        <v>1.3694759999999999</v>
      </c>
    </row>
    <row r="10" spans="1:5" x14ac:dyDescent="0.2">
      <c r="B10" s="34" t="s">
        <v>140</v>
      </c>
      <c r="E10" s="102">
        <f>E30</f>
        <v>1.4612999999999999E-2</v>
      </c>
    </row>
    <row r="11" spans="1:5" x14ac:dyDescent="0.2">
      <c r="B11" s="34" t="s">
        <v>141</v>
      </c>
      <c r="E11" s="102">
        <f>SUMPRODUCT(E22:E29,D22:D29)</f>
        <v>0.45198008999999995</v>
      </c>
    </row>
    <row r="12" spans="1:5" x14ac:dyDescent="0.2">
      <c r="B12" s="34" t="s">
        <v>144</v>
      </c>
      <c r="E12" s="102">
        <f>E11/E8</f>
        <v>9.0704413004214328E-3</v>
      </c>
    </row>
    <row r="13" spans="1:5" x14ac:dyDescent="0.2">
      <c r="B13" s="34" t="s">
        <v>143</v>
      </c>
      <c r="E13" s="102">
        <f>E10-E12</f>
        <v>5.5425586995785665E-3</v>
      </c>
    </row>
    <row r="14" spans="1:5" x14ac:dyDescent="0.2">
      <c r="E14" s="93"/>
    </row>
    <row r="15" spans="1:5" x14ac:dyDescent="0.2">
      <c r="B15" s="34" t="s">
        <v>158</v>
      </c>
      <c r="E15" s="102">
        <v>3.2179999999999999E-3</v>
      </c>
    </row>
    <row r="16" spans="1:5" s="101" customFormat="1" x14ac:dyDescent="0.2">
      <c r="B16" s="101" t="s">
        <v>159</v>
      </c>
      <c r="E16" s="102">
        <v>2.8189999999999999E-3</v>
      </c>
    </row>
    <row r="17" spans="1:16" x14ac:dyDescent="0.2">
      <c r="E17" s="94"/>
    </row>
    <row r="18" spans="1:16" s="42" customFormat="1" x14ac:dyDescent="0.2">
      <c r="A18" s="95"/>
      <c r="B18" s="42" t="s">
        <v>145</v>
      </c>
      <c r="E18" s="105">
        <f>E9+E13+E15+E16</f>
        <v>1.3810555586995783</v>
      </c>
    </row>
    <row r="19" spans="1:16" x14ac:dyDescent="0.2">
      <c r="E19" s="96"/>
    </row>
    <row r="20" spans="1:16" x14ac:dyDescent="0.2">
      <c r="A20" s="88" t="s">
        <v>0</v>
      </c>
      <c r="B20" s="131" t="s">
        <v>146</v>
      </c>
      <c r="C20" s="131"/>
      <c r="D20" s="131"/>
      <c r="E20" s="134"/>
    </row>
    <row r="21" spans="1:16" x14ac:dyDescent="0.2">
      <c r="C21" s="98" t="s">
        <v>155</v>
      </c>
      <c r="D21" s="98" t="s">
        <v>156</v>
      </c>
      <c r="E21" s="98" t="s">
        <v>157</v>
      </c>
    </row>
    <row r="22" spans="1:16" x14ac:dyDescent="0.2">
      <c r="B22" s="34" t="s">
        <v>147</v>
      </c>
      <c r="C22" s="99">
        <v>1.4612999999999999E-2</v>
      </c>
      <c r="D22" s="99">
        <v>30.93</v>
      </c>
      <c r="E22" s="100">
        <f>IF(D22&lt;$E$8,C22)</f>
        <v>1.4612999999999999E-2</v>
      </c>
    </row>
    <row r="23" spans="1:16" x14ac:dyDescent="0.2">
      <c r="B23" s="34" t="s">
        <v>148</v>
      </c>
      <c r="C23" s="99"/>
      <c r="D23" s="99"/>
      <c r="E23" s="100">
        <f t="shared" ref="E23:E28" si="0">IF(D23&lt;$E$8,C23)</f>
        <v>0</v>
      </c>
    </row>
    <row r="24" spans="1:16" x14ac:dyDescent="0.2">
      <c r="B24" s="34" t="s">
        <v>149</v>
      </c>
      <c r="C24" s="99"/>
      <c r="D24" s="99"/>
      <c r="E24" s="100">
        <f t="shared" si="0"/>
        <v>0</v>
      </c>
    </row>
    <row r="25" spans="1:16" x14ac:dyDescent="0.2">
      <c r="B25" s="34" t="s">
        <v>150</v>
      </c>
      <c r="C25" s="99"/>
      <c r="D25" s="99"/>
      <c r="E25" s="100">
        <f t="shared" si="0"/>
        <v>0</v>
      </c>
    </row>
    <row r="26" spans="1:16" x14ac:dyDescent="0.2">
      <c r="B26" s="34" t="s">
        <v>151</v>
      </c>
      <c r="C26" s="99"/>
      <c r="D26" s="99"/>
      <c r="E26" s="100">
        <f t="shared" si="0"/>
        <v>0</v>
      </c>
    </row>
    <row r="27" spans="1:16" x14ac:dyDescent="0.2">
      <c r="B27" s="34" t="s">
        <v>152</v>
      </c>
      <c r="C27" s="99"/>
      <c r="D27" s="99"/>
      <c r="E27" s="100">
        <f t="shared" si="0"/>
        <v>0</v>
      </c>
    </row>
    <row r="28" spans="1:16" x14ac:dyDescent="0.2">
      <c r="B28" s="34" t="s">
        <v>153</v>
      </c>
      <c r="C28" s="99"/>
      <c r="D28" s="99"/>
      <c r="E28" s="100">
        <f t="shared" si="0"/>
        <v>0</v>
      </c>
    </row>
    <row r="29" spans="1:16" x14ac:dyDescent="0.2">
      <c r="C29" s="99"/>
      <c r="D29" s="99"/>
      <c r="E29" s="99"/>
    </row>
    <row r="30" spans="1:16" x14ac:dyDescent="0.2">
      <c r="A30" s="88" t="s">
        <v>0</v>
      </c>
      <c r="B30" s="87" t="s">
        <v>51</v>
      </c>
      <c r="C30" s="103"/>
      <c r="D30" s="103"/>
      <c r="E30" s="104">
        <f>SUM(E22:E29)</f>
        <v>1.4612999999999999E-2</v>
      </c>
      <c r="K30" s="74"/>
      <c r="L30" s="74"/>
      <c r="M30" s="74"/>
      <c r="N30" s="74"/>
      <c r="O30" s="74"/>
      <c r="P30" s="74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8BDE2-E659-4016-93A8-234705697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Case</vt:lpstr>
      <vt:lpstr>DCF</vt:lpstr>
      <vt:lpstr>IS</vt:lpstr>
      <vt:lpstr>CFS Historicals</vt:lpstr>
      <vt:lpstr>WACC</vt:lpstr>
      <vt:lpstr>Diluted Shrs</vt:lpstr>
      <vt:lpstr>tgr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</cp:lastModifiedBy>
  <cp:lastPrinted>2023-01-20T07:14:04Z</cp:lastPrinted>
  <dcterms:created xsi:type="dcterms:W3CDTF">2023-01-19T06:21:05Z</dcterms:created>
  <dcterms:modified xsi:type="dcterms:W3CDTF">2024-08-09T14:18:00Z</dcterms:modified>
  <cp:category/>
</cp:coreProperties>
</file>