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CF3BF80D-E70F-45A3-8889-EAB383986543}" xr6:coauthVersionLast="47" xr6:coauthVersionMax="47" xr10:uidLastSave="{00000000-0000-0000-0000-000000000000}"/>
  <workbookProtection workbookAlgorithmName="SHA-512" workbookHashValue="80lEZw7vG8dW23YcSVzh6GRVbsOZ2iM7sstydoDqdO4+9/4hxDoQP4TfmHrF+f5a/YhNVnKQzfS+l18ZmIM5ug==" workbookSaltValue="i9OS87W+TMcb5pGA9i8ZTg==" workbookSpinCount="100000" lockStructure="1"/>
  <bookViews>
    <workbookView xWindow="-120" yWindow="-120" windowWidth="29040" windowHeight="15720" tabRatio="689" xr2:uid="{00000000-000D-0000-FFFF-FFFF00000000}"/>
  </bookViews>
  <sheets>
    <sheet name="ST04-T2SZ" sheetId="1" r:id="rId1"/>
    <sheet name="Codes" sheetId="6" r:id="rId2"/>
    <sheet name="Instructions" sheetId="5" r:id="rId3"/>
    <sheet name="Filters" sheetId="7" r:id="rId4"/>
    <sheet name="Translation" sheetId="4" state="hidden" r:id="rId5"/>
  </sheets>
  <definedNames>
    <definedName name="_xlnm._FilterDatabase" localSheetId="1" hidden="1">Codes!#REF!</definedName>
    <definedName name="_xlnm._FilterDatabase" localSheetId="2" hidden="1">Instructions!$G$10:$G$61</definedName>
    <definedName name="_xlnm._FilterDatabase" localSheetId="4" hidden="1">Translation!$A$4:$J$96</definedName>
    <definedName name="CatchTypeCode">Codes!$Y$43:$Y$48</definedName>
    <definedName name="ClassLimitCode">Codes!$Y$36:$Y$38</definedName>
    <definedName name="Content">Codes!$Y$58:$Y$61</definedName>
    <definedName name="DataSourceCode">Codes!$U$68:$U$74</definedName>
    <definedName name="FlagA2ISO">Codes!$F$3:$F$175</definedName>
    <definedName name="FlagA3ISO">Codes!$E$3:$E$175</definedName>
    <definedName name="FlagCode">Codes!$B$3:$B$175</definedName>
    <definedName name="FlagName">Codes!$A$3:$A$175</definedName>
    <definedName name="FreqTypeCode">Codes!$Y$12:$Y$21</definedName>
    <definedName name="GearCode">Codes!$U$3:$U$50</definedName>
    <definedName name="idiom">'ST04-T2SZ'!$R$2</definedName>
    <definedName name="LangFieldID">Translation!$I$1</definedName>
    <definedName name="LangNameID">Translation!$I$2</definedName>
    <definedName name="PortsZones">Codes!$D$3:$D$175</definedName>
    <definedName name="ProdTypeCode">Codes!$Y$25:$Y$31</definedName>
    <definedName name="QuadCode">Codes!$AC$3:$AC$7</definedName>
    <definedName name="SampAreaCode">Codes!$P$3:$P$121</definedName>
    <definedName name="SampleUnitCode">Codes!$U$55:$U$63</definedName>
    <definedName name="SampLocatCode">Codes!$U$79:$U$84</definedName>
    <definedName name="SchoolTypeCode">Codes!$Y$3:$Y$7</definedName>
    <definedName name="SpeciesCode">Codes!$H$3:$H$204</definedName>
    <definedName name="SquareTypeCode">Codes!$AC$12:$AC$17</definedName>
    <definedName name="StatusCPC">Codes!$C$3:$C$175</definedName>
    <definedName name="Version">Codes!$Y$52:$Y$53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5" l="1"/>
  <c r="S25" i="1" a="1"/>
  <c r="S25" i="1" s="1"/>
  <c r="R25" i="1" a="1"/>
  <c r="R25" i="1" s="1"/>
  <c r="Q25" i="1" a="1"/>
  <c r="Q25" i="1" s="1"/>
  <c r="P25" i="1" a="1"/>
  <c r="P25" i="1" s="1"/>
  <c r="M25" i="1" a="1"/>
  <c r="M25" i="1" s="1"/>
  <c r="L25" i="1" a="1"/>
  <c r="L25" i="1" s="1"/>
  <c r="K25" i="1" a="1"/>
  <c r="K25" i="1" s="1"/>
  <c r="J25" i="1" a="1"/>
  <c r="J25" i="1" s="1"/>
  <c r="I25" i="1" a="1"/>
  <c r="I25" i="1" s="1"/>
  <c r="H25" i="1" a="1"/>
  <c r="H25" i="1" s="1"/>
  <c r="G25" i="1" a="1"/>
  <c r="G25" i="1" s="1"/>
  <c r="F25" i="1" a="1"/>
  <c r="F25" i="1" s="1"/>
  <c r="E25" i="1" a="1"/>
  <c r="E25" i="1" s="1"/>
  <c r="D25" i="1" a="1"/>
  <c r="D25" i="1" s="1"/>
  <c r="C25" i="1" a="1"/>
  <c r="C25" i="1" s="1"/>
  <c r="A25" i="1" a="1"/>
  <c r="A25" i="1" s="1"/>
  <c r="E12" i="1" l="1"/>
  <c r="J11" i="1" s="1"/>
  <c r="F4" i="7"/>
  <c r="C19" i="1" l="1"/>
  <c r="G31" i="5" l="1"/>
  <c r="G61" i="5" l="1"/>
  <c r="G60" i="5"/>
  <c r="G59" i="5"/>
  <c r="G58" i="5"/>
  <c r="G57" i="5"/>
  <c r="G56" i="5"/>
  <c r="G55" i="5"/>
  <c r="G54" i="5"/>
  <c r="G53" i="5"/>
  <c r="G52" i="5"/>
  <c r="G51" i="5"/>
  <c r="G50" i="5"/>
  <c r="G49" i="5"/>
  <c r="G48" i="5"/>
  <c r="G47" i="5"/>
  <c r="G46" i="5"/>
  <c r="G45" i="5"/>
  <c r="G44" i="5"/>
  <c r="G43" i="5"/>
  <c r="G42" i="5"/>
  <c r="G41" i="5"/>
  <c r="G39" i="5"/>
  <c r="G38" i="5"/>
  <c r="G37" i="5"/>
  <c r="G36" i="5"/>
  <c r="G35" i="5"/>
  <c r="G34" i="5"/>
  <c r="G33" i="5"/>
  <c r="G32" i="5"/>
  <c r="G30" i="5"/>
  <c r="G29" i="5"/>
  <c r="G28" i="5"/>
  <c r="G27" i="5"/>
  <c r="G26" i="5"/>
  <c r="G25" i="5"/>
  <c r="G24" i="5"/>
  <c r="G23" i="5"/>
  <c r="G22" i="5"/>
  <c r="G21" i="5"/>
  <c r="G20" i="5"/>
  <c r="G19" i="5"/>
  <c r="G18" i="5"/>
  <c r="G17" i="5"/>
  <c r="G16" i="5"/>
  <c r="G15" i="5"/>
  <c r="G14" i="5"/>
  <c r="G13" i="5"/>
  <c r="G12" i="5"/>
  <c r="G11" i="5"/>
  <c r="I2" i="4" l="1"/>
  <c r="I1" i="4"/>
  <c r="F40" i="5" s="1"/>
  <c r="H31" i="5" l="1"/>
  <c r="H40" i="5"/>
  <c r="A4" i="7"/>
  <c r="A3" i="7"/>
  <c r="F31" i="5"/>
  <c r="B11" i="5"/>
  <c r="B15" i="1"/>
  <c r="F11" i="5"/>
  <c r="F12" i="5"/>
  <c r="G10" i="5"/>
  <c r="H10" i="5"/>
  <c r="C11" i="5"/>
  <c r="H12" i="5"/>
  <c r="H11" i="5"/>
  <c r="R1" i="1"/>
  <c r="Q1" i="1"/>
  <c r="D15" i="1" l="1"/>
  <c r="H41" i="5" l="1"/>
  <c r="H35" i="5"/>
  <c r="F41" i="5"/>
  <c r="F35" i="5"/>
  <c r="F17" i="1"/>
  <c r="C2" i="1"/>
  <c r="F54" i="5"/>
  <c r="F42" i="5"/>
  <c r="F26" i="5"/>
  <c r="D13" i="1"/>
  <c r="A13" i="1"/>
  <c r="F52" i="5"/>
  <c r="F27" i="5"/>
  <c r="H60" i="5"/>
  <c r="H54" i="5"/>
  <c r="H42" i="5"/>
  <c r="H26" i="5"/>
  <c r="H52" i="5"/>
  <c r="H27" i="5"/>
  <c r="A2" i="5"/>
  <c r="B3" i="5"/>
  <c r="H36" i="5"/>
  <c r="H43" i="5"/>
  <c r="K5" i="1"/>
  <c r="H18" i="5"/>
  <c r="H49" i="5"/>
  <c r="K8" i="1"/>
  <c r="H24" i="5"/>
  <c r="H55" i="5"/>
  <c r="R24" i="1"/>
  <c r="F20" i="5"/>
  <c r="F32" i="5"/>
  <c r="H61" i="5"/>
  <c r="F13" i="1"/>
  <c r="H23" i="1"/>
  <c r="E23" i="5"/>
  <c r="Q5" i="1"/>
  <c r="B5" i="1"/>
  <c r="A11" i="1"/>
  <c r="B14" i="1"/>
  <c r="A15" i="1"/>
  <c r="C22" i="1"/>
  <c r="C23" i="1"/>
  <c r="M23" i="1"/>
  <c r="I24" i="1"/>
  <c r="A1" i="1"/>
  <c r="C10" i="5"/>
  <c r="C13" i="5"/>
  <c r="D25" i="5"/>
  <c r="D39" i="5"/>
  <c r="D57" i="5"/>
  <c r="F15" i="5"/>
  <c r="F21" i="5"/>
  <c r="F28" i="5"/>
  <c r="F33" i="5"/>
  <c r="F39" i="5"/>
  <c r="F46" i="5"/>
  <c r="F58" i="5"/>
  <c r="B4" i="5"/>
  <c r="H13" i="5"/>
  <c r="H19" i="5"/>
  <c r="H25" i="5"/>
  <c r="H37" i="5"/>
  <c r="H44" i="5"/>
  <c r="H50" i="5"/>
  <c r="H56" i="5"/>
  <c r="A1" i="5"/>
  <c r="F9" i="1"/>
  <c r="B23" i="1"/>
  <c r="E55" i="5"/>
  <c r="F45" i="5"/>
  <c r="B6" i="1"/>
  <c r="K11" i="1"/>
  <c r="F14" i="1"/>
  <c r="O22" i="1"/>
  <c r="D23" i="1"/>
  <c r="N23" i="1"/>
  <c r="J24" i="1"/>
  <c r="D10" i="5"/>
  <c r="D13" i="5"/>
  <c r="E31" i="5"/>
  <c r="E39" i="5"/>
  <c r="E10" i="5"/>
  <c r="F16" i="5"/>
  <c r="F22" i="5"/>
  <c r="F29" i="5"/>
  <c r="F34" i="5"/>
  <c r="F47" i="5"/>
  <c r="F53" i="5"/>
  <c r="F59" i="5"/>
  <c r="B5" i="5"/>
  <c r="H14" i="5"/>
  <c r="H20" i="5"/>
  <c r="H32" i="5"/>
  <c r="H38" i="5"/>
  <c r="H45" i="5"/>
  <c r="H51" i="5"/>
  <c r="H57" i="5"/>
  <c r="C1" i="1"/>
  <c r="B10" i="5"/>
  <c r="F14" i="5"/>
  <c r="F57" i="5"/>
  <c r="A4" i="1"/>
  <c r="F6" i="1"/>
  <c r="S22" i="1"/>
  <c r="E23" i="1"/>
  <c r="O23" i="1"/>
  <c r="K24" i="1"/>
  <c r="F10" i="5"/>
  <c r="E13" i="5"/>
  <c r="E32" i="5"/>
  <c r="E41" i="5"/>
  <c r="F17" i="5"/>
  <c r="F23" i="5"/>
  <c r="F30" i="5"/>
  <c r="F48" i="5"/>
  <c r="F60" i="5"/>
  <c r="B6" i="5"/>
  <c r="H15" i="5"/>
  <c r="H21" i="5"/>
  <c r="H28" i="5"/>
  <c r="H33" i="5"/>
  <c r="H39" i="5"/>
  <c r="H46" i="5"/>
  <c r="H58" i="5"/>
  <c r="S21" i="1"/>
  <c r="C39" i="5"/>
  <c r="F51" i="5"/>
  <c r="K4" i="1"/>
  <c r="A12" i="1"/>
  <c r="F18" i="1"/>
  <c r="Q4" i="1"/>
  <c r="B8" i="1"/>
  <c r="F15" i="1"/>
  <c r="T22" i="1"/>
  <c r="L24" i="1"/>
  <c r="A9" i="5"/>
  <c r="E16" i="5"/>
  <c r="E35" i="5"/>
  <c r="E46" i="5"/>
  <c r="F18" i="5"/>
  <c r="F24" i="5"/>
  <c r="F36" i="5"/>
  <c r="F43" i="5"/>
  <c r="F49" i="5"/>
  <c r="F55" i="5"/>
  <c r="F61" i="5"/>
  <c r="B7" i="5"/>
  <c r="H16" i="5"/>
  <c r="H22" i="5"/>
  <c r="H29" i="5"/>
  <c r="H34" i="5"/>
  <c r="H47" i="5"/>
  <c r="H53" i="5"/>
  <c r="H59" i="5"/>
  <c r="F16" i="1"/>
  <c r="H24" i="1"/>
  <c r="F38" i="5"/>
  <c r="R5" i="1"/>
  <c r="B7" i="1"/>
  <c r="A17" i="1"/>
  <c r="K6" i="1"/>
  <c r="F12" i="1"/>
  <c r="G19" i="1"/>
  <c r="F23" i="1"/>
  <c r="P23" i="1"/>
  <c r="A5" i="1"/>
  <c r="A7" i="1"/>
  <c r="B9" i="1"/>
  <c r="A18" i="1"/>
  <c r="A21" i="1"/>
  <c r="A23" i="1"/>
  <c r="G23" i="1"/>
  <c r="Q23" i="1"/>
  <c r="Q24" i="1"/>
  <c r="A10" i="5"/>
  <c r="A11" i="5"/>
  <c r="D20" i="5"/>
  <c r="D38" i="5"/>
  <c r="E53" i="5"/>
  <c r="F13" i="5"/>
  <c r="F19" i="5"/>
  <c r="F25" i="5"/>
  <c r="F37" i="5"/>
  <c r="F44" i="5"/>
  <c r="F50" i="5"/>
  <c r="F56" i="5"/>
  <c r="H17" i="5"/>
  <c r="H23" i="5"/>
  <c r="H30" i="5"/>
  <c r="H48" i="5"/>
  <c r="D14" i="1" l="1"/>
  <c r="G3" i="7"/>
  <c r="I19" i="1"/>
  <c r="I18" i="1"/>
  <c r="J4" i="1"/>
  <c r="K9" i="1" s="1"/>
  <c r="A22" i="1"/>
  <c r="I14" i="1"/>
  <c r="I17" i="1"/>
  <c r="I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<sst xmlns="http://schemas.openxmlformats.org/spreadsheetml/2006/main" count="4127" uniqueCount="2522">
  <si>
    <t>Escoger la fuente a partir de la cual se recopilaron los datos (códigos ICCAT)</t>
  </si>
  <si>
    <t>Escoger un código de arte (códigos ICCAT)</t>
  </si>
  <si>
    <t>Clase de talla</t>
  </si>
  <si>
    <t>Size class</t>
  </si>
  <si>
    <t>Número</t>
  </si>
  <si>
    <t>Nombre</t>
  </si>
  <si>
    <t>Number</t>
  </si>
  <si>
    <t>Weight (kg)</t>
  </si>
  <si>
    <t>Prise totale (kg)</t>
  </si>
  <si>
    <t>Lon</t>
  </si>
  <si>
    <t>Lat</t>
  </si>
  <si>
    <t>Tipo de captura</t>
  </si>
  <si>
    <t>Type de capture</t>
  </si>
  <si>
    <t>Catch type</t>
  </si>
  <si>
    <t>Notas</t>
  </si>
  <si>
    <t>Notes</t>
  </si>
  <si>
    <t>Límite de clase</t>
  </si>
  <si>
    <t>Limite de classe</t>
  </si>
  <si>
    <t>Class limit</t>
  </si>
  <si>
    <t>Intervalo</t>
  </si>
  <si>
    <t>Intervalle</t>
  </si>
  <si>
    <t>Interval</t>
  </si>
  <si>
    <t>Tipo de producto</t>
  </si>
  <si>
    <t>Type de produit</t>
  </si>
  <si>
    <t>Product type</t>
  </si>
  <si>
    <t>Versión declarada</t>
  </si>
  <si>
    <t>Version transmise</t>
  </si>
  <si>
    <t>Version reported</t>
  </si>
  <si>
    <t>Pavillon déclarant</t>
  </si>
  <si>
    <t>País</t>
  </si>
  <si>
    <t>Pays</t>
  </si>
  <si>
    <t>Country</t>
  </si>
  <si>
    <t>Dirección</t>
  </si>
  <si>
    <t>Adresse</t>
  </si>
  <si>
    <t>Address</t>
  </si>
  <si>
    <t>Departamento</t>
  </si>
  <si>
    <t>Département</t>
  </si>
  <si>
    <t>Department</t>
  </si>
  <si>
    <t>Institución</t>
  </si>
  <si>
    <t>Institution</t>
  </si>
  <si>
    <t>Teléfono</t>
  </si>
  <si>
    <t>Téléphone</t>
  </si>
  <si>
    <t>Phone</t>
  </si>
  <si>
    <t>E-mail</t>
  </si>
  <si>
    <t>Nom</t>
  </si>
  <si>
    <t>Name</t>
  </si>
  <si>
    <t>Total fish sampled</t>
  </si>
  <si>
    <t>Geographic area</t>
  </si>
  <si>
    <t>Sample strata</t>
  </si>
  <si>
    <t>Catch attributes</t>
  </si>
  <si>
    <t>Afiliación</t>
  </si>
  <si>
    <t>Affiliation</t>
  </si>
  <si>
    <t>Identificación</t>
  </si>
  <si>
    <t>Identification</t>
  </si>
  <si>
    <t>Detalles de frecuencia de tallas</t>
  </si>
  <si>
    <t>Détails de la fréquence de taille</t>
  </si>
  <si>
    <t>Detail</t>
  </si>
  <si>
    <t>Détail</t>
  </si>
  <si>
    <t>Header</t>
  </si>
  <si>
    <t>Descripción</t>
  </si>
  <si>
    <t>Description</t>
  </si>
  <si>
    <t>Leave "blank" the fields for which you don't collect information</t>
  </si>
  <si>
    <t>General</t>
  </si>
  <si>
    <t>title</t>
  </si>
  <si>
    <t>Size frequency details</t>
  </si>
  <si>
    <t>Peso (kg)</t>
  </si>
  <si>
    <t>Total peces muestreados</t>
  </si>
  <si>
    <t>SampleID</t>
  </si>
  <si>
    <t>Estratos de la muestra</t>
  </si>
  <si>
    <t>Strates de l'échantillon</t>
  </si>
  <si>
    <t>Quadrant</t>
  </si>
  <si>
    <t>Área geográfica</t>
  </si>
  <si>
    <t>Zone géographique</t>
  </si>
  <si>
    <t>Estratos de captura asociados a muestras</t>
  </si>
  <si>
    <t>Strates de la capture associées aux échantillons</t>
  </si>
  <si>
    <t>Catch strata associated to samples</t>
  </si>
  <si>
    <t>Atributos de captura</t>
  </si>
  <si>
    <t>Attributs de la capture</t>
  </si>
  <si>
    <t>Atributos del muestreo</t>
  </si>
  <si>
    <t>Attributs d'échantillonnage</t>
  </si>
  <si>
    <t>Data set characteristics</t>
  </si>
  <si>
    <t>Correspondant statistique</t>
  </si>
  <si>
    <t>Idioma</t>
  </si>
  <si>
    <t>Langue</t>
  </si>
  <si>
    <t>Language</t>
  </si>
  <si>
    <t>ST04-T2SZ</t>
  </si>
  <si>
    <t>COMISIÓN INTERNACIONAL PARA LA CONSERVACIÓN DEL ATÚN ATLÁNTICO</t>
  </si>
  <si>
    <t>COMMISSION INTERNATIONALE POUR LA CONSERVATION DES THONIDÉS DE L'ATLANTIQUE</t>
  </si>
  <si>
    <t>INTERNATIONAL COMMISSION FOR THE CONSERVATION OF ATLANTIC TUNAS</t>
  </si>
  <si>
    <t>Section</t>
  </si>
  <si>
    <t/>
  </si>
  <si>
    <t>MD</t>
  </si>
  <si>
    <t>BIL95</t>
  </si>
  <si>
    <t>AT</t>
  </si>
  <si>
    <t>BIL94A</t>
  </si>
  <si>
    <t>BIL93</t>
  </si>
  <si>
    <t>BIL92</t>
  </si>
  <si>
    <t>AT-NW</t>
  </si>
  <si>
    <t>BIL91</t>
  </si>
  <si>
    <t>AT-SW</t>
  </si>
  <si>
    <t>BIL96</t>
  </si>
  <si>
    <t>AT-SE</t>
  </si>
  <si>
    <t>BIL97</t>
  </si>
  <si>
    <t>BIL94C</t>
  </si>
  <si>
    <t>AT-NE</t>
  </si>
  <si>
    <t>BIL94B</t>
  </si>
  <si>
    <t>SPF-W</t>
  </si>
  <si>
    <t>SPF</t>
  </si>
  <si>
    <t>SPF-E</t>
  </si>
  <si>
    <t>SAI-W</t>
  </si>
  <si>
    <t>VIR</t>
  </si>
  <si>
    <t>US Virgin Islands</t>
  </si>
  <si>
    <t>NCO</t>
  </si>
  <si>
    <t>UKR</t>
  </si>
  <si>
    <t>Ukraine</t>
  </si>
  <si>
    <t>TGO</t>
  </si>
  <si>
    <t>Togo</t>
  </si>
  <si>
    <t>THA</t>
  </si>
  <si>
    <t>Thailand</t>
  </si>
  <si>
    <t>SAI</t>
  </si>
  <si>
    <t>SAI-E</t>
  </si>
  <si>
    <t>CHE</t>
  </si>
  <si>
    <t>Switzerland</t>
  </si>
  <si>
    <t>LCA</t>
  </si>
  <si>
    <t>SGP</t>
  </si>
  <si>
    <t>Singapore</t>
  </si>
  <si>
    <t>SYC</t>
  </si>
  <si>
    <t>Seychelles</t>
  </si>
  <si>
    <t>SRB</t>
  </si>
  <si>
    <t>Serbia</t>
  </si>
  <si>
    <t>KNA</t>
  </si>
  <si>
    <t>Saint Kitts and Nevis</t>
  </si>
  <si>
    <t>St. Kitts, Nevis</t>
  </si>
  <si>
    <t>ROU</t>
  </si>
  <si>
    <t>PRI</t>
  </si>
  <si>
    <t>Puerto Rico</t>
  </si>
  <si>
    <t>WHM</t>
  </si>
  <si>
    <t>PSE</t>
  </si>
  <si>
    <t>Palestine</t>
  </si>
  <si>
    <t>MNE</t>
  </si>
  <si>
    <t>Montenegro</t>
  </si>
  <si>
    <t>Manta gigante</t>
  </si>
  <si>
    <t>Mante géante</t>
  </si>
  <si>
    <t>Giant manta</t>
  </si>
  <si>
    <t>Manta birostris</t>
  </si>
  <si>
    <t>RMB</t>
  </si>
  <si>
    <t>MUS</t>
  </si>
  <si>
    <t>Mauritius</t>
  </si>
  <si>
    <t>Raya-látigo violeta</t>
  </si>
  <si>
    <t>Pastenague violette</t>
  </si>
  <si>
    <t>Pelagic stingray</t>
  </si>
  <si>
    <t>Pteroplatytrygon violacea</t>
  </si>
  <si>
    <t>PLS</t>
  </si>
  <si>
    <t>MYS</t>
  </si>
  <si>
    <t>Malaysia</t>
  </si>
  <si>
    <t>Tiburón cocodrilo</t>
  </si>
  <si>
    <t>Requin crocodile</t>
  </si>
  <si>
    <t>Crocodile shark</t>
  </si>
  <si>
    <t>Pseudocarcharias kamoharai</t>
  </si>
  <si>
    <t>PSK</t>
  </si>
  <si>
    <t>LBR</t>
  </si>
  <si>
    <t>Liberia</t>
  </si>
  <si>
    <t>LBN</t>
  </si>
  <si>
    <t>Lebanon</t>
  </si>
  <si>
    <t>JAM</t>
  </si>
  <si>
    <t>Jamaica</t>
  </si>
  <si>
    <t>ISR</t>
  </si>
  <si>
    <t>Israel</t>
  </si>
  <si>
    <t>BUM</t>
  </si>
  <si>
    <t>IRN</t>
  </si>
  <si>
    <t>Iran</t>
  </si>
  <si>
    <t>SWO-M</t>
  </si>
  <si>
    <t>IND</t>
  </si>
  <si>
    <t>India</t>
  </si>
  <si>
    <t>GUY</t>
  </si>
  <si>
    <t>Guyana</t>
  </si>
  <si>
    <t>SWO-S</t>
  </si>
  <si>
    <t>GNB</t>
  </si>
  <si>
    <t>Guinea Bissau</t>
  </si>
  <si>
    <t>GRD</t>
  </si>
  <si>
    <t>Grenada</t>
  </si>
  <si>
    <t>SYR</t>
  </si>
  <si>
    <t>GEO</t>
  </si>
  <si>
    <t>Georgia</t>
  </si>
  <si>
    <t>GMB</t>
  </si>
  <si>
    <t>Gambia</t>
  </si>
  <si>
    <t>FRO</t>
  </si>
  <si>
    <t>Faroe Islands</t>
  </si>
  <si>
    <t>SWO</t>
  </si>
  <si>
    <t>SWO-N</t>
  </si>
  <si>
    <t>FLK</t>
  </si>
  <si>
    <t>Falklands</t>
  </si>
  <si>
    <t>ECU</t>
  </si>
  <si>
    <t>Ecuador</t>
  </si>
  <si>
    <t>DOM</t>
  </si>
  <si>
    <t>Dominican Republic</t>
  </si>
  <si>
    <t>DMA</t>
  </si>
  <si>
    <t>Dominica</t>
  </si>
  <si>
    <t>CUB</t>
  </si>
  <si>
    <t>Cuba</t>
  </si>
  <si>
    <t>OTH</t>
  </si>
  <si>
    <t>CRI</t>
  </si>
  <si>
    <t>Costa Rica</t>
  </si>
  <si>
    <t>UN</t>
  </si>
  <si>
    <t>UNCL</t>
  </si>
  <si>
    <t>COG</t>
  </si>
  <si>
    <t>Congo</t>
  </si>
  <si>
    <t>COL</t>
  </si>
  <si>
    <t>Colombia</t>
  </si>
  <si>
    <t>HL</t>
  </si>
  <si>
    <t>LL</t>
  </si>
  <si>
    <t>CHL</t>
  </si>
  <si>
    <t>Chile</t>
  </si>
  <si>
    <t>Handline</t>
  </si>
  <si>
    <t>HAND</t>
  </si>
  <si>
    <t>CYM</t>
  </si>
  <si>
    <t>Cayman Islands</t>
  </si>
  <si>
    <t>Haul seine</t>
  </si>
  <si>
    <t>HS</t>
  </si>
  <si>
    <t>CMR</t>
  </si>
  <si>
    <t>Cameroon</t>
  </si>
  <si>
    <t>KHM</t>
  </si>
  <si>
    <t>Cambodia</t>
  </si>
  <si>
    <t>HP</t>
  </si>
  <si>
    <t>BEN</t>
  </si>
  <si>
    <t>Benin</t>
  </si>
  <si>
    <t>Harpoon</t>
  </si>
  <si>
    <t>HARP</t>
  </si>
  <si>
    <t>BLR</t>
  </si>
  <si>
    <t>Belarus</t>
  </si>
  <si>
    <t>TL</t>
  </si>
  <si>
    <t>BHS</t>
  </si>
  <si>
    <t>Bahamas</t>
  </si>
  <si>
    <t>TN</t>
  </si>
  <si>
    <t>ABW</t>
  </si>
  <si>
    <t>Aruba</t>
  </si>
  <si>
    <t>Rod and Reel (catching small fish)</t>
  </si>
  <si>
    <t>RR</t>
  </si>
  <si>
    <t>RRFS</t>
  </si>
  <si>
    <t>ARG</t>
  </si>
  <si>
    <t>Argentina</t>
  </si>
  <si>
    <t>Rod and Reel (catching large fish)</t>
  </si>
  <si>
    <t>RRFB</t>
  </si>
  <si>
    <t>YFT-W</t>
  </si>
  <si>
    <t>Cornudas, etc. nep</t>
  </si>
  <si>
    <t>Requins marteau, etc. nca</t>
  </si>
  <si>
    <t>Hammerhead sharks, etc. nei</t>
  </si>
  <si>
    <t>Sphyrnidae</t>
  </si>
  <si>
    <t>SPY</t>
  </si>
  <si>
    <t>ATG</t>
  </si>
  <si>
    <t>Antigua and Barbuda</t>
  </si>
  <si>
    <t>Discards Dead</t>
  </si>
  <si>
    <t>DD</t>
  </si>
  <si>
    <t>Rod and Reel</t>
  </si>
  <si>
    <t>Cornudas (Peces martillo) nep</t>
  </si>
  <si>
    <t>Requins marteau nca</t>
  </si>
  <si>
    <t>Hammerhead sharks nei</t>
  </si>
  <si>
    <t>Sphyrna spp</t>
  </si>
  <si>
    <t>SPN</t>
  </si>
  <si>
    <t>AIA</t>
  </si>
  <si>
    <t>Anguilla</t>
  </si>
  <si>
    <t>Discards Live</t>
  </si>
  <si>
    <t>DL</t>
  </si>
  <si>
    <t>GN</t>
  </si>
  <si>
    <t>GILLSWO</t>
  </si>
  <si>
    <t>Cornuda gigante</t>
  </si>
  <si>
    <t>Grand requin marteau</t>
  </si>
  <si>
    <t>Great hammerhead</t>
  </si>
  <si>
    <t>Sphyrna mokarran</t>
  </si>
  <si>
    <t>SPK</t>
  </si>
  <si>
    <t>SUR</t>
  </si>
  <si>
    <t>Suriname</t>
  </si>
  <si>
    <t>NCC</t>
  </si>
  <si>
    <t>Landings</t>
  </si>
  <si>
    <t>L</t>
  </si>
  <si>
    <t>GILLALB</t>
  </si>
  <si>
    <t>SLV</t>
  </si>
  <si>
    <t>El Salvador</t>
  </si>
  <si>
    <t>Catches</t>
  </si>
  <si>
    <t>C</t>
  </si>
  <si>
    <t>GILL</t>
  </si>
  <si>
    <t>Cornuda común</t>
  </si>
  <si>
    <t>Requin-marteau halicorne</t>
  </si>
  <si>
    <t>Scalloped hammerhead</t>
  </si>
  <si>
    <t>Sphyrna lewini</t>
  </si>
  <si>
    <t>SPL</t>
  </si>
  <si>
    <t>CUW</t>
  </si>
  <si>
    <t>Curaçao</t>
  </si>
  <si>
    <t>ETRO</t>
  </si>
  <si>
    <t>TR</t>
  </si>
  <si>
    <t>TROL</t>
  </si>
  <si>
    <t>Cornuda cruz(=Pez martillo)</t>
  </si>
  <si>
    <t>Requin-marteau commun</t>
  </si>
  <si>
    <t>Smooth hammerhead</t>
  </si>
  <si>
    <t>Sphyrna zygaena</t>
  </si>
  <si>
    <t>SPZ</t>
  </si>
  <si>
    <t>TAI</t>
  </si>
  <si>
    <t>Chinese Taipei</t>
  </si>
  <si>
    <t>TW</t>
  </si>
  <si>
    <t>Cazones picudos,tintoreras nep</t>
  </si>
  <si>
    <t>Requins nca</t>
  </si>
  <si>
    <t>Requiem sharks nei</t>
  </si>
  <si>
    <t>Carcharhinidae</t>
  </si>
  <si>
    <t>RSK</t>
  </si>
  <si>
    <t>BOL</t>
  </si>
  <si>
    <t>Bolivia</t>
  </si>
  <si>
    <t>VEN</t>
  </si>
  <si>
    <t>Venezuela</t>
  </si>
  <si>
    <t>CP</t>
  </si>
  <si>
    <t>Trawl</t>
  </si>
  <si>
    <t>TRAW</t>
  </si>
  <si>
    <t>VUT</t>
  </si>
  <si>
    <t>Vanuatu</t>
  </si>
  <si>
    <t>central point</t>
  </si>
  <si>
    <t>BB</t>
  </si>
  <si>
    <t>BBALB</t>
  </si>
  <si>
    <t>URY</t>
  </si>
  <si>
    <t>Uruguay</t>
  </si>
  <si>
    <t>upper limit</t>
  </si>
  <si>
    <t>UL</t>
  </si>
  <si>
    <t>BBI</t>
  </si>
  <si>
    <t>lower limit</t>
  </si>
  <si>
    <t>BBF</t>
  </si>
  <si>
    <t>ClassLimit</t>
  </si>
  <si>
    <t>Baitboat</t>
  </si>
  <si>
    <t>YFT</t>
  </si>
  <si>
    <t>YFT-E</t>
  </si>
  <si>
    <t>CCS</t>
  </si>
  <si>
    <t>TP</t>
  </si>
  <si>
    <t>TRAP-S</t>
  </si>
  <si>
    <t>TRAPM</t>
  </si>
  <si>
    <t>USA</t>
  </si>
  <si>
    <t>Comercial, Recreational</t>
  </si>
  <si>
    <t>Trap</t>
  </si>
  <si>
    <t>TRAP</t>
  </si>
  <si>
    <t>TUR</t>
  </si>
  <si>
    <t>Other (specify it in notes)</t>
  </si>
  <si>
    <t>OT</t>
  </si>
  <si>
    <t>PS</t>
  </si>
  <si>
    <t>PSLB</t>
  </si>
  <si>
    <t>Tiburón jaquetón</t>
  </si>
  <si>
    <t>Requin soyeux</t>
  </si>
  <si>
    <t>Silky shark</t>
  </si>
  <si>
    <t>Carcharhinus falciformis</t>
  </si>
  <si>
    <t>FAL</t>
  </si>
  <si>
    <t>TUN</t>
  </si>
  <si>
    <t>Tunisie</t>
  </si>
  <si>
    <t>BM</t>
  </si>
  <si>
    <t>PSS</t>
  </si>
  <si>
    <t>SKJ-W</t>
  </si>
  <si>
    <t>TTO</t>
  </si>
  <si>
    <t>Trinidad and Tobago</t>
  </si>
  <si>
    <t>Trinidad, Tobago</t>
  </si>
  <si>
    <t>Dressed weight</t>
  </si>
  <si>
    <t>DR</t>
  </si>
  <si>
    <t>PSM</t>
  </si>
  <si>
    <t>Syria</t>
  </si>
  <si>
    <t>FL</t>
  </si>
  <si>
    <t>PSG</t>
  </si>
  <si>
    <t>Tiburón oceánico</t>
  </si>
  <si>
    <t>Requin océanique</t>
  </si>
  <si>
    <t>Oceanic whitetip shark</t>
  </si>
  <si>
    <t>Carcharhinus longimanus</t>
  </si>
  <si>
    <t>OCS</t>
  </si>
  <si>
    <t>VCT</t>
  </si>
  <si>
    <t>GG</t>
  </si>
  <si>
    <t>PSD</t>
  </si>
  <si>
    <t>ZAF</t>
  </si>
  <si>
    <t>South Africa</t>
  </si>
  <si>
    <t>Live (round) weight</t>
  </si>
  <si>
    <t>LW</t>
  </si>
  <si>
    <t>PSFS</t>
  </si>
  <si>
    <t>SLE</t>
  </si>
  <si>
    <t>Sierra Leone</t>
  </si>
  <si>
    <t>ProductType</t>
  </si>
  <si>
    <t>PSFB</t>
  </si>
  <si>
    <t>SEN</t>
  </si>
  <si>
    <t>Senegal</t>
  </si>
  <si>
    <t>Purse seine</t>
  </si>
  <si>
    <t>STP</t>
  </si>
  <si>
    <t>Artisanal, Industrial</t>
  </si>
  <si>
    <t>LLPB</t>
  </si>
  <si>
    <t>RUS</t>
  </si>
  <si>
    <t>Russian Federation</t>
  </si>
  <si>
    <t>LLMB</t>
  </si>
  <si>
    <t>PHL</t>
  </si>
  <si>
    <t>Philippines</t>
  </si>
  <si>
    <t>LLSWO</t>
  </si>
  <si>
    <t>PAN</t>
  </si>
  <si>
    <t>Panama</t>
  </si>
  <si>
    <t>WGT</t>
  </si>
  <si>
    <t>LLBFT</t>
  </si>
  <si>
    <t>SKJ</t>
  </si>
  <si>
    <t>SKJ-E</t>
  </si>
  <si>
    <t>NOR</t>
  </si>
  <si>
    <t>Norway</t>
  </si>
  <si>
    <t>CFL</t>
  </si>
  <si>
    <t>LLALB</t>
  </si>
  <si>
    <t>NGA</t>
  </si>
  <si>
    <t>Nigeria</t>
  </si>
  <si>
    <t>Total length</t>
  </si>
  <si>
    <t>TLE</t>
  </si>
  <si>
    <t>LL-surf</t>
  </si>
  <si>
    <t>NIC</t>
  </si>
  <si>
    <t>Nicaragua</t>
  </si>
  <si>
    <t>EYF</t>
  </si>
  <si>
    <t>LL-Shrk</t>
  </si>
  <si>
    <t>NAM</t>
  </si>
  <si>
    <t>Namibia</t>
  </si>
  <si>
    <t>LLJAP</t>
  </si>
  <si>
    <t>Jaquetones,marrajos nep</t>
  </si>
  <si>
    <t>Requins taupe nca</t>
  </si>
  <si>
    <t>Mackerel sharks,porbeagles nei</t>
  </si>
  <si>
    <t>Lamnidae</t>
  </si>
  <si>
    <t>MSK</t>
  </si>
  <si>
    <t>MEX</t>
  </si>
  <si>
    <t>Mexico</t>
  </si>
  <si>
    <t>Jaquetón blanco</t>
  </si>
  <si>
    <t>Grand requin blanc</t>
  </si>
  <si>
    <t>Great white shark</t>
  </si>
  <si>
    <t>Carcharodon carcharias</t>
  </si>
  <si>
    <t>WSH</t>
  </si>
  <si>
    <t>MRT</t>
  </si>
  <si>
    <t>Mauritania</t>
  </si>
  <si>
    <t>LD1</t>
  </si>
  <si>
    <t>MAR</t>
  </si>
  <si>
    <t>Maroc</t>
  </si>
  <si>
    <t>Tanger, Nador, ETRO</t>
  </si>
  <si>
    <t>Marrajo carite</t>
  </si>
  <si>
    <t>Petite taupe</t>
  </si>
  <si>
    <t>Longfin mako</t>
  </si>
  <si>
    <t>Isurus paucus</t>
  </si>
  <si>
    <t>LMA</t>
  </si>
  <si>
    <t>LBY</t>
  </si>
  <si>
    <t>Libya</t>
  </si>
  <si>
    <t>LL-B</t>
  </si>
  <si>
    <t>Zorros nep</t>
  </si>
  <si>
    <t>Renards de mer nca</t>
  </si>
  <si>
    <t>Thresher sharks nei</t>
  </si>
  <si>
    <t>Alopias spp</t>
  </si>
  <si>
    <t>THR</t>
  </si>
  <si>
    <t>KOR</t>
  </si>
  <si>
    <t>Longline</t>
  </si>
  <si>
    <t>Zorro ojón</t>
  </si>
  <si>
    <t>Renard à gros yeux</t>
  </si>
  <si>
    <t>Bigeye thresher</t>
  </si>
  <si>
    <t>Alopias superciliosus</t>
  </si>
  <si>
    <t>BTH</t>
  </si>
  <si>
    <t>JPN</t>
  </si>
  <si>
    <t>Japan</t>
  </si>
  <si>
    <t>GearName</t>
  </si>
  <si>
    <t>GearGroup</t>
  </si>
  <si>
    <t>Zorro</t>
  </si>
  <si>
    <t>Renard</t>
  </si>
  <si>
    <t>Thresher</t>
  </si>
  <si>
    <t>Alopias vulpinus</t>
  </si>
  <si>
    <t>ALV</t>
  </si>
  <si>
    <t>ISL</t>
  </si>
  <si>
    <t>Iceland</t>
  </si>
  <si>
    <t>HND</t>
  </si>
  <si>
    <t>Honduras</t>
  </si>
  <si>
    <t>Peregrino</t>
  </si>
  <si>
    <t>Pèlerin</t>
  </si>
  <si>
    <t>Basking shark</t>
  </si>
  <si>
    <t>Cetorhinus maximus</t>
  </si>
  <si>
    <t>BSK</t>
  </si>
  <si>
    <t>GIN</t>
  </si>
  <si>
    <t>Not Applicable</t>
  </si>
  <si>
    <t>n/a</t>
  </si>
  <si>
    <t>GNQ</t>
  </si>
  <si>
    <t>Guinea Ecuatorial</t>
  </si>
  <si>
    <t>Free School</t>
  </si>
  <si>
    <t>FSC</t>
  </si>
  <si>
    <t>ICCAT</t>
  </si>
  <si>
    <t>Tiburón azul</t>
  </si>
  <si>
    <t>Peau bleue</t>
  </si>
  <si>
    <t>Blue shark</t>
  </si>
  <si>
    <t>Prionace glauca</t>
  </si>
  <si>
    <t>BSH</t>
  </si>
  <si>
    <t>GTM</t>
  </si>
  <si>
    <t>Guatemala</t>
  </si>
  <si>
    <t>Fish Aggregating Devices</t>
  </si>
  <si>
    <t>FAD</t>
  </si>
  <si>
    <t>Square: 5° latitude by 5° longitude</t>
  </si>
  <si>
    <t>5x5</t>
  </si>
  <si>
    <t>Marrajo sardinero</t>
  </si>
  <si>
    <t>Requin-taupe commun</t>
  </si>
  <si>
    <t>Porbeagle</t>
  </si>
  <si>
    <t>Lamna nasus</t>
  </si>
  <si>
    <t>POR</t>
  </si>
  <si>
    <t>GHA</t>
  </si>
  <si>
    <t>Ghana</t>
  </si>
  <si>
    <t>Unknown</t>
  </si>
  <si>
    <t>UNK</t>
  </si>
  <si>
    <t>Square: 1° latitude by 1° longitude</t>
  </si>
  <si>
    <t>1x1</t>
  </si>
  <si>
    <t>Marrajo dientuso</t>
  </si>
  <si>
    <t>Taupe bleue</t>
  </si>
  <si>
    <t>Shortfin mako</t>
  </si>
  <si>
    <t>Isurus oxyrinchus</t>
  </si>
  <si>
    <t>SMA</t>
  </si>
  <si>
    <t>GAB</t>
  </si>
  <si>
    <t>Gabon</t>
  </si>
  <si>
    <t>SchoolType</t>
  </si>
  <si>
    <t>Lampuga</t>
  </si>
  <si>
    <t>Coryphène commune</t>
  </si>
  <si>
    <t>Common dolphinfish</t>
  </si>
  <si>
    <t>Coryphaena hippurus</t>
  </si>
  <si>
    <t>DOL</t>
  </si>
  <si>
    <t>10x10</t>
  </si>
  <si>
    <t>Serra</t>
  </si>
  <si>
    <t>Thazard serra</t>
  </si>
  <si>
    <t>Serra Spanish mackerel</t>
  </si>
  <si>
    <t>Scomberomorus brasiliensis</t>
  </si>
  <si>
    <t>BRS</t>
  </si>
  <si>
    <t>Melva(=Melvera)</t>
  </si>
  <si>
    <t>Bonitou</t>
  </si>
  <si>
    <t>Bullet tuna</t>
  </si>
  <si>
    <t>Auxis rochei</t>
  </si>
  <si>
    <t>BLT</t>
  </si>
  <si>
    <t>Rectangle: 5° latitude by 10° longitude</t>
  </si>
  <si>
    <t>5x10</t>
  </si>
  <si>
    <t>Carite chinigua</t>
  </si>
  <si>
    <t>Thazard franc</t>
  </si>
  <si>
    <t>Cero</t>
  </si>
  <si>
    <t>Scomberomorus regalis</t>
  </si>
  <si>
    <t>CER</t>
  </si>
  <si>
    <t>Carite lusitánico</t>
  </si>
  <si>
    <t>Thazard blanc</t>
  </si>
  <si>
    <t>West African Spanish mackerel</t>
  </si>
  <si>
    <t>Scomberomorus tritor</t>
  </si>
  <si>
    <t>MAW</t>
  </si>
  <si>
    <t>Cannery</t>
  </si>
  <si>
    <t>CAN</t>
  </si>
  <si>
    <t>SquareTypeID</t>
  </si>
  <si>
    <t>Atún lanzón</t>
  </si>
  <si>
    <t>Thon élégant</t>
  </si>
  <si>
    <t>Slender tuna</t>
  </si>
  <si>
    <t>Allothunnus fallai</t>
  </si>
  <si>
    <t>SLT</t>
  </si>
  <si>
    <t>Freighter</t>
  </si>
  <si>
    <t>FRT</t>
  </si>
  <si>
    <t>BET</t>
  </si>
  <si>
    <t>BET-A</t>
  </si>
  <si>
    <t>Cold storage</t>
  </si>
  <si>
    <t>CST</t>
  </si>
  <si>
    <t>Carite lucio</t>
  </si>
  <si>
    <t>Thazard barré</t>
  </si>
  <si>
    <t>King mackerel</t>
  </si>
  <si>
    <t>Scomberomorus cavalla</t>
  </si>
  <si>
    <t>KGM</t>
  </si>
  <si>
    <t>While unloading</t>
  </si>
  <si>
    <t>WUL</t>
  </si>
  <si>
    <t>Carite atlántico</t>
  </si>
  <si>
    <t>Thazard atlantique</t>
  </si>
  <si>
    <t>Atlantic Spanish mackerel</t>
  </si>
  <si>
    <t>Scomberomorus maculatus</t>
  </si>
  <si>
    <t>SSM</t>
  </si>
  <si>
    <t>At sea</t>
  </si>
  <si>
    <t>ATS</t>
  </si>
  <si>
    <t>Peto</t>
  </si>
  <si>
    <t>Thazard-bâtard</t>
  </si>
  <si>
    <t>Wahoo</t>
  </si>
  <si>
    <t>Acanthocybium solandri</t>
  </si>
  <si>
    <t>WAH</t>
  </si>
  <si>
    <t>SamplingLocation</t>
  </si>
  <si>
    <t>BF63</t>
  </si>
  <si>
    <t>Tasarte</t>
  </si>
  <si>
    <t>Palomette</t>
  </si>
  <si>
    <t>Plain bonito</t>
  </si>
  <si>
    <t>Orcynopsis unicolor</t>
  </si>
  <si>
    <t>BOP</t>
  </si>
  <si>
    <t>Adriatic sea, Ionian sea, Ligurian sea, Sardenha, Strait of Sicily, Tyrrenean sea</t>
  </si>
  <si>
    <t>BF61</t>
  </si>
  <si>
    <t>Melva</t>
  </si>
  <si>
    <t>Auxide</t>
  </si>
  <si>
    <t>Frigate tuna</t>
  </si>
  <si>
    <t>Auxis thazard</t>
  </si>
  <si>
    <t>FRI</t>
  </si>
  <si>
    <t>BF60</t>
  </si>
  <si>
    <t>Bonito del Atlántico</t>
  </si>
  <si>
    <t>Bonite à dos rayé</t>
  </si>
  <si>
    <t>Atlantic bonito</t>
  </si>
  <si>
    <t>Sarda sarda</t>
  </si>
  <si>
    <t>BON</t>
  </si>
  <si>
    <t>Bacoreta</t>
  </si>
  <si>
    <t>Thonine commune</t>
  </si>
  <si>
    <t>Little tunny(=Atl.black skipj)</t>
  </si>
  <si>
    <t>Euthynnus alletteratus</t>
  </si>
  <si>
    <t>LTA</t>
  </si>
  <si>
    <t>BF55</t>
  </si>
  <si>
    <t>Atún aleta negra</t>
  </si>
  <si>
    <t>Thon à nageoires noires</t>
  </si>
  <si>
    <t>Blackfin tuna</t>
  </si>
  <si>
    <t>Thunnus atlanticus</t>
  </si>
  <si>
    <t>BLF</t>
  </si>
  <si>
    <t>Catches from Log-Books</t>
  </si>
  <si>
    <t>C.LB</t>
  </si>
  <si>
    <t>Landings from Shipping Agencies</t>
  </si>
  <si>
    <t>L.SA</t>
  </si>
  <si>
    <t>BFT-W</t>
  </si>
  <si>
    <t>BF51</t>
  </si>
  <si>
    <t>Marlín rayado</t>
  </si>
  <si>
    <t>Marlin rayé</t>
  </si>
  <si>
    <t>Striped marlin</t>
  </si>
  <si>
    <t>Tetrapturus audax</t>
  </si>
  <si>
    <t>MLS</t>
  </si>
  <si>
    <t>Landings from Fish Markets</t>
  </si>
  <si>
    <t>L.FM</t>
  </si>
  <si>
    <t>Marlín peto</t>
  </si>
  <si>
    <t>Makaire épée</t>
  </si>
  <si>
    <t>Roundscale spearfish</t>
  </si>
  <si>
    <t>Tetrapturus georgii</t>
  </si>
  <si>
    <t>RSP</t>
  </si>
  <si>
    <t>Landings from Port Sampling</t>
  </si>
  <si>
    <t>L.PS</t>
  </si>
  <si>
    <t>Marlín trompa corta</t>
  </si>
  <si>
    <t>Makaire à rostre court</t>
  </si>
  <si>
    <t>Shortbill spearfish</t>
  </si>
  <si>
    <t>Tetrapturus angustirostris</t>
  </si>
  <si>
    <t>SSP</t>
  </si>
  <si>
    <t xml:space="preserve">Landings from Custom Authorities </t>
  </si>
  <si>
    <t>L.CA</t>
  </si>
  <si>
    <t>BF65</t>
  </si>
  <si>
    <t>Marlín del Mediterráneo</t>
  </si>
  <si>
    <t>Marlin de la Méditerranée</t>
  </si>
  <si>
    <t>Mediterranean spearfish</t>
  </si>
  <si>
    <t>Tetrapturus belone</t>
  </si>
  <si>
    <t>MSP</t>
  </si>
  <si>
    <t>Landings from Landing Ports</t>
  </si>
  <si>
    <t>L.PO</t>
  </si>
  <si>
    <t>Atunes verdaderos nep</t>
  </si>
  <si>
    <t>Thons Thunnus nca</t>
  </si>
  <si>
    <t>True tunas nei</t>
  </si>
  <si>
    <t>Thunnus spp</t>
  </si>
  <si>
    <t>TUS</t>
  </si>
  <si>
    <t>DataSource</t>
  </si>
  <si>
    <t>BF62</t>
  </si>
  <si>
    <t>Carite oriental</t>
  </si>
  <si>
    <t>Thazard oriental</t>
  </si>
  <si>
    <t>Japanese Spanish mackerel</t>
  </si>
  <si>
    <t>Scomberomorus niphonius</t>
  </si>
  <si>
    <t>NPH</t>
  </si>
  <si>
    <t>BF59</t>
  </si>
  <si>
    <t>Agujas,marlines,peces vela nep</t>
  </si>
  <si>
    <t>Makaires,marlins,voiliers nca</t>
  </si>
  <si>
    <t>Marlins,sailfishes,etc. nei</t>
  </si>
  <si>
    <t>Istiophoridae</t>
  </si>
  <si>
    <t>BIL</t>
  </si>
  <si>
    <t>BF58</t>
  </si>
  <si>
    <t>Atún rojo del Sur</t>
  </si>
  <si>
    <t>Thon rouge du Sud</t>
  </si>
  <si>
    <t>Southern bluefin tuna</t>
  </si>
  <si>
    <t>Thunnus maccoyii</t>
  </si>
  <si>
    <t>SBF</t>
  </si>
  <si>
    <t>EGY</t>
  </si>
  <si>
    <t>Egypt</t>
  </si>
  <si>
    <t>BF57</t>
  </si>
  <si>
    <t>Aguja picuda</t>
  </si>
  <si>
    <t>Makaire bécune</t>
  </si>
  <si>
    <t>Longbill spearfish</t>
  </si>
  <si>
    <t>Tetrapturus pfluegeri</t>
  </si>
  <si>
    <t>CIV</t>
  </si>
  <si>
    <t>Abidjan, S. Pedro</t>
  </si>
  <si>
    <t>Pez espada</t>
  </si>
  <si>
    <t>Espadon</t>
  </si>
  <si>
    <t>Swordfish</t>
  </si>
  <si>
    <t>Xiphias gladius</t>
  </si>
  <si>
    <t>CHN</t>
  </si>
  <si>
    <t>China PR</t>
  </si>
  <si>
    <t>multiple trips</t>
  </si>
  <si>
    <t>TPM</t>
  </si>
  <si>
    <t>BF54</t>
  </si>
  <si>
    <t>Aguja blanca del Atlántico</t>
  </si>
  <si>
    <t>Makaire blanc de l'Atlantique</t>
  </si>
  <si>
    <t>Atlantic white marlin</t>
  </si>
  <si>
    <t>CPV</t>
  </si>
  <si>
    <t>Cape Verde</t>
  </si>
  <si>
    <t>single trip</t>
  </si>
  <si>
    <t>TPS</t>
  </si>
  <si>
    <t>BF53</t>
  </si>
  <si>
    <t>Aguja azul</t>
  </si>
  <si>
    <t>Makaire bleu</t>
  </si>
  <si>
    <t>Blue marlin</t>
  </si>
  <si>
    <t>Makaira nigricans</t>
  </si>
  <si>
    <t>Canada</t>
  </si>
  <si>
    <t>multiple hauls</t>
  </si>
  <si>
    <t>HLM</t>
  </si>
  <si>
    <t>BFT</t>
  </si>
  <si>
    <t>BFT-E</t>
  </si>
  <si>
    <t>Pez vela del Atlántico</t>
  </si>
  <si>
    <t>Voilier de l'Atlantique</t>
  </si>
  <si>
    <t>Atlantic sailfish</t>
  </si>
  <si>
    <t>Istiophorus albicans</t>
  </si>
  <si>
    <t>BRA</t>
  </si>
  <si>
    <t>Brazil</t>
  </si>
  <si>
    <t>single haul</t>
  </si>
  <si>
    <t>HLS</t>
  </si>
  <si>
    <t>Northwest</t>
  </si>
  <si>
    <t>NW</t>
  </si>
  <si>
    <t>ALB-M</t>
  </si>
  <si>
    <t>AL35</t>
  </si>
  <si>
    <t>Listado</t>
  </si>
  <si>
    <t>Listao</t>
  </si>
  <si>
    <t>Skipjack tuna</t>
  </si>
  <si>
    <t>Katsuwonus pelamis</t>
  </si>
  <si>
    <t>BLZ</t>
  </si>
  <si>
    <t>Belize</t>
  </si>
  <si>
    <t>multiple sets</t>
  </si>
  <si>
    <t>STM</t>
  </si>
  <si>
    <t>Southwest</t>
  </si>
  <si>
    <t>SW</t>
  </si>
  <si>
    <t>AL34</t>
  </si>
  <si>
    <t>Patudo</t>
  </si>
  <si>
    <t>Thon obèse(=Patudo)</t>
  </si>
  <si>
    <t>Bigeye tuna</t>
  </si>
  <si>
    <t>Thunnus obesus</t>
  </si>
  <si>
    <t>BRB</t>
  </si>
  <si>
    <t>Barbados</t>
  </si>
  <si>
    <t>single set</t>
  </si>
  <si>
    <t>STS</t>
  </si>
  <si>
    <t>Southeast</t>
  </si>
  <si>
    <t>SE</t>
  </si>
  <si>
    <t>ALB-S</t>
  </si>
  <si>
    <t>AL33</t>
  </si>
  <si>
    <t>Atún blanco</t>
  </si>
  <si>
    <t>Germon</t>
  </si>
  <si>
    <t>Albacore</t>
  </si>
  <si>
    <t>Thunnus alalunga</t>
  </si>
  <si>
    <t>ALB</t>
  </si>
  <si>
    <t>AGO</t>
  </si>
  <si>
    <t>Angola</t>
  </si>
  <si>
    <t>CCM</t>
  </si>
  <si>
    <t>Northeast</t>
  </si>
  <si>
    <t>NE</t>
  </si>
  <si>
    <t>AL32</t>
  </si>
  <si>
    <t>Rabil</t>
  </si>
  <si>
    <t>Yellowfin tuna</t>
  </si>
  <si>
    <t>Thunnus albacares</t>
  </si>
  <si>
    <t>DZA</t>
  </si>
  <si>
    <t>Algerie</t>
  </si>
  <si>
    <t>ALB-N</t>
  </si>
  <si>
    <t>AL31</t>
  </si>
  <si>
    <t>Atún rojo del Atlántico</t>
  </si>
  <si>
    <t>Thon rouge de l'Atlantique</t>
  </si>
  <si>
    <t>Atlantic bluefin tuna</t>
  </si>
  <si>
    <t>Thunnus thynnus</t>
  </si>
  <si>
    <t>Albania</t>
  </si>
  <si>
    <t>SampleUnit</t>
  </si>
  <si>
    <t>QuadID</t>
  </si>
  <si>
    <t>Species</t>
  </si>
  <si>
    <t>ATorMD</t>
  </si>
  <si>
    <t>Version</t>
  </si>
  <si>
    <t>FieldID</t>
  </si>
  <si>
    <t>Item</t>
  </si>
  <si>
    <t>Translation for Forms</t>
  </si>
  <si>
    <t>subtitle</t>
  </si>
  <si>
    <t>item</t>
  </si>
  <si>
    <t>Specific (by field)</t>
  </si>
  <si>
    <t>Spécifique (par champ)</t>
  </si>
  <si>
    <t>Específico (por campo)</t>
  </si>
  <si>
    <t>Part</t>
  </si>
  <si>
    <t>Partie</t>
  </si>
  <si>
    <t>Parte</t>
  </si>
  <si>
    <t xml:space="preserve">Section </t>
  </si>
  <si>
    <t>Sección</t>
  </si>
  <si>
    <t>Sub-section</t>
  </si>
  <si>
    <t>Sous-section</t>
  </si>
  <si>
    <t>Sub-secciones</t>
  </si>
  <si>
    <t>Tête</t>
  </si>
  <si>
    <t>Cabecera</t>
  </si>
  <si>
    <t>Detalle</t>
  </si>
  <si>
    <t>a)</t>
  </si>
  <si>
    <t>b)</t>
  </si>
  <si>
    <t>c)</t>
  </si>
  <si>
    <t>d)</t>
  </si>
  <si>
    <t>e)</t>
  </si>
  <si>
    <t>Corresponsal estadístico</t>
  </si>
  <si>
    <t>Réservé au Secrétariat</t>
  </si>
  <si>
    <t>Other attributes</t>
  </si>
  <si>
    <t>Otros atributos</t>
  </si>
  <si>
    <t>field</t>
  </si>
  <si>
    <t>Date reported</t>
  </si>
  <si>
    <t>Fecha de notificación</t>
  </si>
  <si>
    <t>Reference Nº</t>
  </si>
  <si>
    <t>Nº Reference</t>
  </si>
  <si>
    <t>Nº Referencia</t>
  </si>
  <si>
    <t>File name (proposed)</t>
  </si>
  <si>
    <t>Nom du fichier (proposé)</t>
  </si>
  <si>
    <t>Nombre de archivo (propuesto)</t>
  </si>
  <si>
    <t>FRA</t>
  </si>
  <si>
    <t>Total catch (kg)</t>
  </si>
  <si>
    <t>Captura total (kg)</t>
  </si>
  <si>
    <t>NO</t>
  </si>
  <si>
    <t>ESP</t>
  </si>
  <si>
    <t>U</t>
  </si>
  <si>
    <t>M</t>
  </si>
  <si>
    <t>F</t>
  </si>
  <si>
    <t>I</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</si>
  <si>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</si>
  <si>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</si>
  <si>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</si>
  <si>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</si>
  <si>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</si>
  <si>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</si>
  <si>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</si>
  <si>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</si>
  <si>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</si>
  <si>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</si>
  <si>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</si>
  <si>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</si>
  <si>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</si>
  <si>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</si>
  <si>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</si>
  <si>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</si>
  <si>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</si>
  <si>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</si>
  <si>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</si>
  <si>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</si>
  <si>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</si>
  <si>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</si>
  <si>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</si>
  <si>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</si>
  <si>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</si>
  <si>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</si>
  <si>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</si>
  <si>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</si>
  <si>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</si>
  <si>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</si>
  <si>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</si>
  <si>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</si>
  <si>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</si>
  <si>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</si>
  <si>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</si>
  <si>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</si>
  <si>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</si>
  <si>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</si>
  <si>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</si>
  <si>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</si>
  <si>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</si>
  <si>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</si>
  <si>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</si>
  <si>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</si>
  <si>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</si>
  <si>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</si>
  <si>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</si>
  <si>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</si>
  <si>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</si>
  <si>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</si>
  <si>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</si>
  <si>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</si>
  <si>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</si>
  <si>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</si>
  <si>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</si>
  <si>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</si>
  <si>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</si>
  <si>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</si>
  <si>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</si>
  <si>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</si>
  <si>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</si>
  <si>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</si>
  <si>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</si>
  <si>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</si>
  <si>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</si>
  <si>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</si>
  <si>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</si>
  <si>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</si>
  <si>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</si>
  <si>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</si>
  <si>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</si>
  <si>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</si>
  <si>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</si>
  <si>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</si>
  <si>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</si>
  <si>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</si>
  <si>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</si>
  <si>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</si>
  <si>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</si>
  <si>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</si>
  <si>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</si>
  <si>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</si>
  <si>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</si>
  <si>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</si>
  <si>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</si>
  <si>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</si>
  <si>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</si>
  <si>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</si>
  <si>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</si>
  <si>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</si>
  <si>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</si>
  <si>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</si>
  <si>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</si>
  <si>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</si>
  <si>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</si>
  <si>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</si>
  <si>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</si>
  <si>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</si>
  <si>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</si>
  <si>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</si>
  <si>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</si>
  <si>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</si>
  <si>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</si>
  <si>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</si>
  <si>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</si>
  <si>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</si>
  <si>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</si>
  <si>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</si>
  <si>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</si>
  <si>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</si>
  <si>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</si>
  <si>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</si>
  <si>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</si>
  <si>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</si>
  <si>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</si>
  <si>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</si>
  <si>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</si>
  <si>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</si>
  <si>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</si>
  <si>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</si>
  <si>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</si>
  <si>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</si>
  <si>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</si>
  <si>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</si>
  <si>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</si>
  <si>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</si>
  <si>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</si>
  <si>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</si>
  <si>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</si>
  <si>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</si>
  <si>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</si>
  <si>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</si>
  <si>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</si>
  <si>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</si>
  <si>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</si>
  <si>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</si>
  <si>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</si>
  <si>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</si>
  <si>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</si>
  <si>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</si>
  <si>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</si>
  <si>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</si>
  <si>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</si>
  <si>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</si>
  <si>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</si>
  <si>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</si>
  <si>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</si>
  <si>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</si>
  <si>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TaxonType</t>
  </si>
  <si>
    <t>1-Tuna (major sp.)</t>
  </si>
  <si>
    <t>1-Species</t>
  </si>
  <si>
    <t>4-Family</t>
  </si>
  <si>
    <t>2-Genus</t>
  </si>
  <si>
    <t>Classe de taille</t>
  </si>
  <si>
    <t>szClass</t>
  </si>
  <si>
    <t>Table. Sampling Areas (ICCAT Task-II)</t>
  </si>
  <si>
    <t>Number &amp; Gender</t>
  </si>
  <si>
    <t>Nombre &amp; Sexe</t>
  </si>
  <si>
    <t>Número &amp; Sexo</t>
  </si>
  <si>
    <t>Filter 1</t>
  </si>
  <si>
    <t>Filter 2</t>
  </si>
  <si>
    <t>Preliminary</t>
  </si>
  <si>
    <t>Revision (PARTIAL)</t>
  </si>
  <si>
    <t>single commercial cat.</t>
  </si>
  <si>
    <t>multiple commercial cat.</t>
  </si>
  <si>
    <t>FieldType</t>
  </si>
  <si>
    <t>FldNameEN</t>
  </si>
  <si>
    <t>FldNameFR</t>
  </si>
  <si>
    <t>FldNameES</t>
  </si>
  <si>
    <t>FldInstructEN</t>
  </si>
  <si>
    <t>FldInstructFR</t>
  </si>
  <si>
    <t>FldInstructES</t>
  </si>
  <si>
    <t>T00</t>
  </si>
  <si>
    <t>T01</t>
  </si>
  <si>
    <t>(fixed)</t>
  </si>
  <si>
    <t>Versión</t>
  </si>
  <si>
    <t>ICCAT code</t>
  </si>
  <si>
    <t>CICTA</t>
  </si>
  <si>
    <t>CICAA</t>
  </si>
  <si>
    <t>H10</t>
  </si>
  <si>
    <t>H20</t>
  </si>
  <si>
    <t>H30</t>
  </si>
  <si>
    <t>H40</t>
  </si>
  <si>
    <t>H11</t>
  </si>
  <si>
    <t>hName</t>
  </si>
  <si>
    <t>hEmail</t>
  </si>
  <si>
    <t>hPhone</t>
  </si>
  <si>
    <t>H12</t>
  </si>
  <si>
    <t>H21</t>
  </si>
  <si>
    <t>hInstit</t>
  </si>
  <si>
    <t>hDepart</t>
  </si>
  <si>
    <t>hAddress</t>
  </si>
  <si>
    <t>hCountry</t>
  </si>
  <si>
    <t>hFlagrep</t>
  </si>
  <si>
    <t>hVersion</t>
  </si>
  <si>
    <t>hSampunit</t>
  </si>
  <si>
    <t>hCatchtype</t>
  </si>
  <si>
    <t>hSzinterval</t>
  </si>
  <si>
    <t>hSzclasslim</t>
  </si>
  <si>
    <t>hDaterep</t>
  </si>
  <si>
    <t>hRef</t>
  </si>
  <si>
    <t>hFname</t>
  </si>
  <si>
    <t>hNotes</t>
  </si>
  <si>
    <t>hContent</t>
  </si>
  <si>
    <t>Content (data)</t>
  </si>
  <si>
    <t>Contenu (données)</t>
  </si>
  <si>
    <t>Contenido (datos)</t>
  </si>
  <si>
    <t>D00</t>
  </si>
  <si>
    <t>section</t>
  </si>
  <si>
    <t>D10</t>
  </si>
  <si>
    <t>D20</t>
  </si>
  <si>
    <t>D11</t>
  </si>
  <si>
    <t>D12</t>
  </si>
  <si>
    <t>D13</t>
  </si>
  <si>
    <t>D21</t>
  </si>
  <si>
    <t>D12a</t>
  </si>
  <si>
    <t>D13a</t>
  </si>
  <si>
    <t>General01</t>
  </si>
  <si>
    <t>General02</t>
  </si>
  <si>
    <t>General03</t>
  </si>
  <si>
    <t>General04</t>
  </si>
  <si>
    <t>General05</t>
  </si>
  <si>
    <t>H00</t>
  </si>
  <si>
    <t>subsection</t>
  </si>
  <si>
    <t>VersionDescrip</t>
  </si>
  <si>
    <t>Final</t>
  </si>
  <si>
    <t>Final estimations (no changes expected)</t>
  </si>
  <si>
    <t>Preliminary estimates (expected changes)</t>
  </si>
  <si>
    <t>Content</t>
  </si>
  <si>
    <t>Revision (FULL)</t>
  </si>
  <si>
    <t>T02</t>
  </si>
  <si>
    <t>Secretariat use only</t>
  </si>
  <si>
    <t>Reservado a la Secretaría</t>
  </si>
  <si>
    <t>Filtering criteria</t>
  </si>
  <si>
    <t>Critères de filtrage</t>
  </si>
  <si>
    <t>Criterios de filtrado</t>
  </si>
  <si>
    <t>H31</t>
  </si>
  <si>
    <t>Sampling attributes</t>
  </si>
  <si>
    <t>H32</t>
  </si>
  <si>
    <t>H33</t>
  </si>
  <si>
    <t>Reporting Flag</t>
  </si>
  <si>
    <t>integer</t>
  </si>
  <si>
    <t>hSpeciesCd</t>
  </si>
  <si>
    <t>Species (cod)</t>
  </si>
  <si>
    <t>Espèce (cod)</t>
  </si>
  <si>
    <t>Especie (cód)</t>
  </si>
  <si>
    <t>hLocationCd</t>
  </si>
  <si>
    <t>Location (cod)</t>
  </si>
  <si>
    <t>Lieu (cod)</t>
  </si>
  <si>
    <t>Lugar (cód)</t>
  </si>
  <si>
    <t>Samp unit (cod)</t>
  </si>
  <si>
    <t>Unité échantillon (cod)</t>
  </si>
  <si>
    <t>Unidad muestra (cód)</t>
  </si>
  <si>
    <t>hRaisedSuYN</t>
  </si>
  <si>
    <t>boolean</t>
  </si>
  <si>
    <t>Raised (SU) ?</t>
  </si>
  <si>
    <t>Extrapolé (SU) ?</t>
  </si>
  <si>
    <t>¿Extrapolada (SU) ?</t>
  </si>
  <si>
    <t>date</t>
  </si>
  <si>
    <t>Reservado a la Sacretaría</t>
  </si>
  <si>
    <t>Send the form to ICCAT with the proposed file name (if required, suffix it with an ID at the end)</t>
  </si>
  <si>
    <t>hFilter1</t>
  </si>
  <si>
    <t>Filtre 1</t>
  </si>
  <si>
    <t>Filtro 1</t>
  </si>
  <si>
    <t>hFilter2</t>
  </si>
  <si>
    <t>Filtre 2</t>
  </si>
  <si>
    <t>Filtro 2</t>
  </si>
  <si>
    <t>Sample attributes</t>
  </si>
  <si>
    <t>Attributs de l'échantillon</t>
  </si>
  <si>
    <t>Atributos de la muestra</t>
  </si>
  <si>
    <t>Fleet ID</t>
  </si>
  <si>
    <t>Flotte ID</t>
  </si>
  <si>
    <t>FlagVesCd</t>
  </si>
  <si>
    <t>Flag of Vessel (cod)</t>
  </si>
  <si>
    <t>Pavillon du navire (cod)</t>
  </si>
  <si>
    <t>Pabellón del buque (cód)</t>
  </si>
  <si>
    <t>GearCd</t>
  </si>
  <si>
    <t>Gear (cod)</t>
  </si>
  <si>
    <t>Engin (cod)</t>
  </si>
  <si>
    <t>Arte (cód)</t>
  </si>
  <si>
    <t>CatchTypeCd</t>
  </si>
  <si>
    <t>Catch type (cod)</t>
  </si>
  <si>
    <t>SchoolTypCd</t>
  </si>
  <si>
    <t>School t. (cod)</t>
  </si>
  <si>
    <t>T. Banc (cod)</t>
  </si>
  <si>
    <t>T. Cardumen (cód)</t>
  </si>
  <si>
    <t>SaAreaCd</t>
  </si>
  <si>
    <t>Sampling area (cod)</t>
  </si>
  <si>
    <t>Zone échantillonnage (cod)</t>
  </si>
  <si>
    <t>GeoGridCd</t>
  </si>
  <si>
    <t>Square t. (cod)</t>
  </si>
  <si>
    <t>T. Carré (cod)</t>
  </si>
  <si>
    <t>QuadCd</t>
  </si>
  <si>
    <t>Quad (cod)</t>
  </si>
  <si>
    <t>Carré (cod)</t>
  </si>
  <si>
    <t>Cuad (cód)</t>
  </si>
  <si>
    <t>DSourceCd</t>
  </si>
  <si>
    <t>Data source (cod)</t>
  </si>
  <si>
    <t>Sources données (cod)</t>
  </si>
  <si>
    <t>Fuente de datos (cód)</t>
  </si>
  <si>
    <t>float</t>
  </si>
  <si>
    <t>Sample unit ID (SU)</t>
  </si>
  <si>
    <t>Unité échantillon ID (SU)</t>
  </si>
  <si>
    <t>NoUs</t>
  </si>
  <si>
    <t xml:space="preserve">U </t>
  </si>
  <si>
    <t>Add to each class the Number of fish sampled (sex unknow)</t>
  </si>
  <si>
    <t>NoMs</t>
  </si>
  <si>
    <t>Add to each class the Number of fish sampled (males)</t>
  </si>
  <si>
    <t>Ajouter à chaque classe le nombre de poissons échantillonnés (mâles)</t>
  </si>
  <si>
    <t>Añadir en cada clase el número de peces muestreados (machos)</t>
  </si>
  <si>
    <t>NoFs</t>
  </si>
  <si>
    <t>Add to each class the Number of fish sampled (females)</t>
  </si>
  <si>
    <t>Ajouter à chaque classe le nombre de poissons échantillonnés (femelles)</t>
  </si>
  <si>
    <t>Añadir en cada clase el número de peces muestreados (hembras)</t>
  </si>
  <si>
    <t>NoIs</t>
  </si>
  <si>
    <t>Add to each class the Number of fish sampled (immatures)</t>
  </si>
  <si>
    <t>Ajouter à chaque classe le nombre de poissons échantillonnés (immatures)</t>
  </si>
  <si>
    <t>G00</t>
  </si>
  <si>
    <t>Instructions</t>
  </si>
  <si>
    <t>Instrucciones</t>
  </si>
  <si>
    <t>Instructions to complete the form</t>
  </si>
  <si>
    <t>Instructions pour remplir le formulaire</t>
  </si>
  <si>
    <t>G01</t>
  </si>
  <si>
    <t>G01a</t>
  </si>
  <si>
    <t>G01b</t>
  </si>
  <si>
    <t>G01c</t>
  </si>
  <si>
    <t>G01d</t>
  </si>
  <si>
    <t>G01e</t>
  </si>
  <si>
    <t>S00</t>
  </si>
  <si>
    <t>SC01</t>
  </si>
  <si>
    <t>Form</t>
  </si>
  <si>
    <t>Formulaire</t>
  </si>
  <si>
    <t>Formulario</t>
  </si>
  <si>
    <t>SC02</t>
  </si>
  <si>
    <t>SC03</t>
  </si>
  <si>
    <t>SC04</t>
  </si>
  <si>
    <t>SC05</t>
  </si>
  <si>
    <t>SC06</t>
  </si>
  <si>
    <t>SC07</t>
  </si>
  <si>
    <t>Title</t>
  </si>
  <si>
    <t>Titre</t>
  </si>
  <si>
    <t>Título</t>
  </si>
  <si>
    <t>Form Title</t>
  </si>
  <si>
    <t>Titre du formulaire</t>
  </si>
  <si>
    <t>Título del formulario</t>
  </si>
  <si>
    <t>Autres attributs</t>
  </si>
  <si>
    <t>Pabellón declarante</t>
  </si>
  <si>
    <t>Date de déclaration</t>
  </si>
  <si>
    <t>Enviar el formulario a ICCAT con el nombre del archivo propuesto (si necesario, añadir como sufijo un ID al final)</t>
  </si>
  <si>
    <t>Total poissons échantillonnés</t>
  </si>
  <si>
    <t>Indicar si las muestras asociadas proceden de capturas desembarcadas o descartadas, y si son descartadas si corresponden a descartes vivos o muertos</t>
  </si>
  <si>
    <t>Poids (kg)</t>
  </si>
  <si>
    <t>Ajouter à chaque classe le nombre de poissons échantillonnés (sexe inconnu)</t>
  </si>
  <si>
    <t>Añadir en cada clase el número de peces muestreados (inmaduros)</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</si>
  <si>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</si>
  <si>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</si>
  <si>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FishSaW</t>
  </si>
  <si>
    <t>FishSaN</t>
  </si>
  <si>
    <t>Filter</t>
  </si>
  <si>
    <t>Type</t>
  </si>
  <si>
    <t>Valid set</t>
  </si>
  <si>
    <t>Data must come in one of the valid SCRS electronic forms/Exchange formats</t>
  </si>
  <si>
    <t>global</t>
  </si>
  <si>
    <t>Header section must be complete</t>
  </si>
  <si>
    <t>Detail section must be filled-in using ICCAT codes</t>
  </si>
  <si>
    <t>form specific</t>
  </si>
  <si>
    <t>{mm}</t>
  </si>
  <si>
    <t>Proper geographic resolution by gear type (LL/surf)</t>
  </si>
  <si>
    <t>see "codes" sheet</t>
  </si>
  <si>
    <t>[ClassFreq % Interval = 0]</t>
  </si>
  <si>
    <t>Size classes within valid ranges [species Working Groups input] and class intervals smaller as possible</t>
  </si>
  <si>
    <t>Waiting SCRS</t>
  </si>
  <si>
    <r>
      <t xml:space="preserve">Table. </t>
    </r>
    <r>
      <rPr>
        <sz val="9"/>
        <rFont val="Calibri"/>
        <family val="2"/>
        <scheme val="minor"/>
      </rPr>
      <t>Sampling units</t>
    </r>
  </si>
  <si>
    <r>
      <t xml:space="preserve">Table. </t>
    </r>
    <r>
      <rPr>
        <sz val="9"/>
        <rFont val="Calibri"/>
        <family val="2"/>
        <scheme val="minor"/>
      </rPr>
      <t>Data sources</t>
    </r>
  </si>
  <si>
    <r>
      <t xml:space="preserve">Table. </t>
    </r>
    <r>
      <rPr>
        <sz val="9"/>
        <rFont val="Calibri"/>
        <family val="2"/>
        <scheme val="minor"/>
      </rPr>
      <t>Sampling locations</t>
    </r>
  </si>
  <si>
    <r>
      <t xml:space="preserve">Table. </t>
    </r>
    <r>
      <rPr>
        <sz val="9"/>
        <rFont val="Calibri"/>
        <family val="2"/>
        <scheme val="minor"/>
      </rPr>
      <t>School types</t>
    </r>
  </si>
  <si>
    <r>
      <t xml:space="preserve">Table. </t>
    </r>
    <r>
      <rPr>
        <sz val="9"/>
        <rFont val="Calibri"/>
        <family val="2"/>
        <scheme val="minor"/>
      </rPr>
      <t>Product types (form)</t>
    </r>
  </si>
  <si>
    <r>
      <t xml:space="preserve">Table. </t>
    </r>
    <r>
      <rPr>
        <sz val="9"/>
        <rFont val="Calibri"/>
        <family val="2"/>
        <scheme val="minor"/>
      </rPr>
      <t>Size class limits (boundaries)</t>
    </r>
  </si>
  <si>
    <r>
      <t xml:space="preserve">Table. </t>
    </r>
    <r>
      <rPr>
        <sz val="9"/>
        <rFont val="Calibri"/>
        <family val="2"/>
        <scheme val="minor"/>
      </rPr>
      <t xml:space="preserve">Catch data type </t>
    </r>
  </si>
  <si>
    <t>Table. Version types</t>
  </si>
  <si>
    <t>Table. Content types</t>
  </si>
  <si>
    <t>Table. Quadrants (identifiers &amp; codes)</t>
  </si>
  <si>
    <t>Table. Square types (identifiers &amp; codes)</t>
  </si>
  <si>
    <t>Table. Gears</t>
  </si>
  <si>
    <t>SCRS Filter criteria for acceptance/rejection of the data reported</t>
  </si>
  <si>
    <t>In force</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</si>
  <si>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</si>
  <si>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</si>
  <si>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</si>
  <si>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</si>
  <si>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</si>
  <si>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</si>
  <si>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</si>
  <si>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</si>
  <si>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</si>
  <si>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</si>
  <si>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</si>
  <si>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</si>
  <si>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</si>
  <si>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</si>
  <si>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</si>
  <si>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</si>
  <si>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</si>
  <si>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</si>
  <si>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</si>
  <si>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</si>
  <si>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</si>
  <si>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</si>
  <si>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</si>
  <si>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</si>
  <si>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</si>
  <si>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</si>
  <si>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</si>
  <si>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</si>
  <si>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</si>
  <si>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</si>
  <si>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</si>
  <si>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</si>
  <si>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</si>
  <si>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</si>
  <si>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</si>
  <si>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</si>
  <si>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</si>
  <si>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</si>
  <si>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</si>
  <si>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</si>
  <si>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</si>
  <si>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</si>
  <si>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</si>
  <si>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</si>
  <si>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</si>
  <si>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</si>
  <si>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</si>
  <si>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</si>
  <si>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</si>
  <si>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</si>
  <si>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</si>
  <si>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</si>
  <si>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</si>
  <si>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</si>
  <si>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</si>
  <si>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</si>
  <si>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</si>
  <si>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</si>
  <si>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</si>
  <si>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</si>
  <si>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</si>
  <si>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</si>
  <si>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</si>
  <si>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</si>
  <si>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</si>
  <si>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</si>
  <si>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</si>
  <si>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</si>
  <si>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</si>
  <si>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</si>
  <si>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</si>
  <si>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</si>
  <si>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</si>
  <si>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</si>
  <si>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</si>
  <si>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</si>
  <si>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</si>
  <si>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</si>
  <si>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</si>
  <si>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</si>
  <si>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</si>
  <si>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</si>
  <si>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</si>
  <si>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</si>
  <si>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</si>
  <si>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</si>
  <si>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</si>
  <si>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</si>
  <si>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</si>
  <si>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</si>
  <si>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</si>
  <si>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</si>
  <si>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</si>
  <si>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</si>
  <si>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</si>
  <si>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</si>
  <si>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</si>
  <si>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</si>
  <si>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</si>
  <si>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</si>
  <si>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</si>
  <si>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</si>
  <si>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</si>
  <si>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</si>
  <si>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</si>
  <si>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</si>
  <si>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</si>
  <si>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</si>
  <si>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</si>
  <si>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</si>
  <si>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</si>
  <si>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</si>
  <si>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</si>
  <si>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</si>
  <si>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</si>
  <si>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</si>
  <si>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</si>
  <si>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</si>
  <si>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</si>
  <si>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</si>
  <si>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</si>
  <si>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</si>
  <si>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</si>
  <si>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</si>
  <si>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</si>
  <si>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</si>
  <si>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</si>
  <si>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</si>
  <si>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</si>
  <si>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</si>
  <si>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</si>
  <si>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</si>
  <si>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</si>
  <si>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</si>
  <si>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</si>
  <si>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</si>
  <si>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</si>
  <si>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</si>
  <si>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</si>
  <si>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</si>
  <si>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</si>
  <si>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</si>
  <si>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</si>
  <si>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</si>
  <si>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</si>
  <si>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</si>
  <si>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</si>
  <si>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</si>
  <si>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</si>
  <si>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</si>
  <si>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</si>
  <si>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</si>
  <si>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</si>
  <si>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</si>
  <si>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</si>
  <si>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</si>
  <si>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</si>
  <si>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</si>
  <si>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</si>
  <si>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</si>
  <si>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</si>
  <si>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</si>
  <si>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</si>
  <si>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</si>
  <si>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</si>
  <si>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</si>
  <si>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</si>
  <si>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</si>
  <si>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</si>
  <si>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</si>
  <si>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</si>
  <si>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</si>
  <si>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</si>
  <si>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</si>
  <si>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</si>
  <si>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</si>
  <si>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</si>
  <si>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</si>
  <si>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</si>
  <si>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</si>
  <si>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</si>
  <si>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</si>
  <si>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</si>
  <si>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</si>
  <si>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</si>
  <si>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</si>
  <si>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</si>
  <si>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</si>
  <si>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</si>
  <si>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</si>
  <si>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</si>
  <si>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</si>
  <si>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</si>
  <si>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</si>
  <si>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</si>
  <si>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</si>
  <si>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</si>
  <si>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</si>
  <si>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</si>
  <si>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</si>
  <si>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</si>
  <si>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</si>
  <si>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</si>
  <si>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</si>
  <si>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</si>
  <si>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</si>
  <si>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</si>
  <si>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</si>
  <si>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</si>
  <si>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</si>
  <si>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</si>
  <si>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</si>
  <si>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</si>
  <si>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</si>
  <si>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</si>
  <si>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</si>
  <si>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</si>
  <si>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</si>
  <si>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</si>
  <si>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</si>
  <si>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</si>
  <si>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</si>
  <si>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</si>
  <si>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</si>
  <si>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</si>
  <si>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</si>
  <si>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</si>
  <si>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</si>
  <si>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</si>
  <si>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</si>
  <si>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</si>
  <si>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</si>
  <si>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</si>
  <si>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</si>
  <si>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</si>
  <si>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</si>
  <si>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</si>
  <si>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</si>
  <si>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</si>
  <si>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</si>
  <si>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</si>
  <si>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</si>
  <si>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</si>
  <si>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</si>
  <si>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</si>
  <si>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</si>
  <si>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</si>
  <si>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</si>
  <si>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</si>
  <si>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</si>
  <si>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</si>
  <si>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</si>
  <si>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</si>
  <si>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</si>
  <si>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</si>
  <si>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</si>
  <si>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</si>
  <si>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</si>
  <si>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</si>
  <si>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</si>
  <si>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</si>
  <si>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</si>
  <si>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</si>
  <si>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</si>
  <si>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</si>
  <si>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</si>
  <si>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</si>
  <si>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</si>
  <si>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</si>
  <si>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</si>
  <si>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</si>
  <si>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</si>
  <si>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SEL</t>
  </si>
  <si>
    <t>Otaria flavescens</t>
  </si>
  <si>
    <t>South American sea lion</t>
  </si>
  <si>
    <t>Lion de mer d'Amérique du Sud</t>
  </si>
  <si>
    <t>Lobo común</t>
  </si>
  <si>
    <t>BCW</t>
  </si>
  <si>
    <t>Ziphius cavirostris</t>
  </si>
  <si>
    <t>Cuvier's beaked whale</t>
  </si>
  <si>
    <t>Ziphius</t>
  </si>
  <si>
    <t>Zifio de Cuvier</t>
  </si>
  <si>
    <t>BRW</t>
  </si>
  <si>
    <t>Balaenoptera edeni</t>
  </si>
  <si>
    <t>Bryde's whale</t>
  </si>
  <si>
    <t>Rorqual de Bryde</t>
  </si>
  <si>
    <t>Rorcual tropical</t>
  </si>
  <si>
    <t>DBO</t>
  </si>
  <si>
    <t>Tursiops truncatus</t>
  </si>
  <si>
    <t>Bottlenose dolphin</t>
  </si>
  <si>
    <t>Grand Dauphin</t>
  </si>
  <si>
    <t>Tursion</t>
  </si>
  <si>
    <t>DCL</t>
  </si>
  <si>
    <t>Stenella clymene</t>
  </si>
  <si>
    <t>Clymene dolphin</t>
  </si>
  <si>
    <t>Dauphin de Clyméné</t>
  </si>
  <si>
    <t>Delfín Clymene</t>
  </si>
  <si>
    <t>DCO</t>
  </si>
  <si>
    <t>Delphinus delphis</t>
  </si>
  <si>
    <t>Common dolphin</t>
  </si>
  <si>
    <t>Dauphin commun</t>
  </si>
  <si>
    <t>Delfín común</t>
  </si>
  <si>
    <t>DPN</t>
  </si>
  <si>
    <t>Stenella attenuata</t>
  </si>
  <si>
    <t>Pantropical spotted dolphin</t>
  </si>
  <si>
    <t>Dauphin tacheté pantropical</t>
  </si>
  <si>
    <t>Estenela moteada</t>
  </si>
  <si>
    <t>DRR</t>
  </si>
  <si>
    <t>Grampus griseus</t>
  </si>
  <si>
    <t>Risso's dolphin</t>
  </si>
  <si>
    <t>Grampus</t>
  </si>
  <si>
    <t>Delfín de Risso</t>
  </si>
  <si>
    <t>DSA</t>
  </si>
  <si>
    <t>Stenella frontalis</t>
  </si>
  <si>
    <t>Atlantic spotted dolphin</t>
  </si>
  <si>
    <t>Dauphin tacheté de l'Atlantiq.</t>
  </si>
  <si>
    <t>Delfín pintado</t>
  </si>
  <si>
    <t>DSI</t>
  </si>
  <si>
    <t>Stenella longirostris</t>
  </si>
  <si>
    <t>Spinner dolphin</t>
  </si>
  <si>
    <t>Dauphin longirostre</t>
  </si>
  <si>
    <t>Estenela giradora</t>
  </si>
  <si>
    <t>DST</t>
  </si>
  <si>
    <t>Stenella coeruleoalba</t>
  </si>
  <si>
    <t>Striped dolphin</t>
  </si>
  <si>
    <t>Dauphin bleu et blanc</t>
  </si>
  <si>
    <t>Estenela listada</t>
  </si>
  <si>
    <t>DWH</t>
  </si>
  <si>
    <t>Lagenorhynchus acutus</t>
  </si>
  <si>
    <t>Atlantic white-sided dolphin</t>
  </si>
  <si>
    <t>Dauphin à flancs blancs Atlan.</t>
  </si>
  <si>
    <t>Delfín de flancos blancos</t>
  </si>
  <si>
    <t>EUA</t>
  </si>
  <si>
    <t>Eubalaena australis</t>
  </si>
  <si>
    <t>Southern right whale</t>
  </si>
  <si>
    <t>Baleine australe</t>
  </si>
  <si>
    <t>Ballena franca austral</t>
  </si>
  <si>
    <t>EUG</t>
  </si>
  <si>
    <t>Eubalaena glacialis</t>
  </si>
  <si>
    <t>Northern right whale</t>
  </si>
  <si>
    <t>Baleine de Biscaye</t>
  </si>
  <si>
    <t>Ballena franca</t>
  </si>
  <si>
    <t>FAW</t>
  </si>
  <si>
    <t>Pseudorca crassidens</t>
  </si>
  <si>
    <t>False killer whale</t>
  </si>
  <si>
    <t>Faux-orque</t>
  </si>
  <si>
    <t>Orca Falsa</t>
  </si>
  <si>
    <t>FIW</t>
  </si>
  <si>
    <t>Balaenoptera physalus</t>
  </si>
  <si>
    <t>Fin whale</t>
  </si>
  <si>
    <t>Rorqual commun</t>
  </si>
  <si>
    <t>Rorcual común</t>
  </si>
  <si>
    <t>HUW</t>
  </si>
  <si>
    <t>Megaptera novaeangliae</t>
  </si>
  <si>
    <t>Humpback whale</t>
  </si>
  <si>
    <t>Baleine à bosse</t>
  </si>
  <si>
    <t>Rorcual jorobado</t>
  </si>
  <si>
    <t>KIW</t>
  </si>
  <si>
    <t>Orcinus orca</t>
  </si>
  <si>
    <t>Killer whale</t>
  </si>
  <si>
    <t>Orque</t>
  </si>
  <si>
    <t>Orca</t>
  </si>
  <si>
    <t>MIW</t>
  </si>
  <si>
    <t>Balaenoptera acutorostrata</t>
  </si>
  <si>
    <t>Minke whale</t>
  </si>
  <si>
    <t>Petit rorqual</t>
  </si>
  <si>
    <t>Rorcual enano</t>
  </si>
  <si>
    <t>PHR</t>
  </si>
  <si>
    <t>Phocoena phocoena</t>
  </si>
  <si>
    <t>Harbour porpoise</t>
  </si>
  <si>
    <t>Marsouin Commun</t>
  </si>
  <si>
    <t>Marsopa Común</t>
  </si>
  <si>
    <t>PIW</t>
  </si>
  <si>
    <t>Globicephala melas</t>
  </si>
  <si>
    <t>Long-finned pilot whale</t>
  </si>
  <si>
    <t>Globicéphale commun</t>
  </si>
  <si>
    <t>Calderón común</t>
  </si>
  <si>
    <t>PYW</t>
  </si>
  <si>
    <t>Kogia breviceps</t>
  </si>
  <si>
    <t>Pygmy sperm whale</t>
  </si>
  <si>
    <t>Cachalot Pygmée</t>
  </si>
  <si>
    <t>Cachalote pigmeo</t>
  </si>
  <si>
    <t>RTD</t>
  </si>
  <si>
    <t>Steno bredanensis</t>
  </si>
  <si>
    <t>Rough-toothed dolphin</t>
  </si>
  <si>
    <t>Sténo</t>
  </si>
  <si>
    <t>Esteno</t>
  </si>
  <si>
    <t>SHW</t>
  </si>
  <si>
    <t>Globicephala macrorhynchus</t>
  </si>
  <si>
    <t>Short-finned pilot whale</t>
  </si>
  <si>
    <t>Globicéphale tropical</t>
  </si>
  <si>
    <t>Calderón de aletas cortas</t>
  </si>
  <si>
    <t>SIW</t>
  </si>
  <si>
    <t>Balaenoptera borealis</t>
  </si>
  <si>
    <t>Sei whale</t>
  </si>
  <si>
    <t>Rorqual de Rudolphi</t>
  </si>
  <si>
    <t>Rorcual del Norte</t>
  </si>
  <si>
    <t>SPW</t>
  </si>
  <si>
    <t>Physeter macrocephalus</t>
  </si>
  <si>
    <t>Sperm whale</t>
  </si>
  <si>
    <t>Cachalot</t>
  </si>
  <si>
    <t>Cachalote</t>
  </si>
  <si>
    <t>SXQ</t>
  </si>
  <si>
    <t>Arctocephalus spp</t>
  </si>
  <si>
    <t>Fur seals nei</t>
  </si>
  <si>
    <t>Otaries nca</t>
  </si>
  <si>
    <t>Lobos finos nep</t>
  </si>
  <si>
    <t>MEP</t>
  </si>
  <si>
    <t>Mesoplodon spp</t>
  </si>
  <si>
    <t>Beaked whales nei</t>
  </si>
  <si>
    <t>DLP</t>
  </si>
  <si>
    <t>Delphinidae</t>
  </si>
  <si>
    <t>Dolphins nei</t>
  </si>
  <si>
    <t>Dauphins nca</t>
  </si>
  <si>
    <t>Delfínidos nep</t>
  </si>
  <si>
    <t>CZE</t>
  </si>
  <si>
    <t>Calonectris edwardsii</t>
  </si>
  <si>
    <t>Cape Verde Shearwater</t>
  </si>
  <si>
    <t>Puffin du Cap-Vert</t>
  </si>
  <si>
    <t>Pardela cenicienta de Edwards</t>
  </si>
  <si>
    <t>FPA</t>
  </si>
  <si>
    <t>Fratercula arctica</t>
  </si>
  <si>
    <t>Atlantic puffin</t>
  </si>
  <si>
    <t>Macareux moine</t>
  </si>
  <si>
    <t>Frailecillo atlántico</t>
  </si>
  <si>
    <t>FNO</t>
  </si>
  <si>
    <t>Fulmarus glacialis</t>
  </si>
  <si>
    <t>Northern fulmar</t>
  </si>
  <si>
    <t>Fulmar boréal</t>
  </si>
  <si>
    <t>Fulmar norteño</t>
  </si>
  <si>
    <t>LHZ</t>
  </si>
  <si>
    <t>Larus argentatus</t>
  </si>
  <si>
    <t>Herring gull</t>
  </si>
  <si>
    <t>Goéland argenté</t>
  </si>
  <si>
    <t>Gaviota argéntea</t>
  </si>
  <si>
    <t>Larus atricilla</t>
  </si>
  <si>
    <t>Laughing gull</t>
  </si>
  <si>
    <t>Mouette atricille</t>
  </si>
  <si>
    <t>Gaviota reidora americana</t>
  </si>
  <si>
    <t>LVH</t>
  </si>
  <si>
    <t>Larus audouinii</t>
  </si>
  <si>
    <t>Audouin's gull</t>
  </si>
  <si>
    <t>Goéland d'Audouin</t>
  </si>
  <si>
    <t>Gaviota de Audouin</t>
  </si>
  <si>
    <t>LVJ</t>
  </si>
  <si>
    <t>Larus cachinnans</t>
  </si>
  <si>
    <t>Yellow-legged gull</t>
  </si>
  <si>
    <t>Goéland leucophée</t>
  </si>
  <si>
    <t>Gaviota patiamarilla</t>
  </si>
  <si>
    <t>LVU</t>
  </si>
  <si>
    <t>Larus marinus</t>
  </si>
  <si>
    <t>Great black-backed gull</t>
  </si>
  <si>
    <t>Goéland marin</t>
  </si>
  <si>
    <t>Gavión atlántico</t>
  </si>
  <si>
    <t>MVB</t>
  </si>
  <si>
    <t>Morus bassanus</t>
  </si>
  <si>
    <t>Northern gannet</t>
  </si>
  <si>
    <t>Fou De Bassan</t>
  </si>
  <si>
    <t>Alcatraz Atlántico</t>
  </si>
  <si>
    <t>MWE</t>
  </si>
  <si>
    <t>Morus capensis</t>
  </si>
  <si>
    <t>Cape gannet</t>
  </si>
  <si>
    <t>Fou Du Cap</t>
  </si>
  <si>
    <t>Alcatraz del Cabo</t>
  </si>
  <si>
    <t>DAQ</t>
  </si>
  <si>
    <t>Phoebastria albatrus</t>
  </si>
  <si>
    <t>Short-tailed albatross</t>
  </si>
  <si>
    <t>Albatros à queue courte</t>
  </si>
  <si>
    <t>Albatros rabón</t>
  </si>
  <si>
    <t>PJZ</t>
  </si>
  <si>
    <t>Pterodroma arminjoniana</t>
  </si>
  <si>
    <t>Trindade petrel</t>
  </si>
  <si>
    <t>Pétrel de la Trinité du Sud</t>
  </si>
  <si>
    <t>Petrel de la Trinidade</t>
  </si>
  <si>
    <t>HJW</t>
  </si>
  <si>
    <t>Pterodroma cahow</t>
  </si>
  <si>
    <t>Bermuda petrel</t>
  </si>
  <si>
    <t>Pétrel des Bermudes</t>
  </si>
  <si>
    <t>Petrel Cahow</t>
  </si>
  <si>
    <t>HWS</t>
  </si>
  <si>
    <t>Pterodroma hasitata</t>
  </si>
  <si>
    <t>Black-capped petrel</t>
  </si>
  <si>
    <t>Pétrel diablotin</t>
  </si>
  <si>
    <t>Petrel antillano</t>
  </si>
  <si>
    <t>UIL</t>
  </si>
  <si>
    <t>Puffinus lherminieri</t>
  </si>
  <si>
    <t>Audubon's shearwater</t>
  </si>
  <si>
    <t>Puffin d'Audubon</t>
  </si>
  <si>
    <t>Pardela de Audubon</t>
  </si>
  <si>
    <t>UIM</t>
  </si>
  <si>
    <t>Puffinus mauretanicus</t>
  </si>
  <si>
    <t>Balearic shearwater</t>
  </si>
  <si>
    <t>Puffin des Baléares</t>
  </si>
  <si>
    <t>Pardela pichoneta balear</t>
  </si>
  <si>
    <t>UIP</t>
  </si>
  <si>
    <t>Puffinus puffinus</t>
  </si>
  <si>
    <t>Manx shearwater</t>
  </si>
  <si>
    <t>Puffin des anglais</t>
  </si>
  <si>
    <t>Pardela pichoneta</t>
  </si>
  <si>
    <t>UYE</t>
  </si>
  <si>
    <t>Puffinus yelkouan</t>
  </si>
  <si>
    <t>Yelkouan shearwater</t>
  </si>
  <si>
    <t>Puffin de Méditerranée</t>
  </si>
  <si>
    <t>Pardela mediterránea</t>
  </si>
  <si>
    <t>CDI</t>
  </si>
  <si>
    <t>Calonectris diomedea</t>
  </si>
  <si>
    <t>Cory's shearwater</t>
  </si>
  <si>
    <t>Puffin cendré</t>
  </si>
  <si>
    <t>Pardela cenicienta</t>
  </si>
  <si>
    <t>CSK</t>
  </si>
  <si>
    <t>Stercorarius skua</t>
  </si>
  <si>
    <t>Great skua</t>
  </si>
  <si>
    <t>Grand Labbe</t>
  </si>
  <si>
    <t>Págalo Grande</t>
  </si>
  <si>
    <t>DAC</t>
  </si>
  <si>
    <t>Daption capense</t>
  </si>
  <si>
    <t>Cape petrel</t>
  </si>
  <si>
    <t>Damier Du Cap</t>
  </si>
  <si>
    <t>Petrel darnero</t>
  </si>
  <si>
    <t>DBN</t>
  </si>
  <si>
    <t>Diomedea dabbenena</t>
  </si>
  <si>
    <t>Tristan albatross</t>
  </si>
  <si>
    <t>Albatros de Tristan</t>
  </si>
  <si>
    <t>Albatros de Tristán</t>
  </si>
  <si>
    <t>DCR</t>
  </si>
  <si>
    <t>Thalassarche chlororhynchos</t>
  </si>
  <si>
    <t>Atlant. yellow-nosed albatross</t>
  </si>
  <si>
    <t>Albatros à nez jaune</t>
  </si>
  <si>
    <t>Albatros pico amarillo y negro</t>
  </si>
  <si>
    <t>DCU</t>
  </si>
  <si>
    <t>Thalassarche cauta</t>
  </si>
  <si>
    <t>Shy albatross</t>
  </si>
  <si>
    <t>Albatros timide</t>
  </si>
  <si>
    <t>Albatros Frentiblanco</t>
  </si>
  <si>
    <t>DIC</t>
  </si>
  <si>
    <t>Thalassarche chrysostoma</t>
  </si>
  <si>
    <t>Grey-headed albatross</t>
  </si>
  <si>
    <t>Albatros À Tête Grise</t>
  </si>
  <si>
    <t>Albatros de cabeza gris</t>
  </si>
  <si>
    <t>DIM</t>
  </si>
  <si>
    <t>Thalassarche melanophrys</t>
  </si>
  <si>
    <t>Black-browed albatross</t>
  </si>
  <si>
    <t>Albatros à sourcils noirs</t>
  </si>
  <si>
    <t>Albatros ceja negra</t>
  </si>
  <si>
    <t>DIP</t>
  </si>
  <si>
    <t>Diomedea epomophora</t>
  </si>
  <si>
    <t>Southern royal albatross</t>
  </si>
  <si>
    <t>Albatros royal</t>
  </si>
  <si>
    <t>Albatros real</t>
  </si>
  <si>
    <t>DIQ</t>
  </si>
  <si>
    <t>Diomedea sanfordi</t>
  </si>
  <si>
    <t>Northern royal albatross</t>
  </si>
  <si>
    <t>Albatros royal du Nord</t>
  </si>
  <si>
    <t>Albatros real del norte</t>
  </si>
  <si>
    <t>DIX</t>
  </si>
  <si>
    <t>Diomedea exulans</t>
  </si>
  <si>
    <t>Wandering albatross</t>
  </si>
  <si>
    <t>Albatros hurleur</t>
  </si>
  <si>
    <t>Albatros errante</t>
  </si>
  <si>
    <t>DKN</t>
  </si>
  <si>
    <t>Phoebastria nigripes</t>
  </si>
  <si>
    <t>Black-footed albatross</t>
  </si>
  <si>
    <t>Albatros à pieds noirs</t>
  </si>
  <si>
    <t>Albatros de patas negras</t>
  </si>
  <si>
    <t>FUG</t>
  </si>
  <si>
    <t>Fulmarus glacialoides</t>
  </si>
  <si>
    <t>Southern fulmar</t>
  </si>
  <si>
    <t>Fulmar Argenté</t>
  </si>
  <si>
    <t>Fulmar austral</t>
  </si>
  <si>
    <t>MAH</t>
  </si>
  <si>
    <t>Macronectes halli</t>
  </si>
  <si>
    <t>Hall's giant petrel</t>
  </si>
  <si>
    <t>Pétrel De Hall</t>
  </si>
  <si>
    <t>Petrel gigante de Hall</t>
  </si>
  <si>
    <t>MAI</t>
  </si>
  <si>
    <t>Macronectes giganteus</t>
  </si>
  <si>
    <t>Antarctic giant petrel</t>
  </si>
  <si>
    <t>Pétrel géant</t>
  </si>
  <si>
    <t>Petrel gigante común</t>
  </si>
  <si>
    <t>PCI</t>
  </si>
  <si>
    <t>Procellaria cinerea</t>
  </si>
  <si>
    <t>Grey petrel</t>
  </si>
  <si>
    <t>Puffin Gris</t>
  </si>
  <si>
    <t>Pardela Gris</t>
  </si>
  <si>
    <t>PCN</t>
  </si>
  <si>
    <t>Procellaria conspicillata</t>
  </si>
  <si>
    <t>Spectacled petrel</t>
  </si>
  <si>
    <t>Pétrel à lunettes</t>
  </si>
  <si>
    <t>Petrel mentón blanco</t>
  </si>
  <si>
    <t>PDM</t>
  </si>
  <si>
    <t>Pterodroma macroptera</t>
  </si>
  <si>
    <t>Great-winged petrel</t>
  </si>
  <si>
    <t>Pétrel Noir</t>
  </si>
  <si>
    <t>Petrel aligrande</t>
  </si>
  <si>
    <t>PFC</t>
  </si>
  <si>
    <t>Puffinus carneipes</t>
  </si>
  <si>
    <t>Flesh-footed shearwater</t>
  </si>
  <si>
    <t>Puffin à pieds pâles</t>
  </si>
  <si>
    <t>Pardela paticlara</t>
  </si>
  <si>
    <t>PFG</t>
  </si>
  <si>
    <t>Puffinus griseus</t>
  </si>
  <si>
    <t>Sooty shearwater</t>
  </si>
  <si>
    <t>Puffin fuligineux</t>
  </si>
  <si>
    <t>Pardela sombría</t>
  </si>
  <si>
    <t>PHE</t>
  </si>
  <si>
    <t>Phoebetria palpebrata</t>
  </si>
  <si>
    <t>Light-mantled sooty albatross</t>
  </si>
  <si>
    <t>Albatros fuligineux</t>
  </si>
  <si>
    <t>Albatros oscuro de manto claro</t>
  </si>
  <si>
    <t>PHU</t>
  </si>
  <si>
    <t>Phoebetria fusca</t>
  </si>
  <si>
    <t>Sooty albatross</t>
  </si>
  <si>
    <t>Albatros Brun</t>
  </si>
  <si>
    <t>Albatros Ahumado</t>
  </si>
  <si>
    <t>PRO</t>
  </si>
  <si>
    <t>Procellaria aequinoctialis</t>
  </si>
  <si>
    <t>White-chinned petrel</t>
  </si>
  <si>
    <t>Puffin à menton blanc</t>
  </si>
  <si>
    <t>Pardela Gorgiblanca</t>
  </si>
  <si>
    <t>PUG</t>
  </si>
  <si>
    <t>Puffinus gravis</t>
  </si>
  <si>
    <t>Great shearwater</t>
  </si>
  <si>
    <t>Puffin majeur</t>
  </si>
  <si>
    <t>Pardela capirotada</t>
  </si>
  <si>
    <t>TQH</t>
  </si>
  <si>
    <t>Thalassarche carteri</t>
  </si>
  <si>
    <t>Indian yellow-nosed albatross</t>
  </si>
  <si>
    <t>Albatros de l'océan indien</t>
  </si>
  <si>
    <t>Albatros índico pico amarillo</t>
  </si>
  <si>
    <t>TWD</t>
  </si>
  <si>
    <t>Thalassarche steadi</t>
  </si>
  <si>
    <t>White-capped albatross</t>
  </si>
  <si>
    <t>Albatros à cape blanche</t>
  </si>
  <si>
    <t>Albatros de Auckland</t>
  </si>
  <si>
    <t>ALZ</t>
  </si>
  <si>
    <t>Diomedeidae</t>
  </si>
  <si>
    <t>Albatrosses nei</t>
  </si>
  <si>
    <t>Albatros nca</t>
  </si>
  <si>
    <t>Albatros nep</t>
  </si>
  <si>
    <t>DKK</t>
  </si>
  <si>
    <t>Dermochelys coriacea</t>
  </si>
  <si>
    <t>Leatherback turtle</t>
  </si>
  <si>
    <t>Tortue Luth</t>
  </si>
  <si>
    <t>Tortuga Laud</t>
  </si>
  <si>
    <t>LKV</t>
  </si>
  <si>
    <t>Lepidochelys olivacea</t>
  </si>
  <si>
    <t>Olive Ridley turtle</t>
  </si>
  <si>
    <t>Tortue olivatre</t>
  </si>
  <si>
    <t>Tortuga golfina</t>
  </si>
  <si>
    <t>LKY</t>
  </si>
  <si>
    <t>Lepidochelys kempii</t>
  </si>
  <si>
    <t>Kemp's ridley turtle</t>
  </si>
  <si>
    <t>Tortue de Kemp</t>
  </si>
  <si>
    <t>Tortuga lora</t>
  </si>
  <si>
    <t>TTH</t>
  </si>
  <si>
    <t>Eretmochelys imbricata</t>
  </si>
  <si>
    <t>Hawksbill turtle</t>
  </si>
  <si>
    <t>Tortue caret</t>
  </si>
  <si>
    <t>Tortuga carey</t>
  </si>
  <si>
    <t>TTL</t>
  </si>
  <si>
    <t>Caretta caretta</t>
  </si>
  <si>
    <t>Loggerhead turtle</t>
  </si>
  <si>
    <t>Caouane</t>
  </si>
  <si>
    <t>Caguama</t>
  </si>
  <si>
    <t>TUG</t>
  </si>
  <si>
    <t>Chelonia mydas</t>
  </si>
  <si>
    <t>Green turtle</t>
  </si>
  <si>
    <t>Tortue verte</t>
  </si>
  <si>
    <t>Tortuga verde</t>
  </si>
  <si>
    <t>TTX</t>
  </si>
  <si>
    <t>Cheloniidae</t>
  </si>
  <si>
    <t>Marine turtles nei</t>
  </si>
  <si>
    <t>Tortues de mer nca</t>
  </si>
  <si>
    <t>Tortugas de mar nep</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</si>
  <si>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</si>
  <si>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</si>
  <si>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</si>
  <si>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</si>
  <si>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</si>
  <si>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</si>
  <si>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</si>
  <si>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</si>
  <si>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</si>
  <si>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</si>
  <si>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</si>
  <si>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</si>
  <si>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</si>
  <si>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</si>
  <si>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</si>
  <si>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</si>
  <si>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</si>
  <si>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</si>
  <si>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</si>
  <si>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</si>
  <si>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</si>
  <si>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</si>
  <si>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</si>
  <si>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</si>
  <si>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</si>
  <si>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</si>
  <si>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</si>
  <si>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</si>
  <si>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</si>
  <si>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</si>
  <si>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</si>
  <si>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</si>
  <si>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</si>
  <si>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</si>
  <si>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</si>
  <si>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</si>
  <si>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</si>
  <si>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</si>
  <si>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</si>
  <si>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</si>
  <si>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</si>
  <si>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</si>
  <si>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</si>
  <si>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</si>
  <si>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</si>
  <si>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</si>
  <si>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</si>
  <si>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</si>
  <si>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</si>
  <si>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</si>
  <si>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</si>
  <si>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</si>
  <si>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</si>
  <si>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</si>
  <si>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BUM-A</t>
  </si>
  <si>
    <t>WHM-A</t>
  </si>
  <si>
    <t>Rest of ICCAT species</t>
  </si>
  <si>
    <t>Table. Species (Tunas &amp; sharks) standard codes (FAO alfa 3)</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</si>
  <si>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</si>
  <si>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</si>
  <si>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</si>
  <si>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</si>
  <si>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</si>
  <si>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</si>
  <si>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</si>
  <si>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</si>
  <si>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</si>
  <si>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</si>
  <si>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</si>
  <si>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</si>
  <si>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</si>
  <si>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</si>
  <si>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</si>
  <si>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</si>
  <si>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</si>
  <si>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</si>
  <si>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</si>
  <si>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</si>
  <si>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</si>
  <si>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</si>
  <si>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SFL</t>
  </si>
  <si>
    <t>Table. Reporting Flags, Flags of Vessel / Countries (A2 &amp; A3 ISO 3166)</t>
  </si>
  <si>
    <t>National, Foreign, Recreational (or Sport)</t>
  </si>
  <si>
    <t>Artisanal, Industrial, ETRO</t>
  </si>
  <si>
    <t>Recreational (or Sport)</t>
  </si>
  <si>
    <t>Canárias, Coruña, Cantabric sea, ETRO, MEDI, Recreational (or Sport)</t>
  </si>
  <si>
    <t>Mainland, Azores, Madeira, Recreational (or Sport)</t>
  </si>
  <si>
    <t>Artisanal, ETRO, Recreational (or Sport)</t>
  </si>
  <si>
    <t>Other (specified in Notes)</t>
  </si>
  <si>
    <t>Other (specifed it in notes)</t>
  </si>
  <si>
    <t>Other (specified it in notes)</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</si>
  <si>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</si>
  <si>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</si>
  <si>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</si>
  <si>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</si>
  <si>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</si>
  <si>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</si>
  <si>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</si>
  <si>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</si>
  <si>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</si>
  <si>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</si>
  <si>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</si>
  <si>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</si>
  <si>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</si>
  <si>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</si>
  <si>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</si>
  <si>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</si>
  <si>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</si>
  <si>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</si>
  <si>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</si>
  <si>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</si>
  <si>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</si>
  <si>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</si>
  <si>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</si>
  <si>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</si>
  <si>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</si>
  <si>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</si>
  <si>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</si>
  <si>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</si>
  <si>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</si>
  <si>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</si>
  <si>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</si>
  <si>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</si>
  <si>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</si>
  <si>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</si>
  <si>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</si>
  <si>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</si>
  <si>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</si>
  <si>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</si>
  <si>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</si>
  <si>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</si>
  <si>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</si>
  <si>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</si>
  <si>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</si>
  <si>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</si>
  <si>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</si>
  <si>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</si>
  <si>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</si>
  <si>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</si>
  <si>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</si>
  <si>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</si>
  <si>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</si>
  <si>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</si>
  <si>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</si>
  <si>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</si>
  <si>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</si>
  <si>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</si>
  <si>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</si>
  <si>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</si>
  <si>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</si>
  <si>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</si>
  <si>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</si>
  <si>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</si>
  <si>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</si>
  <si>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</si>
  <si>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</si>
  <si>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</si>
  <si>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</si>
  <si>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</si>
  <si>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</si>
  <si>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</si>
  <si>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</si>
  <si>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</si>
  <si>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</si>
  <si>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</si>
  <si>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</si>
  <si>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</si>
  <si>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</si>
  <si>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</si>
  <si>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</si>
  <si>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</si>
  <si>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</si>
  <si>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</si>
  <si>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</si>
  <si>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</si>
  <si>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</si>
  <si>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</si>
  <si>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</si>
  <si>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</si>
  <si>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</si>
  <si>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</si>
  <si>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</si>
  <si>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</si>
  <si>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</si>
  <si>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</si>
  <si>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</si>
  <si>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</si>
  <si>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</si>
  <si>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</si>
  <si>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</si>
  <si>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</si>
  <si>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</si>
  <si>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</si>
  <si>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</si>
  <si>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</si>
  <si>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</si>
  <si>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</si>
  <si>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</si>
  <si>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</si>
  <si>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</si>
  <si>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</si>
  <si>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</si>
  <si>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</si>
  <si>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</si>
  <si>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</si>
  <si>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</si>
  <si>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</si>
  <si>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</si>
  <si>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</si>
  <si>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</si>
  <si>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</si>
  <si>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</si>
  <si>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</si>
  <si>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</si>
  <si>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</si>
  <si>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</si>
  <si>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</si>
  <si>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</si>
  <si>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</si>
  <si>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</si>
  <si>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</si>
  <si>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</si>
  <si>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</si>
  <si>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Catch type name</t>
  </si>
  <si>
    <t>Month</t>
  </si>
  <si>
    <t>YearC</t>
  </si>
  <si>
    <t>Mois</t>
  </si>
  <si>
    <t>Year (calendar)</t>
  </si>
  <si>
    <t>SquareType</t>
  </si>
  <si>
    <t>LatLon</t>
  </si>
  <si>
    <t>SquareTypeCod</t>
  </si>
  <si>
    <t>Rectangle: 10° latitude by 10° longitude</t>
  </si>
  <si>
    <t>MonthSamp</t>
  </si>
  <si>
    <t>Month (sample)</t>
  </si>
  <si>
    <t>Mois (échantillon)</t>
  </si>
  <si>
    <t>The month in which the sample was measured</t>
  </si>
  <si>
    <t>Mes (muestreo)</t>
  </si>
  <si>
    <t>Mes</t>
  </si>
  <si>
    <t>Mes en el que se midió la muestra</t>
  </si>
  <si>
    <t>SampAreaCod</t>
  </si>
  <si>
    <t>StockCod</t>
  </si>
  <si>
    <t>QuadCod</t>
  </si>
  <si>
    <t>LangFieldID</t>
  </si>
  <si>
    <t>LangNameID</t>
  </si>
  <si>
    <t>NR</t>
  </si>
  <si>
    <t>Number (of fish)</t>
  </si>
  <si>
    <t>Gilled &amp; gutted weight</t>
  </si>
  <si>
    <t xml:space="preserve">Fillet (weight) </t>
  </si>
  <si>
    <t>Belly meat (weigth)</t>
  </si>
  <si>
    <t>{1x1,5x5,5x10,10x10, SA}</t>
  </si>
  <si>
    <t>Mainland, ETRO, MEDI, Recreational (or Sport), Guadeloupe, Martinique</t>
  </si>
  <si>
    <t>Burkina Faso</t>
  </si>
  <si>
    <t>BFA</t>
  </si>
  <si>
    <t>BF</t>
  </si>
  <si>
    <t>Years covered (from)</t>
  </si>
  <si>
    <t>Années visées (de)</t>
  </si>
  <si>
    <t>Años incluidos (desde)</t>
  </si>
  <si>
    <t>(to)</t>
  </si>
  <si>
    <t>(à)</t>
  </si>
  <si>
    <t>(hasta)</t>
  </si>
  <si>
    <t>hYearFrom</t>
  </si>
  <si>
    <t>hYearTo</t>
  </si>
  <si>
    <t>TotCatchW</t>
  </si>
  <si>
    <t>Specific</t>
  </si>
  <si>
    <t>Proper time resolution (month is mandatory starting with 2017 data)</t>
  </si>
  <si>
    <t>string</t>
  </si>
  <si>
    <t>ENG</t>
  </si>
  <si>
    <t>tba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</si>
  <si>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</si>
  <si>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</si>
  <si>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</si>
  <si>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</si>
  <si>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</si>
  <si>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</si>
  <si>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</si>
  <si>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</si>
  <si>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</si>
  <si>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</si>
  <si>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</si>
  <si>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</si>
  <si>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</si>
  <si>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</si>
  <si>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</si>
  <si>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</si>
  <si>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</si>
  <si>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</si>
  <si>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</si>
  <si>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</si>
  <si>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</si>
  <si>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</si>
  <si>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</si>
  <si>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</si>
  <si>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</si>
  <si>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7-Turtles</t>
  </si>
  <si>
    <t>8-Seabirds</t>
  </si>
  <si>
    <t>9-Mammals</t>
  </si>
  <si>
    <t>Unknown (for sampling areas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</si>
  <si>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</si>
  <si>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</si>
  <si>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</si>
  <si>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</si>
  <si>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</si>
  <si>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</si>
  <si>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</si>
  <si>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FA</t>
  </si>
  <si>
    <t>Catches (alive) to farming (BFT only)</t>
  </si>
  <si>
    <t>Longline: Targetting ALB</t>
  </si>
  <si>
    <t>Longline: Targetting BFT</t>
  </si>
  <si>
    <t>Longline: Targetting SWO</t>
  </si>
  <si>
    <t>Trap: small traps</t>
  </si>
  <si>
    <t>Each size class frequency should be a multiple of the interval defined in header section (e.g.: 2 cm classes =&gt; 20, 22, 24, 26, …). Classes frequencies with "zero" fish are optional.</t>
  </si>
  <si>
    <t>FreqType</t>
  </si>
  <si>
    <t>HGTW</t>
  </si>
  <si>
    <t>Lower Jaw TO 1st Dorsal Length</t>
  </si>
  <si>
    <r>
      <t xml:space="preserve">Table. </t>
    </r>
    <r>
      <rPr>
        <sz val="9"/>
        <rFont val="Calibri"/>
        <family val="2"/>
        <scheme val="minor"/>
      </rPr>
      <t>Size/weight frequency types</t>
    </r>
  </si>
  <si>
    <t>Frequency type attributes</t>
  </si>
  <si>
    <t>Attributs de type de fréquence</t>
  </si>
  <si>
    <t>Atributos de tipo de frecuencia</t>
  </si>
  <si>
    <t>hFreqType</t>
  </si>
  <si>
    <t>FormID</t>
  </si>
  <si>
    <t>OrderID</t>
  </si>
  <si>
    <t>SubFormID</t>
  </si>
  <si>
    <t>ST04</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</si>
  <si>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</si>
  <si>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</si>
  <si>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</si>
  <si>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</si>
  <si>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</si>
  <si>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</si>
  <si>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</si>
  <si>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</si>
  <si>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</si>
  <si>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</si>
  <si>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</si>
  <si>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</si>
  <si>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</si>
  <si>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</si>
  <si>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</si>
  <si>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</si>
  <si>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</si>
  <si>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</si>
  <si>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</si>
  <si>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</si>
  <si>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</si>
  <si>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</si>
  <si>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</si>
  <si>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</si>
  <si>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</si>
  <si>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</si>
  <si>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</si>
  <si>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</si>
  <si>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</si>
  <si>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</si>
  <si>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</si>
  <si>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</si>
  <si>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</si>
  <si>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</si>
  <si>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</si>
  <si>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</si>
  <si>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</si>
  <si>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</si>
  <si>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</si>
  <si>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</si>
  <si>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</si>
  <si>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BFT only (fixed)</t>
  </si>
  <si>
    <t>BFT seulement (fixe)</t>
  </si>
  <si>
    <t>BFT sólo (fijo)</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</si>
  <si>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</si>
  <si>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</si>
  <si>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</si>
  <si>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</si>
  <si>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</si>
  <si>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</si>
  <si>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Indicate whether catch data associated to the sample is in weight (kg) or in number of fish</t>
  </si>
  <si>
    <t>Indiquer si les données de capture associées à l'échantillon sont en poids (kg) ou en nombre de poissons</t>
  </si>
  <si>
    <t>Indicar si los datos de captura asociados con la muestra están en peso (kg) o en número de ejemplares</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</si>
  <si>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</si>
  <si>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</si>
  <si>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</si>
  <si>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Choose a Location at which the samples were measured (If "other" please specify in notes)</t>
  </si>
  <si>
    <t>Choisir un lieu où les échantillons ont été mesurés (Si "autre", veuillez le préciser dans les notes)</t>
  </si>
  <si>
    <t>Escoger la localización en la que se midieron las muestras (si "otros" por favor específiquese en las notas)</t>
  </si>
  <si>
    <t>Choose a sampling unit (ICCAT codes) in which the data are provided</t>
  </si>
  <si>
    <t>Choisir l'unité d'échantillonnage (codes ICCAT) dans laquelle les données ont été fournies</t>
  </si>
  <si>
    <t>Escoger la unidad de muestreo (códigos ICCAT) en la que se presentan los datos</t>
  </si>
  <si>
    <t>Please choose YES if the size samples have been raised to the Sampling Unit (SU). Otherwise choose NO</t>
  </si>
  <si>
    <t>Choisir "YES" si les échantillons de taille ont été extrapolés à l’unité de l’échantillon (SU). Dans le cas contraire, choisir "NO"</t>
  </si>
  <si>
    <t>Escoger YES si las muestras de talla han sido extrapoladas a la unidad de muestreo (SU). En caso contrario escoger NO</t>
  </si>
  <si>
    <t>Frequency type (cod)</t>
  </si>
  <si>
    <t>Type de fréquence (cod)</t>
  </si>
  <si>
    <t>Tipo de frecuencia (cód)</t>
  </si>
  <si>
    <t>Frequencies of the sampling can be of type "size" (1/2/5 cm) OR "weight" (1kg only). Length classes are preferred</t>
  </si>
  <si>
    <t>Les fréquences d'échantillonnage peuvent être de type "taille" (1/2/5 cm) OU "poids" (1 kg seulement). Il est préférable d'utiliser les classes de tailles</t>
  </si>
  <si>
    <t>Las frecuencias del muestreo pueden ser del tipo "talla" (1/2/5 cm) O "peso" (solo 1 kg). Es preferible utilizar clases de talla</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</si>
  <si>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</si>
  <si>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</si>
  <si>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</si>
  <si>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</si>
  <si>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</si>
  <si>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</si>
  <si>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</si>
  <si>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</si>
  <si>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</si>
  <si>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</si>
  <si>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</si>
  <si>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</si>
  <si>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</si>
  <si>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Année (calendrier)</t>
  </si>
  <si>
    <t>Calendar year (four digits) in which the catch was taken</t>
  </si>
  <si>
    <t>Année civile (quatre chiffres) au cours de laquelle la prise a été réalisée</t>
  </si>
  <si>
    <t>Año civil (cuatro dígitos) en que se realizó la captura</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</si>
  <si>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</si>
  <si>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</si>
  <si>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</si>
  <si>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</si>
  <si>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</si>
  <si>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</si>
  <si>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</si>
  <si>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</si>
  <si>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</si>
  <si>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</si>
  <si>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</si>
  <si>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</si>
  <si>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</si>
  <si>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square type (ICCAT code). By default, 5x5 squares should be used for Longline and 1x1 for other gears</t>
  </si>
  <si>
    <t>Choisir le type de carré (code ICCAT). Par défaut, les carrés 5x5 devraient être utilisés pour la palangre et 1x1 pour les autres engins</t>
  </si>
  <si>
    <t>Escoger el tipo de cuadrícula (código de ICCAT). Por defecto, las cuadrículas de 5x5 deberían utilizarse para el palangre y las de 1x1 para los demás artes</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</si>
  <si>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</si>
  <si>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</si>
  <si>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</si>
  <si>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</si>
  <si>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</si>
  <si>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</si>
  <si>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</si>
  <si>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</si>
  <si>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</si>
  <si>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Choose the source from which the data were compiled (ICCAT codes)</t>
  </si>
  <si>
    <t>Choisir la source à partir de laquelle les données ont été compilées (codes ICCAT)</t>
  </si>
  <si>
    <t>Total catch in the sampling unit from which the sample was taken</t>
  </si>
  <si>
    <t>Prise totale dans l'unité d'échantillonnage de laquelle l'échantillon a été prélevé</t>
  </si>
  <si>
    <t>Captura total en la unidad de muestreo de la que se tomó la muestra</t>
  </si>
  <si>
    <t>Enter unique numbers (ordered) for each sampling unit. They must delimit the rows belonging to each sample in a given stratum. It is optional and can be left "blank"</t>
  </si>
  <si>
    <t>Saisir les numéros uniques (classés) pour chaque unité d'échantillonnage. Ils doivent délimiter les rangées appartenant à chaque échantillon dans une strate donnée. Facultatif, la cellule peut rester vide</t>
  </si>
  <si>
    <t>Introducir números únicos (ordenados) para cada unidad de muestreo. Deben delimitar las hileras correspondientes a cada muestra en un estrato determinado. Es opcional y puede dejarse en blanco</t>
  </si>
  <si>
    <t>Mois au cours duquel l'échantillon a été mesuré</t>
  </si>
  <si>
    <t>Total weight (kg) of the fish sampled in the sampling unit</t>
  </si>
  <si>
    <t>Poids total (kg) des poissons échantillonnés dans l'unité d'échantillonnage</t>
  </si>
  <si>
    <t>Peso total (kg) de los ejemplares muestreados en la unidad de muestreo</t>
  </si>
  <si>
    <t>Total number of fish sampled in the sampling unit</t>
  </si>
  <si>
    <t>Nombre total de poissons échantillonnés dans l'unité d'échantillonnage</t>
  </si>
  <si>
    <t>Número total de ejemplares muestreados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</si>
  <si>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</si>
  <si>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</si>
  <si>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</si>
  <si>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muestreado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</si>
  <si>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</si>
  <si>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</si>
  <si>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</si>
  <si>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</si>
  <si>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</si>
  <si>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</si>
  <si>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</si>
  <si>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</si>
  <si>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</si>
  <si>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</si>
  <si>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</si>
  <si>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</si>
  <si>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</si>
  <si>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Sub-form</t>
  </si>
  <si>
    <t>Sous-formulaire</t>
  </si>
  <si>
    <t>Subformulario</t>
  </si>
  <si>
    <t>Field (format)</t>
  </si>
  <si>
    <t>Champ (format)</t>
  </si>
  <si>
    <t>Campo (formato)</t>
  </si>
  <si>
    <t>Field (name)</t>
  </si>
  <si>
    <t>Champ (nom)</t>
  </si>
  <si>
    <t>Campo (nombre)</t>
  </si>
  <si>
    <t>SC08</t>
  </si>
  <si>
    <t>Statistical Correspondent</t>
  </si>
  <si>
    <t>Flota ID</t>
  </si>
  <si>
    <t>Año (calendario)</t>
  </si>
  <si>
    <t>Type de capture (cod)</t>
  </si>
  <si>
    <t>Tipo de captura (cód)</t>
  </si>
  <si>
    <t>Área muestreo (cod)</t>
  </si>
  <si>
    <t>T. Cuadrícula (cód)</t>
  </si>
  <si>
    <t>Unidad muestro ID (SU)</t>
  </si>
  <si>
    <t>hProdTypeCd</t>
  </si>
  <si>
    <t>nr</t>
  </si>
  <si>
    <t>kg</t>
  </si>
  <si>
    <t>T03</t>
  </si>
  <si>
    <t>ST04A</t>
  </si>
  <si>
    <t>id</t>
  </si>
  <si>
    <t>FlagCode</t>
  </si>
  <si>
    <t>StatusCPC</t>
  </si>
  <si>
    <t>CZ</t>
  </si>
  <si>
    <t>FIN</t>
  </si>
  <si>
    <t>FI</t>
  </si>
  <si>
    <t>LUX</t>
  </si>
  <si>
    <t>LU</t>
  </si>
  <si>
    <t>SVK</t>
  </si>
  <si>
    <t>SK</t>
  </si>
  <si>
    <t>Bosnia and Herzegovina</t>
  </si>
  <si>
    <t>BIH</t>
  </si>
  <si>
    <t>BA</t>
  </si>
  <si>
    <t>Isle of Man</t>
  </si>
  <si>
    <t>IMN</t>
  </si>
  <si>
    <t>IM</t>
  </si>
  <si>
    <t>Mongolia</t>
  </si>
  <si>
    <t>MNG</t>
  </si>
  <si>
    <t>MN</t>
  </si>
  <si>
    <t>MKD</t>
  </si>
  <si>
    <t>MK</t>
  </si>
  <si>
    <t>SpeciesCode</t>
  </si>
  <si>
    <t>Kajikia albida</t>
  </si>
  <si>
    <t xml:space="preserve">Inshore manta ray </t>
  </si>
  <si>
    <t>Mobula japonica</t>
  </si>
  <si>
    <t>GearCode</t>
  </si>
  <si>
    <t>SampleUnitCode</t>
  </si>
  <si>
    <t>DataSourceCode</t>
  </si>
  <si>
    <t>SampLocatCode</t>
  </si>
  <si>
    <t>SchoolTypeCode</t>
  </si>
  <si>
    <t>FreqTypeCode</t>
  </si>
  <si>
    <t>ProdTypeCode</t>
  </si>
  <si>
    <t>ClassLimitCode</t>
  </si>
  <si>
    <t>CatchTypeCode</t>
  </si>
  <si>
    <t>SA = Sampling areas (species based) of ICCAT</t>
  </si>
  <si>
    <t>ContentCode</t>
  </si>
  <si>
    <t>NF</t>
  </si>
  <si>
    <t>NP</t>
  </si>
  <si>
    <t>RF</t>
  </si>
  <si>
    <t>RP</t>
  </si>
  <si>
    <t xml:space="preserve"> </t>
  </si>
  <si>
    <t>Qatar</t>
  </si>
  <si>
    <t>QAT</t>
  </si>
  <si>
    <t>QA</t>
  </si>
  <si>
    <t>Exact Lat/Lon position</t>
  </si>
  <si>
    <t>ICCAT sampling area</t>
  </si>
  <si>
    <t>TASK 2 - SIZE SAMPLING (tunas and sharks)</t>
  </si>
  <si>
    <t>TÂCHE 2 - ÉCHANTILLONNAGE DE TAILLE (thonidés et requins)</t>
  </si>
  <si>
    <t>TAREA 2 - MUESTREO DE TALLAS (túnidos y tiburones)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</si>
  <si>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</si>
  <si>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</si>
  <si>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</si>
  <si>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</si>
  <si>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</si>
  <si>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</si>
  <si>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</si>
  <si>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</si>
  <si>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</si>
  <si>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</si>
  <si>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</si>
  <si>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</si>
  <si>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</si>
  <si>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</si>
  <si>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</si>
  <si>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</si>
  <si>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</si>
  <si>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</si>
  <si>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</si>
  <si>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</si>
  <si>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</si>
  <si>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</si>
  <si>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</si>
  <si>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</si>
  <si>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</si>
  <si>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</si>
  <si>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</si>
  <si>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</si>
  <si>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</si>
  <si>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</si>
  <si>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</si>
  <si>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</si>
  <si>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</si>
  <si>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</si>
  <si>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</si>
  <si>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</si>
  <si>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</si>
  <si>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</si>
  <si>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</si>
  <si>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</si>
  <si>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</si>
  <si>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</si>
  <si>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</si>
  <si>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</si>
  <si>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</si>
  <si>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</si>
  <si>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</si>
  <si>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</si>
  <si>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</si>
  <si>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</si>
  <si>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</si>
  <si>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</si>
  <si>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</si>
  <si>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</si>
  <si>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</si>
  <si>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</si>
  <si>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</si>
  <si>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</si>
  <si>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</si>
  <si>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</si>
  <si>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</si>
  <si>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</si>
  <si>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</si>
  <si>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</si>
  <si>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</si>
  <si>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</si>
  <si>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</si>
  <si>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</si>
  <si>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</si>
  <si>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</si>
  <si>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</si>
  <si>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</si>
  <si>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</si>
  <si>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</si>
  <si>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</si>
  <si>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</si>
  <si>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</si>
  <si>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</si>
  <si>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</si>
  <si>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</si>
  <si>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</si>
  <si>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</si>
  <si>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</si>
  <si>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</si>
  <si>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</si>
  <si>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</si>
  <si>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</si>
  <si>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</si>
  <si>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</si>
  <si>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</si>
  <si>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</si>
  <si>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</si>
  <si>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</si>
  <si>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</si>
  <si>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</si>
  <si>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</si>
  <si>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</si>
  <si>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</si>
  <si>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</si>
  <si>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</si>
  <si>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</si>
  <si>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Straight fork length (old FL)</t>
  </si>
  <si>
    <t xml:space="preserve">Weight </t>
  </si>
  <si>
    <t>SLJFL</t>
  </si>
  <si>
    <t>Straight lower jaw fork length (old LJFL)</t>
  </si>
  <si>
    <t>Posterior edge of eye socket to Fork Length</t>
  </si>
  <si>
    <t>Curved Fork Length</t>
  </si>
  <si>
    <t>CLJFL</t>
  </si>
  <si>
    <t>Curved lower jaw fork length</t>
  </si>
  <si>
    <t>Head and Gutted (WGT)</t>
  </si>
  <si>
    <t>Türkiye</t>
  </si>
  <si>
    <t>2024a</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</si>
  <si>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</si>
  <si>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</si>
  <si>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</si>
  <si>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</si>
  <si>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</si>
  <si>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</si>
  <si>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</si>
  <si>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</si>
  <si>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</si>
  <si>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FleetSufix (old PortsZone)</t>
  </si>
  <si>
    <t>* Suffix "a" refers to the sub-version (revisions with minor corrections &amp; no changes in structure) within a year. Sequentially issued (a,b,...) if required (i.e.: 2024a, 2024b,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</si>
</sst>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0"/>
      <name val="Arial"/>
      <family val="2"/>
    </font>
    <font>
      <sz val="10"/>
      <name val="Arial"/>
      <family val="2"/>
    </font>
    <font>
      <sz val="10"/>
      <color indexed="8"/>
      <name val="Arial"/>
      <family val="2"/>
    </font>
    <font>
      <u/>
      <sz val="10"/>
      <color indexed="12"/>
      <name val="Arial"/>
      <family val="2"/>
    </font>
    <font>
      <b/>
      <sz val="9"/>
      <name val="Calibri"/>
      <family val="2"/>
      <scheme val="minor"/>
    </font>
    <font>
      <sz val="9"/>
      <name val="Calibri"/>
      <family val="2"/>
      <scheme val="minor"/>
    </font>
    <font>
      <sz val="10"/>
      <color theme="1"/>
      <name val="Calibri"/>
      <family val="2"/>
      <scheme val="minor"/>
    </font>
    <font>
      <sz val="9"/>
      <color theme="1"/>
      <name val="Calibri"/>
      <family val="2"/>
      <scheme val="minor"/>
    </font>
    <font>
      <b/>
      <sz val="8"/>
      <name val="Calibri"/>
      <family val="2"/>
      <scheme val="minor"/>
    </font>
    <font>
      <b/>
      <u/>
      <sz val="9"/>
      <color indexed="10"/>
      <name val="Calibri"/>
      <family val="2"/>
      <scheme val="minor"/>
    </font>
    <font>
      <sz val="9"/>
      <color indexed="8"/>
      <name val="Calibri"/>
      <family val="2"/>
      <scheme val="minor"/>
    </font>
    <font>
      <b/>
      <sz val="9"/>
      <color theme="1"/>
      <name val="Calibri"/>
      <family val="2"/>
      <scheme val="minor"/>
    </font>
    <font>
      <b/>
      <sz val="1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sz val="9"/>
      <name val="Calibri"/>
      <family val="2"/>
    </font>
    <font>
      <b/>
      <sz val="14"/>
      <color rgb="FF0070C0"/>
      <name val="Calibri"/>
      <family val="2"/>
    </font>
    <font>
      <sz val="8"/>
      <name val="Calibri"/>
      <family val="2"/>
      <scheme val="minor"/>
    </font>
    <font>
      <b/>
      <sz val="8"/>
      <color theme="0"/>
      <name val="Calibri"/>
      <family val="2"/>
      <scheme val="minor"/>
    </font>
    <font>
      <sz val="8"/>
      <color theme="1"/>
      <name val="Calibri"/>
      <family val="2"/>
      <scheme val="minor"/>
    </font>
    <font>
      <sz val="9"/>
      <color rgb="FFFF0000"/>
      <name val="Calibri"/>
      <family val="2"/>
      <scheme val="minor"/>
    </font>
    <font>
      <sz val="9"/>
      <color rgb="FF000000"/>
      <name val="Calibri"/>
      <family val="2"/>
      <scheme val="minor"/>
    </font>
    <font>
      <b/>
      <sz val="12"/>
      <name val="Calibri"/>
      <family val="2"/>
      <scheme val="minor"/>
    </font>
    <font>
      <sz val="8"/>
      <color indexed="8"/>
      <name val="Calibri"/>
      <family val="2"/>
    </font>
    <font>
      <sz val="10"/>
      <color indexed="8"/>
      <name val="Arial"/>
      <family val="2"/>
    </font>
    <font>
      <sz val="8"/>
      <color indexed="8"/>
      <name val="Calibri"/>
      <family val="2"/>
    </font>
    <font>
      <b/>
      <u/>
      <sz val="8"/>
      <name val="Calibri"/>
      <family val="2"/>
      <scheme val="minor"/>
    </font>
    <font>
      <b/>
      <sz val="8"/>
      <color rgb="FF0070C0"/>
      <name val="Calibri"/>
      <family val="2"/>
      <scheme val="minor"/>
    </font>
    <font>
      <u/>
      <sz val="8"/>
      <color indexed="12"/>
      <name val="Calibri"/>
      <family val="2"/>
      <scheme val="minor"/>
    </font>
    <font>
      <u/>
      <sz val="8"/>
      <name val="Calibri"/>
      <family val="2"/>
      <scheme val="minor"/>
    </font>
    <font>
      <b/>
      <sz val="8"/>
      <color rgb="FFFF0000"/>
      <name val="Calibri"/>
      <family val="2"/>
      <scheme val="minor"/>
    </font>
    <font>
      <b/>
      <sz val="8"/>
      <color rgb="FF00B050"/>
      <name val="Calibri"/>
      <family val="2"/>
      <scheme val="minor"/>
    </font>
    <font>
      <sz val="8"/>
      <color theme="0" tint="-4.9989318521683403E-2"/>
      <name val="Calibri"/>
      <family val="2"/>
      <scheme val="minor"/>
    </font>
    <font>
      <sz val="9"/>
      <name val="Times New Roman"/>
      <family val="1"/>
    </font>
    <font>
      <sz val="9"/>
      <color rgb="FFFF0000"/>
      <name val="Times New Roman"/>
      <family val="1"/>
    </font>
    <font>
      <sz val="9"/>
      <color rgb="FF00000A"/>
      <name val="Times New Roman"/>
      <family val="1"/>
    </font>
    <font>
      <sz val="9"/>
      <color rgb="FF00B0F0"/>
      <name val="Calibri"/>
      <family val="2"/>
      <scheme val="minor"/>
    </font>
    <font>
      <sz val="9"/>
      <color indexed="8"/>
      <name val="Calibri"/>
      <family val="2"/>
    </font>
  </fonts>
  <fills count="17">
    <fill>
      <patternFill patternType="none"/>
    </fill>
    <fill>
      <patternFill patternType="gray125"/>
    </fill>
    <fill>
      <patternFill patternType="solid">
        <fgColor theme="9" tint="0.79998168889431442"/>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indexed="8"/>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6" tint="0.59999389629810485"/>
        <bgColor indexed="0"/>
      </patternFill>
    </fill>
    <fill>
      <patternFill patternType="solid">
        <fgColor theme="7" tint="0.79998168889431442"/>
        <bgColor theme="7" tint="0.79998168889431442"/>
      </patternFill>
    </fill>
  </fills>
  <borders count="27">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right/>
      <top style="thin">
        <color indexed="64"/>
      </top>
      <bottom style="thin">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7" tint="0.39997558519241921"/>
      </right>
      <top style="thin">
        <color theme="8"/>
      </top>
      <bottom style="thin">
        <color theme="7" tint="0.39997558519241921"/>
      </bottom>
      <diagonal/>
    </border>
    <border>
      <left/>
      <right style="thin">
        <color indexed="22"/>
      </right>
      <top/>
      <bottom/>
      <diagonal/>
    </border>
    <border>
      <left/>
      <right style="thin">
        <color theme="8"/>
      </right>
      <top style="thin">
        <color theme="8"/>
      </top>
      <bottom style="thin">
        <color theme="7" tint="0.39997558519241921"/>
      </bottom>
      <diagonal/>
    </border>
  </borders>
  <cellStyleXfs count="8">
    <xf numFmtId="0" fontId="0" fillId="0" borderId="0"/>
    <xf numFmtId="0" fontId="1" fillId="0" borderId="0"/>
    <xf numFmtId="0" fontId="2" fillId="0" borderId="0"/>
    <xf numFmtId="0" fontId="3" fillId="0" borderId="0"/>
    <xf numFmtId="0" fontId="3" fillId="0" borderId="0"/>
    <xf numFmtId="0" fontId="4" fillId="0" borderId="0" applyNumberFormat="0" applyFill="0" applyBorder="0" applyAlignment="0" applyProtection="0">
      <alignment vertical="top"/>
      <protection locked="0"/>
    </xf>
    <xf numFmtId="0" fontId="29" fillId="0" borderId="0"/>
    <xf numFmtId="0" fontId="3" fillId="0" borderId="0"/>
  </cellStyleXfs>
  <cellXfs count="340">
    <xf numFmtId="0" fontId="0" fillId="0" borderId="0" xfId="0"/>
    <xf numFmtId="0" fontId="8" fillId="0" borderId="0" xfId="0" applyFont="1" applyProtection="1">
      <protection hidden="1"/>
    </xf>
    <xf numFmtId="0" fontId="8" fillId="0" borderId="0" xfId="0" applyFont="1" applyProtection="1">
      <protection locked="0"/>
    </xf>
    <xf numFmtId="0" fontId="6" fillId="0" borderId="0" xfId="1" applyFont="1" applyProtection="1">
      <protection hidden="1"/>
    </xf>
    <xf numFmtId="0" fontId="10" fillId="0" borderId="0" xfId="1" applyFont="1" applyAlignment="1" applyProtection="1">
      <alignment vertical="top"/>
      <protection hidden="1"/>
    </xf>
    <xf numFmtId="0" fontId="11" fillId="0" borderId="10" xfId="1" applyFont="1" applyBorder="1" applyAlignment="1" applyProtection="1">
      <alignment horizontal="center" vertical="top"/>
      <protection hidden="1"/>
    </xf>
    <xf numFmtId="0" fontId="11" fillId="0" borderId="0" xfId="1" applyFont="1" applyAlignment="1" applyProtection="1">
      <alignment vertical="top"/>
      <protection hidden="1"/>
    </xf>
    <xf numFmtId="0" fontId="11" fillId="0" borderId="11" xfId="1" applyFont="1" applyBorder="1" applyAlignment="1" applyProtection="1">
      <alignment vertical="top"/>
      <protection hidden="1"/>
    </xf>
    <xf numFmtId="0" fontId="6" fillId="0" borderId="10" xfId="1" applyFont="1" applyBorder="1" applyProtection="1">
      <protection hidden="1"/>
    </xf>
    <xf numFmtId="0" fontId="6" fillId="0" borderId="11" xfId="1" applyFont="1" applyBorder="1" applyProtection="1">
      <protection hidden="1"/>
    </xf>
    <xf numFmtId="0" fontId="11" fillId="0" borderId="4" xfId="1" applyFont="1" applyBorder="1" applyAlignment="1" applyProtection="1">
      <alignment horizontal="center" vertical="top"/>
      <protection hidden="1"/>
    </xf>
    <xf numFmtId="0" fontId="11" fillId="0" borderId="3" xfId="1" applyFont="1" applyBorder="1" applyAlignment="1" applyProtection="1">
      <alignment vertical="top"/>
      <protection hidden="1"/>
    </xf>
    <xf numFmtId="0" fontId="11" fillId="0" borderId="2" xfId="1" applyFont="1" applyBorder="1" applyAlignment="1" applyProtection="1">
      <alignment vertical="top"/>
      <protection hidden="1"/>
    </xf>
    <xf numFmtId="0" fontId="6" fillId="0" borderId="4" xfId="1" applyFont="1" applyBorder="1" applyProtection="1">
      <protection hidden="1"/>
    </xf>
    <xf numFmtId="0" fontId="6" fillId="7" borderId="2" xfId="1" applyFont="1" applyFill="1" applyBorder="1" applyProtection="1">
      <protection hidden="1"/>
    </xf>
    <xf numFmtId="0" fontId="6" fillId="0" borderId="0" xfId="1" applyFont="1" applyAlignment="1" applyProtection="1">
      <alignment vertical="top"/>
      <protection hidden="1"/>
    </xf>
    <xf numFmtId="0" fontId="6" fillId="0" borderId="10" xfId="1" applyFont="1" applyBorder="1" applyAlignment="1" applyProtection="1">
      <alignment vertical="top"/>
      <protection hidden="1"/>
    </xf>
    <xf numFmtId="0" fontId="6" fillId="0" borderId="11" xfId="1" applyFont="1" applyBorder="1" applyAlignment="1" applyProtection="1">
      <alignment vertical="top"/>
      <protection hidden="1"/>
    </xf>
    <xf numFmtId="0" fontId="6" fillId="0" borderId="4" xfId="1" applyFont="1" applyBorder="1" applyAlignment="1" applyProtection="1">
      <alignment vertical="top"/>
      <protection hidden="1"/>
    </xf>
    <xf numFmtId="0" fontId="6" fillId="7" borderId="2" xfId="1" applyFont="1" applyFill="1" applyBorder="1" applyAlignment="1" applyProtection="1">
      <alignment vertical="top"/>
      <protection hidden="1"/>
    </xf>
    <xf numFmtId="0" fontId="11" fillId="0" borderId="4" xfId="1" applyFont="1" applyBorder="1" applyAlignment="1" applyProtection="1">
      <alignment vertical="top"/>
      <protection hidden="1"/>
    </xf>
    <xf numFmtId="0" fontId="11" fillId="0" borderId="10" xfId="1" applyFont="1" applyBorder="1" applyAlignment="1" applyProtection="1">
      <alignment vertical="top"/>
      <protection hidden="1"/>
    </xf>
    <xf numFmtId="0" fontId="6" fillId="0" borderId="2" xfId="1" applyFont="1" applyBorder="1" applyProtection="1">
      <protection hidden="1"/>
    </xf>
    <xf numFmtId="0" fontId="6" fillId="0" borderId="0" xfId="2" applyFont="1" applyAlignment="1" applyProtection="1">
      <alignment vertical="top" wrapText="1"/>
      <protection hidden="1"/>
    </xf>
    <xf numFmtId="0" fontId="6" fillId="0" borderId="0" xfId="0" applyFont="1" applyAlignment="1" applyProtection="1">
      <alignment vertical="top" wrapText="1"/>
      <protection hidden="1"/>
    </xf>
    <xf numFmtId="0" fontId="6" fillId="0" borderId="13"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6" fillId="0" borderId="1" xfId="0" applyFont="1" applyBorder="1" applyAlignment="1" applyProtection="1">
      <alignment vertical="top" wrapText="1"/>
      <protection hidden="1"/>
    </xf>
    <xf numFmtId="0" fontId="6" fillId="0" borderId="13" xfId="2" applyFont="1" applyBorder="1" applyAlignment="1" applyProtection="1">
      <alignment vertical="top" wrapText="1"/>
      <protection hidden="1"/>
    </xf>
    <xf numFmtId="0" fontId="6" fillId="0" borderId="5" xfId="2" applyFont="1" applyBorder="1" applyAlignment="1" applyProtection="1">
      <alignment vertical="top" wrapText="1"/>
      <protection hidden="1"/>
    </xf>
    <xf numFmtId="0" fontId="6" fillId="0" borderId="9" xfId="2" applyFont="1" applyBorder="1" applyAlignment="1" applyProtection="1">
      <alignment vertical="top" wrapText="1"/>
      <protection hidden="1"/>
    </xf>
    <xf numFmtId="0" fontId="6" fillId="0" borderId="1" xfId="2" applyFont="1" applyBorder="1" applyAlignment="1" applyProtection="1">
      <alignment vertical="top" wrapText="1"/>
      <protection hidden="1"/>
    </xf>
    <xf numFmtId="0" fontId="6" fillId="0" borderId="6" xfId="2" applyFont="1" applyBorder="1" applyAlignment="1" applyProtection="1">
      <alignment vertical="top" wrapText="1"/>
      <protection hidden="1"/>
    </xf>
    <xf numFmtId="0" fontId="6" fillId="0" borderId="11" xfId="2" applyFont="1" applyBorder="1" applyAlignment="1" applyProtection="1">
      <alignment vertical="top" wrapText="1"/>
      <protection hidden="1"/>
    </xf>
    <xf numFmtId="0" fontId="6" fillId="0" borderId="12" xfId="2" applyFont="1" applyBorder="1" applyAlignment="1" applyProtection="1">
      <alignment vertical="top" wrapText="1"/>
      <protection hidden="1"/>
    </xf>
    <xf numFmtId="0" fontId="6" fillId="0" borderId="2" xfId="2" applyFont="1" applyBorder="1" applyAlignment="1" applyProtection="1">
      <alignment vertical="top" wrapText="1"/>
      <protection hidden="1"/>
    </xf>
    <xf numFmtId="0" fontId="18" fillId="0" borderId="2" xfId="0" applyFont="1" applyBorder="1" applyAlignment="1" applyProtection="1">
      <alignment horizontal="center" vertical="center"/>
      <protection locked="0"/>
    </xf>
    <xf numFmtId="0" fontId="15" fillId="4" borderId="7" xfId="0" applyFont="1" applyFill="1" applyBorder="1" applyAlignment="1" applyProtection="1">
      <alignment horizontal="center" vertical="top"/>
      <protection hidden="1"/>
    </xf>
    <xf numFmtId="0" fontId="6" fillId="12" borderId="7" xfId="0" applyFont="1" applyFill="1" applyBorder="1" applyAlignment="1" applyProtection="1">
      <alignment vertical="top"/>
      <protection hidden="1"/>
    </xf>
    <xf numFmtId="0" fontId="8" fillId="12" borderId="7" xfId="0" applyFont="1" applyFill="1" applyBorder="1" applyAlignment="1" applyProtection="1">
      <alignment horizontal="center"/>
      <protection hidden="1"/>
    </xf>
    <xf numFmtId="0" fontId="6" fillId="12" borderId="8" xfId="0" applyFont="1" applyFill="1" applyBorder="1" applyAlignment="1" applyProtection="1">
      <alignment vertical="top"/>
      <protection hidden="1"/>
    </xf>
    <xf numFmtId="0" fontId="6" fillId="12" borderId="6" xfId="0" applyFont="1" applyFill="1" applyBorder="1" applyAlignment="1" applyProtection="1">
      <alignment vertical="top"/>
      <protection hidden="1"/>
    </xf>
    <xf numFmtId="0" fontId="6" fillId="0" borderId="10" xfId="0" applyFont="1" applyBorder="1" applyProtection="1">
      <protection hidden="1"/>
    </xf>
    <xf numFmtId="0" fontId="6" fillId="0" borderId="11" xfId="0" applyFont="1" applyBorder="1" applyProtection="1">
      <protection hidden="1"/>
    </xf>
    <xf numFmtId="0" fontId="6" fillId="0" borderId="4" xfId="0" applyFont="1" applyBorder="1" applyProtection="1">
      <protection hidden="1"/>
    </xf>
    <xf numFmtId="0" fontId="6" fillId="0" borderId="2" xfId="0" applyFont="1" applyBorder="1" applyProtection="1">
      <protection hidden="1"/>
    </xf>
    <xf numFmtId="0" fontId="5" fillId="14" borderId="13" xfId="0" applyFont="1" applyFill="1" applyBorder="1" applyAlignment="1" applyProtection="1">
      <alignment vertical="top" wrapText="1"/>
      <protection hidden="1"/>
    </xf>
    <xf numFmtId="0" fontId="5" fillId="14" borderId="5" xfId="0" applyFont="1" applyFill="1" applyBorder="1" applyAlignment="1" applyProtection="1">
      <alignment vertical="top" wrapText="1"/>
      <protection hidden="1"/>
    </xf>
    <xf numFmtId="0" fontId="5" fillId="14" borderId="8" xfId="0" applyFont="1" applyFill="1" applyBorder="1" applyAlignment="1" applyProtection="1">
      <alignment vertical="top" wrapText="1"/>
      <protection hidden="1"/>
    </xf>
    <xf numFmtId="0" fontId="5" fillId="14" borderId="6" xfId="0" applyFont="1" applyFill="1" applyBorder="1" applyAlignment="1" applyProtection="1">
      <alignment vertical="top" wrapText="1"/>
      <protection hidden="1"/>
    </xf>
    <xf numFmtId="0" fontId="6" fillId="0" borderId="0" xfId="2" applyFont="1" applyAlignment="1" applyProtection="1">
      <alignment horizontal="center" vertical="top" wrapText="1"/>
      <protection hidden="1"/>
    </xf>
    <xf numFmtId="0" fontId="5" fillId="14" borderId="7" xfId="0" applyFont="1" applyFill="1" applyBorder="1" applyAlignment="1" applyProtection="1">
      <alignment horizontal="center" vertical="top" wrapText="1"/>
      <protection hidden="1"/>
    </xf>
    <xf numFmtId="0" fontId="6" fillId="0" borderId="14" xfId="0" applyFont="1" applyBorder="1" applyAlignment="1" applyProtection="1">
      <alignment horizontal="center" vertical="top" wrapText="1"/>
      <protection hidden="1"/>
    </xf>
    <xf numFmtId="0" fontId="22" fillId="0" borderId="0" xfId="1" applyFont="1" applyAlignment="1" applyProtection="1">
      <alignment vertical="top" wrapText="1"/>
      <protection hidden="1"/>
    </xf>
    <xf numFmtId="0" fontId="22" fillId="0" borderId="0" xfId="1" applyFont="1" applyAlignment="1" applyProtection="1">
      <alignment vertical="top"/>
      <protection hidden="1"/>
    </xf>
    <xf numFmtId="0" fontId="22" fillId="0" borderId="0" xfId="2" applyFont="1" applyAlignment="1" applyProtection="1">
      <alignment vertical="top" wrapText="1"/>
      <protection hidden="1"/>
    </xf>
    <xf numFmtId="0" fontId="11" fillId="12" borderId="8" xfId="1" applyFont="1" applyFill="1" applyBorder="1" applyAlignment="1" applyProtection="1">
      <alignment horizontal="center" vertical="top"/>
      <protection hidden="1"/>
    </xf>
    <xf numFmtId="0" fontId="11" fillId="12" borderId="7" xfId="1" applyFont="1" applyFill="1" applyBorder="1" applyAlignment="1" applyProtection="1">
      <alignment horizontal="center" vertical="top"/>
      <protection hidden="1"/>
    </xf>
    <xf numFmtId="0" fontId="11" fillId="12" borderId="6" xfId="1" applyFont="1" applyFill="1" applyBorder="1" applyAlignment="1" applyProtection="1">
      <alignment horizontal="center" vertical="top"/>
      <protection hidden="1"/>
    </xf>
    <xf numFmtId="0" fontId="6" fillId="12" borderId="8" xfId="1" applyFont="1" applyFill="1" applyBorder="1" applyAlignment="1" applyProtection="1">
      <alignment vertical="top"/>
      <protection hidden="1"/>
    </xf>
    <xf numFmtId="0" fontId="6" fillId="12" borderId="6" xfId="1" applyFont="1" applyFill="1" applyBorder="1" applyAlignment="1" applyProtection="1">
      <alignment vertical="top"/>
      <protection hidden="1"/>
    </xf>
    <xf numFmtId="0" fontId="6" fillId="12" borderId="5" xfId="1" applyFont="1" applyFill="1" applyBorder="1" applyProtection="1">
      <protection hidden="1"/>
    </xf>
    <xf numFmtId="0" fontId="11" fillId="12" borderId="8" xfId="1" applyFont="1" applyFill="1" applyBorder="1" applyAlignment="1" applyProtection="1">
      <alignment vertical="top"/>
      <protection hidden="1"/>
    </xf>
    <xf numFmtId="0" fontId="11" fillId="12" borderId="6" xfId="1" applyFont="1" applyFill="1" applyBorder="1" applyAlignment="1" applyProtection="1">
      <alignment vertical="top"/>
      <protection hidden="1"/>
    </xf>
    <xf numFmtId="0" fontId="15" fillId="4" borderId="6" xfId="0" applyFont="1" applyFill="1" applyBorder="1" applyAlignment="1" applyProtection="1">
      <alignment horizontal="center" vertical="top"/>
      <protection hidden="1"/>
    </xf>
    <xf numFmtId="0" fontId="23" fillId="9" borderId="15" xfId="0" applyFont="1" applyFill="1" applyBorder="1" applyAlignment="1" applyProtection="1">
      <alignment vertical="top" wrapText="1"/>
      <protection hidden="1"/>
    </xf>
    <xf numFmtId="0" fontId="23" fillId="9" borderId="16" xfId="0" applyFont="1" applyFill="1" applyBorder="1" applyAlignment="1" applyProtection="1">
      <alignment vertical="top" wrapText="1"/>
      <protection hidden="1"/>
    </xf>
    <xf numFmtId="0" fontId="23" fillId="9" borderId="17" xfId="0" applyFont="1" applyFill="1" applyBorder="1" applyAlignment="1" applyProtection="1">
      <alignment vertical="top" wrapText="1"/>
      <protection hidden="1"/>
    </xf>
    <xf numFmtId="0" fontId="7" fillId="0" borderId="0" xfId="0" applyFont="1" applyAlignment="1" applyProtection="1">
      <alignment vertical="top"/>
      <protection hidden="1"/>
    </xf>
    <xf numFmtId="0" fontId="5" fillId="10" borderId="13" xfId="0" applyFont="1" applyFill="1" applyBorder="1" applyAlignment="1" applyProtection="1">
      <alignment vertical="top"/>
      <protection hidden="1"/>
    </xf>
    <xf numFmtId="0" fontId="6" fillId="0" borderId="9" xfId="0" applyFont="1" applyBorder="1" applyAlignment="1" applyProtection="1">
      <alignment horizontal="center"/>
      <protection hidden="1"/>
    </xf>
    <xf numFmtId="0" fontId="6" fillId="0" borderId="5" xfId="0" applyFont="1" applyBorder="1" applyAlignment="1" applyProtection="1">
      <alignment horizontal="center"/>
      <protection hidden="1"/>
    </xf>
    <xf numFmtId="0" fontId="25" fillId="0" borderId="9" xfId="0" applyFont="1" applyBorder="1" applyAlignment="1" applyProtection="1">
      <alignment horizontal="center"/>
      <protection hidden="1"/>
    </xf>
    <xf numFmtId="0" fontId="6" fillId="0" borderId="1" xfId="0" applyFont="1" applyBorder="1" applyAlignment="1" applyProtection="1">
      <alignment horizontal="center"/>
      <protection hidden="1"/>
    </xf>
    <xf numFmtId="0" fontId="8" fillId="12" borderId="8" xfId="0" applyFont="1" applyFill="1" applyBorder="1" applyProtection="1">
      <protection hidden="1"/>
    </xf>
    <xf numFmtId="0" fontId="8" fillId="12" borderId="7" xfId="0" applyFont="1" applyFill="1" applyBorder="1" applyAlignment="1" applyProtection="1">
      <alignment horizontal="center" vertical="top"/>
      <protection hidden="1"/>
    </xf>
    <xf numFmtId="0" fontId="8" fillId="12" borderId="6" xfId="0" applyFont="1" applyFill="1" applyBorder="1" applyAlignment="1" applyProtection="1">
      <alignment horizontal="center" vertical="top"/>
      <protection hidden="1"/>
    </xf>
    <xf numFmtId="0" fontId="9" fillId="4" borderId="0" xfId="0" applyFont="1" applyFill="1" applyAlignment="1" applyProtection="1">
      <alignment horizontal="left" vertical="top"/>
      <protection hidden="1"/>
    </xf>
    <xf numFmtId="0" fontId="6" fillId="0" borderId="0" xfId="0" applyFont="1" applyAlignment="1" applyProtection="1">
      <alignment vertical="top"/>
      <protection hidden="1"/>
    </xf>
    <xf numFmtId="0" fontId="8" fillId="0" borderId="0" xfId="0" applyFont="1" applyAlignment="1" applyProtection="1">
      <alignment vertical="top"/>
      <protection hidden="1"/>
    </xf>
    <xf numFmtId="0" fontId="5" fillId="10" borderId="13" xfId="0" applyFont="1" applyFill="1" applyBorder="1" applyAlignment="1" applyProtection="1">
      <alignment vertical="top" wrapText="1"/>
      <protection hidden="1"/>
    </xf>
    <xf numFmtId="0" fontId="5" fillId="10" borderId="12" xfId="0" applyFont="1" applyFill="1" applyBorder="1" applyAlignment="1" applyProtection="1">
      <alignment vertical="top"/>
      <protection hidden="1"/>
    </xf>
    <xf numFmtId="0" fontId="6" fillId="0" borderId="7" xfId="0" applyFont="1" applyBorder="1" applyAlignment="1" applyProtection="1">
      <alignment horizontal="center" vertical="top"/>
      <protection hidden="1"/>
    </xf>
    <xf numFmtId="0" fontId="26" fillId="0" borderId="7" xfId="0" applyFont="1" applyBorder="1" applyAlignment="1" applyProtection="1">
      <alignment vertical="top" wrapText="1" readingOrder="1"/>
      <protection hidden="1"/>
    </xf>
    <xf numFmtId="0" fontId="6" fillId="0" borderId="7" xfId="0" applyFont="1" applyBorder="1" applyAlignment="1" applyProtection="1">
      <alignment vertical="top"/>
      <protection hidden="1"/>
    </xf>
    <xf numFmtId="0" fontId="6" fillId="0" borderId="6" xfId="0" applyFont="1" applyBorder="1" applyAlignment="1" applyProtection="1">
      <alignment horizontal="center" vertical="top"/>
      <protection hidden="1"/>
    </xf>
    <xf numFmtId="0" fontId="6" fillId="0" borderId="0" xfId="0" applyFont="1" applyAlignment="1" applyProtection="1">
      <alignment horizontal="center" vertical="top"/>
      <protection hidden="1"/>
    </xf>
    <xf numFmtId="0" fontId="26" fillId="0" borderId="0" xfId="0" applyFont="1" applyAlignment="1" applyProtection="1">
      <alignment vertical="top" wrapText="1" readingOrder="1"/>
      <protection hidden="1"/>
    </xf>
    <xf numFmtId="0" fontId="6" fillId="0" borderId="11" xfId="0" applyFont="1" applyBorder="1" applyAlignment="1" applyProtection="1">
      <alignment horizontal="center" vertical="top"/>
      <protection hidden="1"/>
    </xf>
    <xf numFmtId="0" fontId="6" fillId="0" borderId="3" xfId="0" applyFont="1" applyBorder="1" applyAlignment="1" applyProtection="1">
      <alignment horizontal="center" vertical="top"/>
      <protection hidden="1"/>
    </xf>
    <xf numFmtId="0" fontId="26" fillId="0" borderId="3" xfId="0" applyFont="1" applyBorder="1" applyAlignment="1" applyProtection="1">
      <alignment vertical="top" wrapText="1" readingOrder="1"/>
      <protection hidden="1"/>
    </xf>
    <xf numFmtId="0" fontId="6" fillId="0" borderId="3" xfId="0" applyFont="1" applyBorder="1" applyAlignment="1" applyProtection="1">
      <alignment vertical="top"/>
      <protection hidden="1"/>
    </xf>
    <xf numFmtId="0" fontId="6" fillId="0" borderId="2" xfId="0" applyFont="1" applyBorder="1" applyAlignment="1" applyProtection="1">
      <alignment horizontal="center" vertical="top"/>
      <protection hidden="1"/>
    </xf>
    <xf numFmtId="0" fontId="6" fillId="0" borderId="7" xfId="0" applyFont="1" applyBorder="1" applyAlignment="1" applyProtection="1">
      <alignment vertical="top" wrapText="1" readingOrder="1"/>
      <protection hidden="1"/>
    </xf>
    <xf numFmtId="0" fontId="6" fillId="0" borderId="7" xfId="0" applyFont="1" applyBorder="1" applyAlignment="1" applyProtection="1">
      <alignment horizontal="left" vertical="top" readingOrder="1"/>
      <protection hidden="1"/>
    </xf>
    <xf numFmtId="0" fontId="6" fillId="0" borderId="0" xfId="0" applyFont="1" applyAlignment="1" applyProtection="1">
      <alignment vertical="top" wrapText="1" readingOrder="1"/>
      <protection hidden="1"/>
    </xf>
    <xf numFmtId="0" fontId="6" fillId="0" borderId="0" xfId="0" applyFont="1" applyAlignment="1" applyProtection="1">
      <alignment horizontal="left" vertical="top" readingOrder="1"/>
      <protection hidden="1"/>
    </xf>
    <xf numFmtId="0" fontId="25" fillId="0" borderId="11" xfId="0" applyFont="1" applyBorder="1" applyAlignment="1" applyProtection="1">
      <alignment horizontal="center" vertical="top"/>
      <protection hidden="1"/>
    </xf>
    <xf numFmtId="0" fontId="6" fillId="0" borderId="3" xfId="0" applyFont="1" applyBorder="1" applyAlignment="1" applyProtection="1">
      <alignment vertical="top" wrapText="1" readingOrder="1"/>
      <protection hidden="1"/>
    </xf>
    <xf numFmtId="0" fontId="24" fillId="0" borderId="0" xfId="0" applyFont="1" applyProtection="1">
      <protection hidden="1"/>
    </xf>
    <xf numFmtId="0" fontId="32" fillId="4" borderId="7" xfId="0" applyFont="1" applyFill="1" applyBorder="1" applyAlignment="1" applyProtection="1">
      <alignment horizontal="left" vertical="top" shrinkToFit="1"/>
      <protection hidden="1"/>
    </xf>
    <xf numFmtId="0" fontId="22" fillId="4" borderId="7" xfId="0" applyFont="1" applyFill="1" applyBorder="1" applyAlignment="1" applyProtection="1">
      <alignment shrinkToFit="1"/>
      <protection hidden="1"/>
    </xf>
    <xf numFmtId="0" fontId="22" fillId="0" borderId="0" xfId="0" applyFont="1" applyAlignment="1" applyProtection="1">
      <alignment vertical="top"/>
      <protection hidden="1"/>
    </xf>
    <xf numFmtId="14" fontId="35" fillId="4" borderId="0" xfId="0" applyNumberFormat="1" applyFont="1" applyFill="1" applyAlignment="1" applyProtection="1">
      <alignment vertical="top" shrinkToFit="1"/>
      <protection hidden="1"/>
    </xf>
    <xf numFmtId="0" fontId="22" fillId="4" borderId="0" xfId="0" applyFont="1" applyFill="1" applyAlignment="1" applyProtection="1">
      <alignment shrinkToFit="1"/>
      <protection hidden="1"/>
    </xf>
    <xf numFmtId="0" fontId="22" fillId="4" borderId="5" xfId="0" applyFont="1" applyFill="1" applyBorder="1" applyAlignment="1" applyProtection="1">
      <alignment horizontal="center" shrinkToFit="1"/>
      <protection hidden="1"/>
    </xf>
    <xf numFmtId="49" fontId="22" fillId="4" borderId="0" xfId="0" applyNumberFormat="1" applyFont="1" applyFill="1" applyAlignment="1" applyProtection="1">
      <alignment vertical="top"/>
      <protection hidden="1"/>
    </xf>
    <xf numFmtId="0" fontId="9" fillId="4" borderId="0" xfId="0" applyFont="1" applyFill="1" applyAlignment="1" applyProtection="1">
      <alignment vertical="top" shrinkToFit="1"/>
      <protection hidden="1"/>
    </xf>
    <xf numFmtId="0" fontId="22" fillId="4" borderId="0" xfId="0" applyFont="1" applyFill="1" applyAlignment="1" applyProtection="1">
      <alignment horizontal="right" shrinkToFit="1"/>
      <protection hidden="1"/>
    </xf>
    <xf numFmtId="0" fontId="22" fillId="5" borderId="9" xfId="0" applyFont="1" applyFill="1" applyBorder="1" applyAlignment="1" applyProtection="1">
      <alignment horizontal="center" shrinkToFit="1"/>
      <protection locked="0"/>
    </xf>
    <xf numFmtId="0" fontId="33" fillId="4" borderId="0" xfId="5" applyNumberFormat="1" applyFont="1" applyFill="1" applyBorder="1" applyAlignment="1" applyProtection="1">
      <alignment horizontal="right" vertical="top"/>
      <protection hidden="1"/>
    </xf>
    <xf numFmtId="0" fontId="22" fillId="4" borderId="4" xfId="0" applyFont="1" applyFill="1" applyBorder="1" applyAlignment="1" applyProtection="1">
      <alignment horizontal="right" vertical="top"/>
      <protection hidden="1"/>
    </xf>
    <xf numFmtId="0" fontId="22" fillId="4" borderId="3" xfId="0" applyFont="1" applyFill="1" applyBorder="1" applyAlignment="1" applyProtection="1">
      <alignment horizontal="right" vertical="top"/>
      <protection hidden="1"/>
    </xf>
    <xf numFmtId="0" fontId="34" fillId="4" borderId="3" xfId="0" applyFont="1" applyFill="1" applyBorder="1" applyAlignment="1" applyProtection="1">
      <alignment vertical="top"/>
      <protection hidden="1"/>
    </xf>
    <xf numFmtId="0" fontId="34" fillId="4" borderId="4" xfId="0" applyFont="1" applyFill="1" applyBorder="1" applyAlignment="1" applyProtection="1">
      <alignment vertical="top"/>
      <protection hidden="1"/>
    </xf>
    <xf numFmtId="0" fontId="22" fillId="4" borderId="7" xfId="0" applyFont="1" applyFill="1" applyBorder="1" applyAlignment="1" applyProtection="1">
      <alignment vertical="top"/>
      <protection hidden="1"/>
    </xf>
    <xf numFmtId="0" fontId="22" fillId="4" borderId="4" xfId="0" applyFont="1" applyFill="1" applyBorder="1" applyAlignment="1" applyProtection="1">
      <alignment vertical="top"/>
      <protection hidden="1"/>
    </xf>
    <xf numFmtId="0" fontId="22" fillId="0" borderId="0" xfId="0" quotePrefix="1" applyFont="1" applyAlignment="1" applyProtection="1">
      <alignment vertical="top"/>
      <protection hidden="1"/>
    </xf>
    <xf numFmtId="0" fontId="22" fillId="0" borderId="0" xfId="0" applyFont="1" applyAlignment="1" applyProtection="1">
      <alignment vertical="top" wrapText="1"/>
      <protection hidden="1"/>
    </xf>
    <xf numFmtId="0" fontId="38" fillId="0" borderId="0" xfId="1" applyFont="1" applyAlignment="1" applyProtection="1">
      <alignment vertical="top"/>
      <protection hidden="1"/>
    </xf>
    <xf numFmtId="0" fontId="39" fillId="0" borderId="0" xfId="1" applyFont="1" applyAlignment="1" applyProtection="1">
      <alignment vertical="top"/>
      <protection hidden="1"/>
    </xf>
    <xf numFmtId="0" fontId="22" fillId="0" borderId="3" xfId="0" applyFont="1" applyBorder="1" applyAlignment="1" applyProtection="1">
      <alignment vertical="top"/>
      <protection locked="0"/>
    </xf>
    <xf numFmtId="0" fontId="6" fillId="4" borderId="13" xfId="2" applyFont="1" applyFill="1" applyBorder="1" applyAlignment="1" applyProtection="1">
      <alignment vertical="top" wrapText="1"/>
      <protection hidden="1"/>
    </xf>
    <xf numFmtId="0" fontId="6" fillId="4" borderId="5" xfId="2" applyFont="1" applyFill="1" applyBorder="1" applyAlignment="1" applyProtection="1">
      <alignment vertical="top" wrapText="1"/>
      <protection hidden="1"/>
    </xf>
    <xf numFmtId="0" fontId="6" fillId="4" borderId="12" xfId="2" applyFont="1" applyFill="1" applyBorder="1" applyAlignment="1" applyProtection="1">
      <alignment vertical="top" wrapText="1"/>
      <protection hidden="1"/>
    </xf>
    <xf numFmtId="0" fontId="6" fillId="4" borderId="9" xfId="2" applyFont="1" applyFill="1" applyBorder="1" applyAlignment="1" applyProtection="1">
      <alignment vertical="top" wrapText="1"/>
      <protection hidden="1"/>
    </xf>
    <xf numFmtId="0" fontId="6" fillId="4" borderId="2" xfId="2" applyFont="1" applyFill="1" applyBorder="1" applyAlignment="1" applyProtection="1">
      <alignment vertical="top" wrapText="1"/>
      <protection hidden="1"/>
    </xf>
    <xf numFmtId="0" fontId="6" fillId="4" borderId="1" xfId="2" applyFont="1" applyFill="1" applyBorder="1" applyAlignment="1" applyProtection="1">
      <alignment vertical="top" wrapText="1"/>
      <protection hidden="1"/>
    </xf>
    <xf numFmtId="0" fontId="22" fillId="4" borderId="0" xfId="0" applyFont="1" applyFill="1" applyAlignment="1" applyProtection="1">
      <alignment horizontal="center" vertical="top" wrapText="1"/>
      <protection hidden="1"/>
    </xf>
    <xf numFmtId="0" fontId="24" fillId="0" borderId="0" xfId="0" applyFont="1" applyProtection="1">
      <protection locked="0"/>
    </xf>
    <xf numFmtId="0" fontId="22" fillId="4" borderId="0" xfId="0" applyFont="1" applyFill="1" applyAlignment="1" applyProtection="1">
      <alignment vertical="top" shrinkToFit="1"/>
      <protection hidden="1"/>
    </xf>
    <xf numFmtId="1" fontId="22" fillId="0" borderId="0" xfId="0" applyNumberFormat="1" applyFont="1" applyAlignment="1" applyProtection="1">
      <alignment vertical="top" wrapText="1"/>
      <protection locked="0"/>
    </xf>
    <xf numFmtId="0" fontId="6" fillId="0" borderId="7" xfId="2" applyFont="1" applyBorder="1" applyAlignment="1" applyProtection="1">
      <alignment horizontal="center" vertical="top" wrapText="1"/>
      <protection hidden="1"/>
    </xf>
    <xf numFmtId="0" fontId="6" fillId="0" borderId="3" xfId="2" applyFont="1" applyBorder="1" applyAlignment="1" applyProtection="1">
      <alignment horizontal="center" vertical="top" wrapText="1"/>
      <protection hidden="1"/>
    </xf>
    <xf numFmtId="0" fontId="22" fillId="4" borderId="9" xfId="0" applyFont="1" applyFill="1" applyBorder="1" applyAlignment="1" applyProtection="1">
      <alignment horizontal="center" shrinkToFit="1"/>
      <protection hidden="1"/>
    </xf>
    <xf numFmtId="0" fontId="34" fillId="4" borderId="1" xfId="0" applyFont="1" applyFill="1" applyBorder="1" applyAlignment="1" applyProtection="1">
      <alignment vertical="top"/>
      <protection hidden="1"/>
    </xf>
    <xf numFmtId="0" fontId="22" fillId="4" borderId="2" xfId="0" applyFont="1" applyFill="1" applyBorder="1" applyAlignment="1" applyProtection="1">
      <alignment vertical="top"/>
      <protection hidden="1"/>
    </xf>
    <xf numFmtId="0" fontId="24" fillId="4" borderId="5" xfId="0" applyFont="1" applyFill="1" applyBorder="1" applyAlignment="1" applyProtection="1">
      <alignment horizontal="center"/>
      <protection hidden="1"/>
    </xf>
    <xf numFmtId="0" fontId="6" fillId="0" borderId="6" xfId="2" applyFont="1" applyBorder="1" applyAlignment="1" applyProtection="1">
      <alignment horizontal="center" vertical="top" wrapText="1"/>
      <protection hidden="1"/>
    </xf>
    <xf numFmtId="0" fontId="6" fillId="0" borderId="11" xfId="2" applyFont="1" applyBorder="1" applyAlignment="1" applyProtection="1">
      <alignment horizontal="center" vertical="top" wrapText="1"/>
      <protection hidden="1"/>
    </xf>
    <xf numFmtId="0" fontId="22" fillId="4" borderId="13" xfId="0" applyFont="1" applyFill="1" applyBorder="1" applyAlignment="1" applyProtection="1">
      <alignment horizontal="center" vertical="top" wrapText="1"/>
      <protection hidden="1"/>
    </xf>
    <xf numFmtId="0" fontId="33" fillId="4" borderId="3" xfId="5" applyFont="1" applyFill="1" applyBorder="1" applyAlignment="1" applyProtection="1">
      <alignment horizontal="right" vertical="top"/>
      <protection hidden="1"/>
    </xf>
    <xf numFmtId="0" fontId="34" fillId="4" borderId="10" xfId="0" applyFont="1" applyFill="1" applyBorder="1" applyAlignment="1" applyProtection="1">
      <alignment horizontal="right" vertical="top"/>
      <protection hidden="1"/>
    </xf>
    <xf numFmtId="0" fontId="22" fillId="5" borderId="0" xfId="0" applyFont="1" applyFill="1" applyAlignment="1" applyProtection="1">
      <alignment shrinkToFit="1"/>
      <protection locked="0"/>
    </xf>
    <xf numFmtId="0" fontId="6" fillId="0" borderId="3" xfId="0" applyFont="1" applyBorder="1" applyProtection="1">
      <protection hidden="1"/>
    </xf>
    <xf numFmtId="0" fontId="6" fillId="13" borderId="8" xfId="0" applyFont="1" applyFill="1" applyBorder="1" applyProtection="1">
      <protection hidden="1"/>
    </xf>
    <xf numFmtId="0" fontId="6" fillId="13" borderId="7" xfId="0" applyFont="1" applyFill="1" applyBorder="1" applyProtection="1">
      <protection hidden="1"/>
    </xf>
    <xf numFmtId="0" fontId="6" fillId="13" borderId="6" xfId="0" applyFont="1" applyFill="1" applyBorder="1" applyProtection="1">
      <protection hidden="1"/>
    </xf>
    <xf numFmtId="0" fontId="6" fillId="0" borderId="0" xfId="0" applyFont="1" applyProtection="1">
      <protection hidden="1"/>
    </xf>
    <xf numFmtId="0" fontId="6" fillId="2" borderId="11" xfId="0" applyFont="1" applyFill="1" applyBorder="1" applyProtection="1">
      <protection hidden="1"/>
    </xf>
    <xf numFmtId="0" fontId="6" fillId="2" borderId="2" xfId="0" applyFont="1" applyFill="1" applyBorder="1" applyProtection="1">
      <protection hidden="1"/>
    </xf>
    <xf numFmtId="0" fontId="22" fillId="4" borderId="3" xfId="0" applyFont="1" applyFill="1" applyBorder="1" applyAlignment="1" applyProtection="1">
      <alignment vertical="top"/>
      <protection hidden="1"/>
    </xf>
    <xf numFmtId="0" fontId="33" fillId="4" borderId="13" xfId="5"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33" fillId="4" borderId="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22" fillId="4" borderId="0" xfId="0" applyFont="1" applyFill="1" applyAlignment="1" applyProtection="1">
      <alignment horizontal="right" vertical="top"/>
      <protection hidden="1"/>
    </xf>
    <xf numFmtId="0" fontId="22" fillId="0" borderId="0" xfId="0" applyFont="1" applyAlignment="1" applyProtection="1">
      <alignment vertical="top"/>
      <protection locked="0"/>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34" fillId="4" borderId="0" xfId="0" applyFont="1" applyFill="1" applyAlignment="1" applyProtection="1">
      <alignment vertical="top"/>
      <protection hidden="1"/>
    </xf>
    <xf numFmtId="0" fontId="22" fillId="0" borderId="0" xfId="0" applyFont="1" applyProtection="1">
      <protection hidden="1"/>
    </xf>
    <xf numFmtId="0" fontId="6" fillId="0" borderId="8"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6" fillId="4" borderId="9" xfId="2" applyFont="1" applyFill="1" applyBorder="1" applyAlignment="1" applyProtection="1">
      <alignment horizontal="center" vertical="top" wrapText="1"/>
      <protection hidden="1"/>
    </xf>
    <xf numFmtId="0" fontId="8" fillId="12" borderId="7" xfId="0" applyFont="1" applyFill="1" applyBorder="1" applyProtection="1">
      <protection hidden="1"/>
    </xf>
    <xf numFmtId="0" fontId="8" fillId="12" borderId="6" xfId="0" applyFont="1" applyFill="1" applyBorder="1" applyProtection="1">
      <protection hidden="1"/>
    </xf>
    <xf numFmtId="0" fontId="8" fillId="0" borderId="10" xfId="0" applyFont="1" applyBorder="1" applyProtection="1">
      <protection hidden="1"/>
    </xf>
    <xf numFmtId="0" fontId="28" fillId="15" borderId="8" xfId="6" applyFont="1" applyFill="1" applyBorder="1" applyAlignment="1" applyProtection="1">
      <alignment horizontal="center"/>
      <protection hidden="1"/>
    </xf>
    <xf numFmtId="0" fontId="30" fillId="15" borderId="7" xfId="6" applyFont="1" applyFill="1" applyBorder="1" applyAlignment="1" applyProtection="1">
      <alignment horizontal="center"/>
      <protection hidden="1"/>
    </xf>
    <xf numFmtId="0" fontId="30" fillId="15" borderId="6" xfId="6" applyFont="1" applyFill="1" applyBorder="1" applyAlignment="1" applyProtection="1">
      <alignment horizontal="center"/>
      <protection hidden="1"/>
    </xf>
    <xf numFmtId="0" fontId="28" fillId="0" borderId="10" xfId="6" applyFont="1" applyBorder="1" applyAlignment="1" applyProtection="1">
      <alignment horizontal="right"/>
      <protection hidden="1"/>
    </xf>
    <xf numFmtId="0" fontId="28" fillId="0" borderId="0" xfId="6" applyFont="1" applyProtection="1">
      <protection hidden="1"/>
    </xf>
    <xf numFmtId="0" fontId="28" fillId="0" borderId="11" xfId="6" applyFont="1" applyBorder="1" applyProtection="1">
      <protection hidden="1"/>
    </xf>
    <xf numFmtId="0" fontId="28" fillId="0" borderId="4" xfId="6" applyFont="1" applyBorder="1" applyAlignment="1" applyProtection="1">
      <alignment horizontal="right"/>
      <protection hidden="1"/>
    </xf>
    <xf numFmtId="0" fontId="28" fillId="0" borderId="3" xfId="6" applyFont="1" applyBorder="1" applyProtection="1">
      <protection hidden="1"/>
    </xf>
    <xf numFmtId="0" fontId="28" fillId="0" borderId="2" xfId="6" applyFont="1" applyBorder="1" applyProtection="1">
      <protection hidden="1"/>
    </xf>
    <xf numFmtId="0" fontId="30" fillId="0" borderId="10" xfId="3" applyFont="1" applyBorder="1" applyAlignment="1" applyProtection="1">
      <alignment wrapText="1"/>
      <protection hidden="1"/>
    </xf>
    <xf numFmtId="0" fontId="30" fillId="0" borderId="11" xfId="3" applyFont="1" applyBorder="1" applyAlignment="1" applyProtection="1">
      <alignment wrapText="1"/>
      <protection hidden="1"/>
    </xf>
    <xf numFmtId="0" fontId="8" fillId="0" borderId="3" xfId="0" applyFont="1" applyBorder="1" applyProtection="1">
      <protection hidden="1"/>
    </xf>
    <xf numFmtId="0" fontId="8" fillId="2" borderId="11" xfId="0" applyFont="1" applyFill="1" applyBorder="1" applyProtection="1">
      <protection hidden="1"/>
    </xf>
    <xf numFmtId="0" fontId="22" fillId="0" borderId="20" xfId="0" applyFont="1" applyBorder="1" applyAlignment="1" applyProtection="1">
      <alignment vertical="top"/>
      <protection hidden="1"/>
    </xf>
    <xf numFmtId="0" fontId="22" fillId="0" borderId="21" xfId="0" applyFont="1" applyBorder="1" applyAlignment="1" applyProtection="1">
      <alignment vertical="top"/>
      <protection hidden="1"/>
    </xf>
    <xf numFmtId="0" fontId="22" fillId="0" borderId="21" xfId="1" applyFont="1" applyBorder="1" applyAlignment="1" applyProtection="1">
      <alignment vertical="top"/>
      <protection hidden="1"/>
    </xf>
    <xf numFmtId="0" fontId="22" fillId="0" borderId="21" xfId="0" applyFont="1" applyBorder="1" applyAlignment="1" applyProtection="1">
      <alignment vertical="top" wrapText="1"/>
      <protection hidden="1"/>
    </xf>
    <xf numFmtId="0" fontId="22" fillId="0" borderId="20" xfId="0" applyFont="1" applyBorder="1" applyAlignment="1" applyProtection="1">
      <alignment vertical="top" shrinkToFit="1"/>
      <protection hidden="1"/>
    </xf>
    <xf numFmtId="0" fontId="24" fillId="0" borderId="22" xfId="0" applyFont="1" applyBorder="1" applyAlignment="1" applyProtection="1">
      <alignment vertical="top" shrinkToFit="1"/>
      <protection hidden="1"/>
    </xf>
    <xf numFmtId="0" fontId="24" fillId="0" borderId="23" xfId="0" applyFont="1" applyBorder="1" applyAlignment="1" applyProtection="1">
      <alignment vertical="top"/>
      <protection hidden="1"/>
    </xf>
    <xf numFmtId="0" fontId="24" fillId="0" borderId="23" xfId="0" applyFont="1" applyBorder="1" applyAlignment="1" applyProtection="1">
      <alignment vertical="top" wrapText="1"/>
      <protection hidden="1"/>
    </xf>
    <xf numFmtId="0" fontId="24" fillId="0" borderId="24" xfId="0" applyFont="1" applyBorder="1" applyAlignment="1" applyProtection="1">
      <alignment vertical="top" wrapText="1"/>
      <protection hidden="1"/>
    </xf>
    <xf numFmtId="0" fontId="22" fillId="0" borderId="21" xfId="1" applyFont="1" applyBorder="1" applyAlignment="1" applyProtection="1">
      <alignment vertical="top" wrapText="1"/>
      <protection hidden="1"/>
    </xf>
    <xf numFmtId="0" fontId="22" fillId="0" borderId="20" xfId="1" applyFont="1" applyBorder="1" applyAlignment="1" applyProtection="1">
      <alignment vertical="top"/>
      <protection hidden="1"/>
    </xf>
    <xf numFmtId="0" fontId="17" fillId="4" borderId="3" xfId="0" applyFont="1" applyFill="1" applyBorder="1" applyAlignment="1" applyProtection="1">
      <alignment horizontal="center" vertical="top"/>
      <protection hidden="1"/>
    </xf>
    <xf numFmtId="0" fontId="8" fillId="0" borderId="0" xfId="0" applyFont="1"/>
    <xf numFmtId="0" fontId="25" fillId="0" borderId="0" xfId="0" applyFont="1"/>
    <xf numFmtId="0" fontId="6" fillId="0" borderId="0" xfId="0" applyFont="1"/>
    <xf numFmtId="0" fontId="41" fillId="0" borderId="0" xfId="0" applyFont="1"/>
    <xf numFmtId="0" fontId="8" fillId="0" borderId="18" xfId="0" applyFont="1" applyBorder="1"/>
    <xf numFmtId="0" fontId="26" fillId="0" borderId="0" xfId="0" applyFont="1" applyAlignment="1" applyProtection="1">
      <alignment vertical="center"/>
      <protection hidden="1"/>
    </xf>
    <xf numFmtId="0" fontId="8" fillId="2" borderId="0" xfId="0" applyFont="1" applyFill="1" applyProtection="1">
      <protection hidden="1"/>
    </xf>
    <xf numFmtId="0" fontId="26" fillId="0" borderId="0" xfId="0" applyFont="1" applyAlignment="1" applyProtection="1">
      <alignment horizontal="center" vertical="center"/>
      <protection hidden="1"/>
    </xf>
    <xf numFmtId="0" fontId="42" fillId="0" borderId="0" xfId="7" applyFont="1" applyAlignment="1">
      <alignment wrapText="1"/>
    </xf>
    <xf numFmtId="0" fontId="25" fillId="7" borderId="0" xfId="0" applyFont="1" applyFill="1"/>
    <xf numFmtId="0" fontId="8" fillId="7" borderId="0" xfId="0" applyFont="1" applyFill="1"/>
    <xf numFmtId="0" fontId="37" fillId="0" borderId="9" xfId="0" applyFont="1" applyBorder="1" applyAlignment="1" applyProtection="1">
      <alignment horizontal="center" vertical="center"/>
      <protection hidden="1"/>
    </xf>
    <xf numFmtId="0" fontId="24" fillId="7" borderId="23" xfId="1" applyFont="1" applyFill="1" applyBorder="1" applyAlignment="1">
      <alignment vertical="top" wrapText="1"/>
    </xf>
    <xf numFmtId="0" fontId="24" fillId="16" borderId="23" xfId="0" applyFont="1" applyFill="1" applyBorder="1" applyAlignment="1">
      <alignment vertical="top" wrapText="1"/>
    </xf>
    <xf numFmtId="0" fontId="24" fillId="7" borderId="26" xfId="0" applyFont="1" applyFill="1" applyBorder="1" applyAlignment="1">
      <alignment vertical="top" wrapText="1"/>
    </xf>
    <xf numFmtId="0" fontId="6" fillId="0" borderId="8" xfId="1" applyFont="1" applyBorder="1" applyProtection="1">
      <protection hidden="1"/>
    </xf>
    <xf numFmtId="0" fontId="6" fillId="0" borderId="6" xfId="1" applyFont="1" applyBorder="1" applyProtection="1">
      <protection hidden="1"/>
    </xf>
    <xf numFmtId="0" fontId="24" fillId="0" borderId="22" xfId="0" applyFont="1" applyBorder="1" applyAlignment="1">
      <alignment vertical="top"/>
    </xf>
    <xf numFmtId="0" fontId="24" fillId="0" borderId="23" xfId="1" applyFont="1" applyBorder="1" applyAlignment="1">
      <alignment vertical="top" wrapText="1"/>
    </xf>
    <xf numFmtId="49" fontId="22" fillId="0" borderId="0" xfId="0" applyNumberFormat="1" applyFont="1" applyAlignment="1" applyProtection="1">
      <alignment horizontal="left" vertical="top" shrinkToFit="1"/>
      <protection locked="0"/>
    </xf>
    <xf numFmtId="49" fontId="24" fillId="0" borderId="0" xfId="0" applyNumberFormat="1" applyFont="1" applyAlignment="1" applyProtection="1">
      <alignment horizontal="left" shrinkToFit="1"/>
      <protection locked="0"/>
    </xf>
    <xf numFmtId="0" fontId="22" fillId="0" borderId="0" xfId="0" applyFont="1" applyAlignment="1" applyProtection="1">
      <alignment horizontal="center" vertical="top" shrinkToFit="1"/>
      <protection locked="0"/>
    </xf>
    <xf numFmtId="49" fontId="22" fillId="0" borderId="0" xfId="0" applyNumberFormat="1" applyFont="1" applyAlignment="1" applyProtection="1">
      <alignment horizontal="center" vertical="top" shrinkToFit="1"/>
      <protection locked="0"/>
    </xf>
    <xf numFmtId="49" fontId="22" fillId="0" borderId="10" xfId="0" applyNumberFormat="1" applyFont="1" applyBorder="1" applyAlignment="1" applyProtection="1">
      <alignment horizontal="center" vertical="top" shrinkToFit="1"/>
      <protection locked="0"/>
    </xf>
    <xf numFmtId="0" fontId="24" fillId="0" borderId="0" xfId="0" applyFont="1" applyAlignment="1" applyProtection="1">
      <alignment horizontal="center" shrinkToFit="1"/>
      <protection locked="0"/>
    </xf>
    <xf numFmtId="49" fontId="24" fillId="0" borderId="0" xfId="0" applyNumberFormat="1" applyFont="1" applyAlignment="1" applyProtection="1">
      <alignment horizontal="center" shrinkToFit="1"/>
      <protection locked="0"/>
    </xf>
    <xf numFmtId="49" fontId="24" fillId="0" borderId="10" xfId="0" applyNumberFormat="1" applyFont="1" applyBorder="1" applyAlignment="1" applyProtection="1">
      <alignment horizontal="center" shrinkToFit="1"/>
      <protection locked="0"/>
    </xf>
    <xf numFmtId="0" fontId="22" fillId="0" borderId="0" xfId="0" applyFont="1" applyAlignment="1" applyProtection="1">
      <alignment horizontal="right" vertical="top" shrinkToFit="1"/>
      <protection locked="0"/>
    </xf>
    <xf numFmtId="0" fontId="24" fillId="0" borderId="0" xfId="0" applyFont="1" applyAlignment="1" applyProtection="1">
      <alignment horizontal="right" shrinkToFit="1"/>
      <protection locked="0"/>
    </xf>
    <xf numFmtId="0" fontId="22" fillId="0" borderId="10" xfId="0" applyFont="1" applyBorder="1" applyAlignment="1" applyProtection="1">
      <alignment horizontal="center" vertical="top" shrinkToFit="1"/>
      <protection locked="0"/>
    </xf>
    <xf numFmtId="0" fontId="24" fillId="0" borderId="10" xfId="0" applyFont="1" applyBorder="1" applyAlignment="1" applyProtection="1">
      <alignment horizontal="center" shrinkToFit="1"/>
      <protection locked="0"/>
    </xf>
    <xf numFmtId="4" fontId="22" fillId="0" borderId="0" xfId="0" applyNumberFormat="1" applyFont="1" applyAlignment="1" applyProtection="1">
      <alignment horizontal="right" vertical="top" shrinkToFit="1"/>
      <protection locked="0"/>
    </xf>
    <xf numFmtId="4" fontId="24" fillId="0" borderId="0" xfId="0" applyNumberFormat="1" applyFont="1" applyAlignment="1" applyProtection="1">
      <alignment horizontal="right" shrinkToFit="1"/>
      <protection locked="0"/>
    </xf>
    <xf numFmtId="0" fontId="22" fillId="4" borderId="3" xfId="0" applyFont="1" applyFill="1" applyBorder="1" applyAlignment="1" applyProtection="1">
      <alignment vertical="top"/>
      <protection hidden="1"/>
    </xf>
    <xf numFmtId="0" fontId="33" fillId="4" borderId="13" xfId="5"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14" fillId="11" borderId="8" xfId="0" applyFont="1" applyFill="1" applyBorder="1" applyAlignment="1" applyProtection="1">
      <alignment horizontal="center" vertical="center"/>
      <protection hidden="1"/>
    </xf>
    <xf numFmtId="0" fontId="14" fillId="11" borderId="7" xfId="0" applyFont="1" applyFill="1" applyBorder="1" applyAlignment="1" applyProtection="1">
      <alignment horizontal="center" vertical="center"/>
      <protection hidden="1"/>
    </xf>
    <xf numFmtId="0" fontId="14" fillId="11" borderId="4" xfId="0" applyFont="1" applyFill="1" applyBorder="1" applyAlignment="1" applyProtection="1">
      <alignment horizontal="center" vertical="center"/>
      <protection hidden="1"/>
    </xf>
    <xf numFmtId="0" fontId="14" fillId="11" borderId="3" xfId="0" applyFont="1" applyFill="1" applyBorder="1" applyAlignment="1" applyProtection="1">
      <alignment horizontal="center" vertical="center"/>
      <protection hidden="1"/>
    </xf>
    <xf numFmtId="0" fontId="33" fillId="4" borderId="10" xfId="5" applyFont="1" applyFill="1" applyBorder="1" applyAlignment="1" applyProtection="1">
      <alignment horizontal="right" vertical="top"/>
      <protection hidden="1"/>
    </xf>
    <xf numFmtId="0" fontId="33" fillId="4" borderId="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22" fillId="4" borderId="0" xfId="0" applyFont="1" applyFill="1" applyAlignment="1" applyProtection="1">
      <alignment horizontal="right" vertical="top"/>
      <protection hidden="1"/>
    </xf>
    <xf numFmtId="0" fontId="36" fillId="0" borderId="0" xfId="0" applyFont="1" applyAlignment="1" applyProtection="1">
      <alignment vertical="top" shrinkToFit="1"/>
      <protection locked="0"/>
    </xf>
    <xf numFmtId="0" fontId="33" fillId="4" borderId="10" xfId="5" applyFont="1" applyFill="1" applyBorder="1" applyAlignment="1" applyProtection="1">
      <alignment horizontal="right" vertical="top" shrinkToFit="1"/>
      <protection hidden="1"/>
    </xf>
    <xf numFmtId="0" fontId="33" fillId="4" borderId="0" xfId="5" applyFont="1" applyFill="1" applyBorder="1" applyAlignment="1" applyProtection="1">
      <alignment horizontal="right" vertical="top" shrinkToFit="1"/>
      <protection hidden="1"/>
    </xf>
    <xf numFmtId="0" fontId="22" fillId="0" borderId="0" xfId="0" applyFont="1" applyAlignment="1" applyProtection="1">
      <alignment vertical="top"/>
      <protection locked="0"/>
    </xf>
    <xf numFmtId="0" fontId="33" fillId="0" borderId="0" xfId="5" applyFont="1" applyFill="1" applyBorder="1" applyAlignment="1" applyProtection="1">
      <alignment vertical="top"/>
      <protection locked="0"/>
    </xf>
    <xf numFmtId="0" fontId="31" fillId="4" borderId="8" xfId="0" applyFont="1" applyFill="1" applyBorder="1" applyAlignment="1" applyProtection="1">
      <alignment vertical="top"/>
      <protection hidden="1"/>
    </xf>
    <xf numFmtId="0" fontId="31" fillId="4" borderId="7" xfId="0" applyFont="1" applyFill="1" applyBorder="1" applyAlignment="1" applyProtection="1">
      <alignment vertical="top"/>
      <protection hidden="1"/>
    </xf>
    <xf numFmtId="49" fontId="22" fillId="0" borderId="0" xfId="0" applyNumberFormat="1" applyFont="1" applyAlignment="1" applyProtection="1">
      <alignment horizontal="center" vertical="top"/>
      <protection locked="0"/>
    </xf>
    <xf numFmtId="0" fontId="22" fillId="4" borderId="10" xfId="0" applyFont="1" applyFill="1" applyBorder="1" applyAlignment="1" applyProtection="1">
      <alignment horizontal="right" vertical="top" wrapText="1"/>
      <protection hidden="1"/>
    </xf>
    <xf numFmtId="0" fontId="22" fillId="4" borderId="0" xfId="0" applyFont="1" applyFill="1" applyAlignment="1" applyProtection="1">
      <alignment horizontal="right" vertical="top" wrapText="1"/>
      <protection hidden="1"/>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14" fontId="23" fillId="8" borderId="10" xfId="0" applyNumberFormat="1" applyFont="1" applyFill="1" applyBorder="1" applyAlignment="1" applyProtection="1">
      <alignment vertical="top" shrinkToFit="1"/>
      <protection hidden="1"/>
    </xf>
    <xf numFmtId="14" fontId="23" fillId="8" borderId="0" xfId="0" applyNumberFormat="1" applyFont="1" applyFill="1" applyAlignment="1" applyProtection="1">
      <alignment vertical="top" shrinkToFit="1"/>
      <protection hidden="1"/>
    </xf>
    <xf numFmtId="0" fontId="22" fillId="4" borderId="10" xfId="0" applyFont="1" applyFill="1" applyBorder="1" applyAlignment="1" applyProtection="1">
      <alignment horizontal="right" vertical="top" shrinkToFit="1"/>
      <protection hidden="1"/>
    </xf>
    <xf numFmtId="0" fontId="22" fillId="4" borderId="0" xfId="0" applyFont="1" applyFill="1" applyAlignment="1" applyProtection="1">
      <alignment horizontal="right" vertical="top" shrinkToFit="1"/>
      <protection hidden="1"/>
    </xf>
    <xf numFmtId="0" fontId="22" fillId="5" borderId="0" xfId="0" applyFont="1" applyFill="1" applyAlignment="1" applyProtection="1">
      <alignment horizontal="center" vertical="top" shrinkToFit="1"/>
      <protection locked="0"/>
    </xf>
    <xf numFmtId="0" fontId="19" fillId="4" borderId="7" xfId="0" applyFont="1" applyFill="1" applyBorder="1" applyAlignment="1" applyProtection="1">
      <alignment horizontal="center" vertical="top"/>
      <protection hidden="1"/>
    </xf>
    <xf numFmtId="0" fontId="16" fillId="4" borderId="3" xfId="0" applyFont="1" applyFill="1" applyBorder="1" applyAlignment="1" applyProtection="1">
      <alignment horizontal="center" vertical="center"/>
      <protection hidden="1"/>
    </xf>
    <xf numFmtId="0" fontId="33" fillId="4" borderId="7" xfId="5" applyFont="1" applyFill="1" applyBorder="1" applyAlignment="1" applyProtection="1">
      <alignment horizontal="center" shrinkToFit="1"/>
      <protection hidden="1"/>
    </xf>
    <xf numFmtId="0" fontId="33" fillId="4" borderId="6" xfId="5" applyFont="1" applyFill="1" applyBorder="1" applyAlignment="1" applyProtection="1">
      <alignment horizontal="center" shrinkToFit="1"/>
      <protection hidden="1"/>
    </xf>
    <xf numFmtId="0" fontId="31" fillId="4" borderId="8" xfId="0" applyFont="1" applyFill="1" applyBorder="1" applyAlignment="1" applyProtection="1">
      <alignment shrinkToFit="1"/>
      <protection hidden="1"/>
    </xf>
    <xf numFmtId="0" fontId="31" fillId="4" borderId="7" xfId="0" applyFont="1" applyFill="1" applyBorder="1" applyAlignment="1" applyProtection="1">
      <alignment shrinkToFit="1"/>
      <protection hidden="1"/>
    </xf>
    <xf numFmtId="14" fontId="22" fillId="5" borderId="0" xfId="0" applyNumberFormat="1" applyFont="1" applyFill="1" applyAlignment="1" applyProtection="1">
      <alignment horizontal="center" vertical="top" shrinkToFit="1"/>
      <protection locked="0"/>
    </xf>
    <xf numFmtId="0" fontId="22" fillId="4" borderId="8" xfId="0" applyFont="1" applyFill="1" applyBorder="1" applyAlignment="1" applyProtection="1">
      <alignment vertical="top" wrapText="1"/>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22" fillId="4" borderId="4" xfId="0" applyFont="1" applyFill="1" applyBorder="1" applyAlignment="1" applyProtection="1">
      <alignment vertical="top" wrapText="1"/>
      <protection hidden="1"/>
    </xf>
    <xf numFmtId="0" fontId="22" fillId="4" borderId="3" xfId="0" applyFont="1" applyFill="1" applyBorder="1" applyAlignment="1" applyProtection="1">
      <alignment vertical="top" wrapText="1"/>
      <protection hidden="1"/>
    </xf>
    <xf numFmtId="0" fontId="22" fillId="4" borderId="2" xfId="0" applyFont="1" applyFill="1" applyBorder="1" applyAlignment="1" applyProtection="1">
      <alignment vertical="top" wrapText="1"/>
      <protection hidden="1"/>
    </xf>
    <xf numFmtId="0" fontId="9" fillId="4" borderId="14" xfId="0" applyFont="1" applyFill="1" applyBorder="1" applyAlignment="1" applyProtection="1">
      <alignment vertical="top" wrapText="1"/>
      <protection hidden="1"/>
    </xf>
    <xf numFmtId="0" fontId="9" fillId="4" borderId="19"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24" fillId="4" borderId="13" xfId="0" applyFont="1" applyFill="1" applyBorder="1" applyAlignment="1">
      <alignment vertical="top" wrapText="1"/>
    </xf>
    <xf numFmtId="0" fontId="22" fillId="4" borderId="10" xfId="0" applyFont="1" applyFill="1" applyBorder="1" applyAlignment="1" applyProtection="1">
      <alignment vertical="top" wrapText="1"/>
      <protection hidden="1"/>
    </xf>
    <xf numFmtId="0" fontId="9" fillId="4" borderId="13" xfId="0" applyFont="1" applyFill="1" applyBorder="1" applyAlignment="1" applyProtection="1">
      <alignment vertical="top" wrapText="1"/>
      <protection hidden="1"/>
    </xf>
    <xf numFmtId="0" fontId="34" fillId="4" borderId="10" xfId="0" applyFont="1" applyFill="1" applyBorder="1" applyAlignment="1" applyProtection="1">
      <alignment horizontal="center" vertical="top" wrapText="1"/>
      <protection hidden="1"/>
    </xf>
    <xf numFmtId="0" fontId="34" fillId="4" borderId="0" xfId="0" applyFont="1" applyFill="1" applyAlignment="1" applyProtection="1">
      <alignment vertical="top"/>
      <protection hidden="1"/>
    </xf>
    <xf numFmtId="0" fontId="22" fillId="0" borderId="11" xfId="0" applyFont="1" applyBorder="1" applyAlignment="1" applyProtection="1">
      <alignment vertical="top"/>
      <protection locked="0"/>
    </xf>
    <xf numFmtId="0" fontId="34" fillId="4" borderId="0" xfId="0" applyFont="1" applyFill="1" applyAlignment="1" applyProtection="1">
      <alignment vertical="top" wrapText="1"/>
      <protection hidden="1"/>
    </xf>
    <xf numFmtId="0" fontId="5" fillId="3" borderId="0" xfId="0" applyFont="1" applyFill="1" applyAlignment="1" applyProtection="1">
      <alignment vertical="top"/>
      <protection hidden="1"/>
    </xf>
    <xf numFmtId="0" fontId="5" fillId="0" borderId="3" xfId="0" applyFont="1" applyBorder="1" applyAlignment="1" applyProtection="1">
      <alignment vertical="top"/>
      <protection hidden="1"/>
    </xf>
    <xf numFmtId="0" fontId="5" fillId="0" borderId="0" xfId="1" applyFont="1" applyProtection="1">
      <protection hidden="1"/>
    </xf>
    <xf numFmtId="0" fontId="5" fillId="0" borderId="3" xfId="0" applyFont="1" applyBorder="1" applyProtection="1">
      <protection hidden="1"/>
    </xf>
    <xf numFmtId="0" fontId="5" fillId="0" borderId="0" xfId="0" applyFont="1" applyProtection="1">
      <protection hidden="1"/>
    </xf>
    <xf numFmtId="0" fontId="26" fillId="0" borderId="0" xfId="0" applyFont="1" applyAlignment="1" applyProtection="1">
      <alignment horizontal="center" vertical="center"/>
      <protection hidden="1"/>
    </xf>
    <xf numFmtId="0" fontId="8" fillId="0" borderId="0" xfId="0" applyFont="1" applyAlignment="1" applyProtection="1">
      <alignment horizontal="center" vertical="center"/>
      <protection hidden="1"/>
    </xf>
    <xf numFmtId="0" fontId="26" fillId="0" borderId="25" xfId="0" applyFont="1" applyBorder="1" applyAlignment="1" applyProtection="1">
      <alignment horizontal="center" vertical="center"/>
      <protection hidden="1"/>
    </xf>
    <xf numFmtId="0" fontId="8" fillId="0" borderId="0" xfId="0" applyFont="1" applyAlignment="1" applyProtection="1">
      <alignment horizontal="center" vertical="center" wrapText="1"/>
      <protection hidden="1"/>
    </xf>
    <xf numFmtId="0" fontId="5" fillId="0" borderId="0" xfId="0" applyFont="1" applyAlignment="1" applyProtection="1">
      <alignment vertical="top" wrapText="1"/>
      <protection hidden="1"/>
    </xf>
    <xf numFmtId="0" fontId="27" fillId="14" borderId="0" xfId="0" applyFont="1" applyFill="1" applyAlignment="1" applyProtection="1">
      <alignment vertical="top" wrapText="1"/>
      <protection hidden="1"/>
    </xf>
    <xf numFmtId="0" fontId="6" fillId="4" borderId="1" xfId="2" applyFont="1" applyFill="1" applyBorder="1" applyAlignment="1" applyProtection="1">
      <alignment horizontal="center" vertical="top" wrapText="1"/>
      <protection hidden="1"/>
    </xf>
    <xf numFmtId="0" fontId="6" fillId="4" borderId="13" xfId="2" applyFont="1" applyFill="1" applyBorder="1" applyAlignment="1" applyProtection="1">
      <alignment horizontal="center" vertical="top" wrapText="1"/>
      <protection hidden="1"/>
    </xf>
    <xf numFmtId="0" fontId="6" fillId="4" borderId="14" xfId="2" applyFont="1" applyFill="1" applyBorder="1" applyAlignment="1" applyProtection="1">
      <alignment horizontal="center" vertical="top" wrapText="1"/>
      <protection hidden="1"/>
    </xf>
    <xf numFmtId="0" fontId="6" fillId="4" borderId="5" xfId="2" applyFont="1" applyFill="1" applyBorder="1" applyAlignment="1" applyProtection="1">
      <alignment horizontal="center" vertical="top" wrapText="1"/>
      <protection hidden="1"/>
    </xf>
    <xf numFmtId="0" fontId="6" fillId="0" borderId="8" xfId="2" applyFont="1" applyBorder="1" applyAlignment="1" applyProtection="1">
      <alignment horizontal="center" vertical="top" wrapText="1"/>
      <protection hidden="1"/>
    </xf>
    <xf numFmtId="0" fontId="6" fillId="0" borderId="10"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9" xfId="2" applyFont="1" applyBorder="1" applyAlignment="1" applyProtection="1">
      <alignment horizontal="center" vertical="top" wrapText="1"/>
      <protection hidden="1"/>
    </xf>
    <xf numFmtId="0" fontId="6" fillId="0" borderId="13"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12"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5" fillId="0" borderId="13" xfId="0" applyFont="1" applyBorder="1" applyAlignment="1" applyProtection="1">
      <alignment horizontal="center" vertical="center" textRotation="90" wrapText="1"/>
      <protection hidden="1"/>
    </xf>
    <xf numFmtId="0" fontId="6" fillId="4" borderId="9" xfId="2" applyFont="1" applyFill="1" applyBorder="1" applyAlignment="1" applyProtection="1">
      <alignment horizontal="center" vertical="top" wrapText="1"/>
      <protection hidden="1"/>
    </xf>
    <xf numFmtId="0" fontId="6" fillId="0" borderId="0" xfId="0" applyFont="1" applyAlignment="1" applyProtection="1">
      <alignment vertical="top" wrapText="1"/>
      <protection hidden="1"/>
    </xf>
    <xf numFmtId="0" fontId="12" fillId="0" borderId="5" xfId="2" applyFont="1" applyBorder="1" applyAlignment="1" applyProtection="1">
      <alignment horizontal="center" vertical="center" textRotation="90"/>
      <protection hidden="1"/>
    </xf>
    <xf numFmtId="0" fontId="12" fillId="0" borderId="9" xfId="2" applyFont="1" applyBorder="1" applyAlignment="1" applyProtection="1">
      <alignment horizontal="center" vertical="center" textRotation="90"/>
      <protection hidden="1"/>
    </xf>
    <xf numFmtId="0" fontId="12" fillId="0" borderId="1" xfId="2" applyFont="1" applyBorder="1" applyAlignment="1" applyProtection="1">
      <alignment horizontal="center" vertical="center" textRotation="90"/>
      <protection hidden="1"/>
    </xf>
    <xf numFmtId="0" fontId="5" fillId="0" borderId="8" xfId="0" applyFont="1" applyBorder="1" applyAlignment="1" applyProtection="1">
      <alignment horizontal="center" vertical="top" wrapText="1"/>
      <protection hidden="1"/>
    </xf>
    <xf numFmtId="0" fontId="5" fillId="0" borderId="7" xfId="0" applyFont="1" applyBorder="1" applyAlignment="1" applyProtection="1">
      <alignment horizontal="center" vertical="top" wrapText="1"/>
      <protection hidden="1"/>
    </xf>
    <xf numFmtId="0" fontId="5" fillId="0" borderId="6" xfId="0" applyFont="1" applyBorder="1" applyAlignment="1" applyProtection="1">
      <alignment horizontal="center" vertical="top" wrapText="1"/>
      <protection hidden="1"/>
    </xf>
    <xf numFmtId="0" fontId="5" fillId="0" borderId="4" xfId="0" applyFont="1" applyBorder="1" applyAlignment="1" applyProtection="1">
      <alignment horizontal="center" vertical="top" wrapText="1"/>
      <protection hidden="1"/>
    </xf>
    <xf numFmtId="0" fontId="5" fillId="0" borderId="3" xfId="0" applyFont="1" applyBorder="1" applyAlignment="1" applyProtection="1">
      <alignment horizontal="center" vertical="top" wrapText="1"/>
      <protection hidden="1"/>
    </xf>
    <xf numFmtId="0" fontId="5" fillId="0" borderId="2" xfId="0" applyFont="1" applyBorder="1" applyAlignment="1" applyProtection="1">
      <alignment horizontal="center" vertical="top" wrapText="1"/>
      <protection hidden="1"/>
    </xf>
    <xf numFmtId="0" fontId="12" fillId="4" borderId="5" xfId="2" applyFont="1" applyFill="1" applyBorder="1" applyAlignment="1" applyProtection="1">
      <alignment horizontal="center" vertical="center" textRotation="90"/>
      <protection hidden="1"/>
    </xf>
    <xf numFmtId="0" fontId="12" fillId="4" borderId="9" xfId="2" applyFont="1" applyFill="1" applyBorder="1" applyAlignment="1" applyProtection="1">
      <alignment horizontal="center" vertical="center" textRotation="90"/>
      <protection hidden="1"/>
    </xf>
    <xf numFmtId="0" fontId="12" fillId="4" borderId="1" xfId="2" applyFont="1" applyFill="1" applyBorder="1" applyAlignment="1" applyProtection="1">
      <alignment horizontal="center" vertical="center" textRotation="90"/>
      <protection hidden="1"/>
    </xf>
    <xf numFmtId="0" fontId="5" fillId="0" borderId="9" xfId="0" applyFont="1" applyBorder="1" applyAlignment="1" applyProtection="1">
      <alignment horizontal="center" vertical="center" textRotation="90" wrapText="1"/>
      <protection hidden="1"/>
    </xf>
    <xf numFmtId="0" fontId="5" fillId="0" borderId="1" xfId="0" applyFont="1" applyBorder="1" applyAlignment="1" applyProtection="1">
      <alignment horizontal="center" vertical="center" textRotation="90" wrapText="1"/>
      <protection hidden="1"/>
    </xf>
    <xf numFmtId="0" fontId="5" fillId="0" borderId="3" xfId="0" applyFont="1" applyBorder="1" applyAlignment="1" applyProtection="1">
      <alignment vertical="top" wrapText="1"/>
      <protection hidden="1"/>
    </xf>
    <xf numFmtId="0" fontId="6" fillId="4" borderId="8" xfId="2" applyFont="1" applyFill="1" applyBorder="1" applyAlignment="1" applyProtection="1">
      <alignment horizontal="center" vertical="top" wrapText="1"/>
      <protection hidden="1"/>
    </xf>
    <xf numFmtId="0" fontId="6" fillId="4" borderId="10" xfId="2" applyFont="1" applyFill="1" applyBorder="1" applyAlignment="1" applyProtection="1">
      <alignment horizontal="center" vertical="top" wrapText="1"/>
      <protection hidden="1"/>
    </xf>
    <xf numFmtId="0" fontId="6" fillId="4" borderId="4" xfId="2" applyFont="1" applyFill="1" applyBorder="1" applyAlignment="1" applyProtection="1">
      <alignment horizontal="center" vertical="top" wrapText="1"/>
      <protection hidden="1"/>
    </xf>
    <xf numFmtId="0" fontId="20" fillId="0" borderId="0" xfId="0" applyFont="1" applyProtection="1">
      <protection hidden="1"/>
    </xf>
    <xf numFmtId="0" fontId="21" fillId="10" borderId="0" xfId="0" applyFont="1" applyFill="1" applyAlignment="1" applyProtection="1">
      <alignment vertical="center" readingOrder="1"/>
      <protection hidden="1"/>
    </xf>
    <xf numFmtId="0" fontId="5" fillId="0" borderId="8" xfId="0" applyFont="1" applyBorder="1" applyAlignment="1" applyProtection="1">
      <alignment horizontal="center" vertical="center" textRotation="90"/>
      <protection hidden="1"/>
    </xf>
    <xf numFmtId="0" fontId="5" fillId="0" borderId="10" xfId="0" applyFont="1" applyBorder="1" applyAlignment="1" applyProtection="1">
      <alignment horizontal="center" vertical="center" textRotation="90"/>
      <protection hidden="1"/>
    </xf>
    <xf numFmtId="0" fontId="5" fillId="0" borderId="4" xfId="0" applyFont="1" applyBorder="1" applyAlignment="1" applyProtection="1">
      <alignment horizontal="center" vertical="center" textRotation="90"/>
      <protection hidden="1"/>
    </xf>
    <xf numFmtId="0" fontId="6" fillId="0" borderId="5" xfId="0" applyFont="1" applyBorder="1" applyAlignment="1" applyProtection="1">
      <alignment horizontal="center" vertical="top"/>
      <protection hidden="1"/>
    </xf>
    <xf numFmtId="0" fontId="6" fillId="0" borderId="9" xfId="0" applyFont="1" applyBorder="1" applyAlignment="1" applyProtection="1">
      <alignment horizontal="center" vertical="top"/>
      <protection hidden="1"/>
    </xf>
    <xf numFmtId="0" fontId="6" fillId="0" borderId="1" xfId="0" applyFont="1" applyBorder="1" applyAlignment="1" applyProtection="1">
      <alignment horizontal="center" vertical="top"/>
      <protection hidden="1"/>
    </xf>
    <xf numFmtId="0" fontId="13" fillId="2" borderId="0" xfId="0" applyFont="1" applyFill="1" applyAlignment="1" applyProtection="1">
      <alignment vertical="top"/>
      <protection hidden="1"/>
    </xf>
    <xf numFmtId="3" fontId="22" fillId="0" borderId="0" xfId="0" applyNumberFormat="1" applyFont="1" applyAlignment="1" applyProtection="1">
      <alignment horizontal="right" vertical="top" shrinkToFit="1"/>
      <protection locked="0"/>
    </xf>
    <xf numFmtId="3" fontId="22" fillId="0" borderId="10" xfId="0" applyNumberFormat="1" applyFont="1" applyBorder="1" applyAlignment="1" applyProtection="1">
      <alignment horizontal="right" vertical="top" shrinkToFit="1"/>
      <protection locked="0"/>
    </xf>
    <xf numFmtId="3" fontId="24" fillId="0" borderId="10" xfId="0" applyNumberFormat="1" applyFont="1" applyBorder="1" applyAlignment="1" applyProtection="1">
      <alignment horizontal="right" shrinkToFit="1"/>
      <protection locked="0"/>
    </xf>
    <xf numFmtId="3" fontId="24" fillId="0" borderId="0" xfId="0" applyNumberFormat="1" applyFont="1" applyAlignment="1" applyProtection="1">
      <alignment horizontal="right" shrinkToFit="1"/>
      <protection locked="0"/>
    </xf>
  </cellXfs>
  <cellStyles count="8">
    <cellStyle name="Hyperlink" xfId="5" builtinId="8"/>
    <cellStyle name="Normal" xfId="0" builtinId="0"/>
    <cellStyle name="Normal 2" xfId="1" xr:uid="{00000000-0005-0000-0000-000002000000}"/>
    <cellStyle name="Normal 2 2" xfId="2" xr:uid="{00000000-0005-0000-0000-000003000000}"/>
    <cellStyle name="Normal_codes" xfId="3" xr:uid="{00000000-0005-0000-0000-000004000000}"/>
    <cellStyle name="Normal_Codes_1" xfId="6" xr:uid="{00000000-0005-0000-0000-000005000000}"/>
    <cellStyle name="Normal_lk_species" xfId="4" xr:uid="{00000000-0005-0000-0000-000006000000}"/>
    <cellStyle name="Normal_tablesOfCodes" xfId="7" xr:uid="{23E48888-C967-4F07-B0F7-57FA9845F6E6}"/>
  </cellStyles>
  <dxfs count="69">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 formatCode="#,##0"/>
      <alignment horizontal="right" textRotation="0" wrapText="0" indent="0" justifyLastLine="0" shrinkToFit="1" readingOrder="0"/>
      <protection locked="0" hidden="0"/>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top style="thin">
          <color theme="7" tint="0.39997558519241921"/>
        </top>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border outline="0">
        <bottom style="thin">
          <color theme="7" tint="0.39997558519241921"/>
        </bottom>
      </border>
    </dxf>
    <dxf>
      <font>
        <b val="0"/>
        <i val="0"/>
        <strike val="0"/>
        <condense val="0"/>
        <extend val="0"/>
        <outline val="0"/>
        <shadow val="0"/>
        <u val="none"/>
        <vertAlign val="baseline"/>
        <sz val="8"/>
        <color theme="0"/>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theme="1"/>
        <name val="Calibri"/>
        <family val="2"/>
        <scheme val="minor"/>
      </font>
      <numFmt numFmtId="4" formatCode="#,##0.0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center"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4" formatCode="#,##0.00"/>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righ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center"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0" formatCode="General"/>
      <alignment horizontal="center"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lef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left"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top" textRotation="0" wrapText="0" indent="0" justifyLastLine="0" shrinkToFit="0" readingOrder="0"/>
      <protection locked="1" hidden="1"/>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30375" y="0"/>
          <a:ext cx="810358" cy="44034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T2SZ" displayName="tblT2SZ" ref="A26:W50" totalsRowShown="0" headerRowDxfId="68" dataDxfId="67">
  <autoFilter ref="A26:W50" xr:uid="{00000000-0009-0000-0100-000002000000}"/>
  <tableColumns count="23">
    <tableColumn id="2" xr3:uid="{00000000-0010-0000-0000-000002000000}" name="FlagVesCd" dataDxfId="66"/>
    <tableColumn id="3" xr3:uid="{00000000-0010-0000-0000-000003000000}" name="FleetSuffix" dataDxfId="65"/>
    <tableColumn id="1" xr3:uid="{00000000-0010-0000-0000-000001000000}" name="YearC" dataDxfId="64"/>
    <tableColumn id="5" xr3:uid="{00000000-0010-0000-0000-000005000000}" name="Month" dataDxfId="63"/>
    <tableColumn id="6" xr3:uid="{00000000-0010-0000-0000-000006000000}" name="GearCd" dataDxfId="62"/>
    <tableColumn id="4" xr3:uid="{00000000-0010-0000-0000-000004000000}" name="CatchTypeCd" dataDxfId="61"/>
    <tableColumn id="7" xr3:uid="{00000000-0010-0000-0000-000007000000}" name="SchoolTypCd" dataDxfId="60"/>
    <tableColumn id="8" xr3:uid="{00000000-0010-0000-0000-000008000000}" name="SaAreaCd" dataDxfId="59"/>
    <tableColumn id="9" xr3:uid="{00000000-0010-0000-0000-000009000000}" name="GeoGridCd" dataDxfId="58"/>
    <tableColumn id="10" xr3:uid="{00000000-0010-0000-0000-00000A000000}" name="QuadCd" dataDxfId="57"/>
    <tableColumn id="11" xr3:uid="{00000000-0010-0000-0000-00000B000000}" name="Lat" dataDxfId="56"/>
    <tableColumn id="12" xr3:uid="{00000000-0010-0000-0000-00000C000000}" name="Lon" dataDxfId="55"/>
    <tableColumn id="13" xr3:uid="{00000000-0010-0000-0000-00000D000000}" name="DSourceCd" dataDxfId="54"/>
    <tableColumn id="14" xr3:uid="{00000000-0010-0000-0000-00000E000000}" name="TotCatchW" dataDxfId="53"/>
    <tableColumn id="15" xr3:uid="{00000000-0010-0000-0000-00000F000000}" name="SampleID" dataDxfId="52"/>
    <tableColumn id="16" xr3:uid="{00000000-0010-0000-0000-000010000000}" name="MonthSamp" dataDxfId="51"/>
    <tableColumn id="17" xr3:uid="{00000000-0010-0000-0000-000011000000}" name="FishSaW" dataDxfId="50"/>
    <tableColumn id="18" xr3:uid="{00000000-0010-0000-0000-000012000000}" name="FishSaN" dataDxfId="5"/>
    <tableColumn id="19" xr3:uid="{00000000-0010-0000-0000-000013000000}" name="szClass" dataDxfId="4"/>
    <tableColumn id="20" xr3:uid="{00000000-0010-0000-0000-000014000000}" name="NoUs" dataDxfId="3"/>
    <tableColumn id="21" xr3:uid="{00000000-0010-0000-0000-000015000000}" name="NoMs" dataDxfId="2"/>
    <tableColumn id="22" xr3:uid="{00000000-0010-0000-0000-000016000000}" name="NoFs" dataDxfId="1"/>
    <tableColumn id="23" xr3:uid="{00000000-0010-0000-0000-000017000000}" name="NoIs" dataDxfId="0"/>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96" totalsRowShown="0" headerRowDxfId="49" dataDxfId="47" headerRowBorderDxfId="48" tableBorderDxfId="46" dataCellStyle="Normal 2">
  <autoFilter ref="A4:M96" xr:uid="{00000000-0009-0000-0100-000001000000}"/>
  <tableColumns count="13">
    <tableColumn id="1" xr3:uid="{00000000-0010-0000-0100-000001000000}" name="FieldID" dataDxfId="45"/>
    <tableColumn id="2" xr3:uid="{00000000-0010-0000-0100-000002000000}" name="OrderID" dataDxfId="44"/>
    <tableColumn id="7" xr3:uid="{D2B7D059-E788-4A45-ADE8-10B56476311C}" name="FormID" dataDxfId="43"/>
    <tableColumn id="3" xr3:uid="{00000000-0010-0000-0100-000003000000}" name="SubFormID" dataDxfId="42"/>
    <tableColumn id="4" xr3:uid="{00000000-0010-0000-0100-000004000000}" name="Section" dataDxfId="41" dataCellStyle="Normal 2"/>
    <tableColumn id="5" xr3:uid="{00000000-0010-0000-0100-000005000000}" name="Item" dataDxfId="40"/>
    <tableColumn id="6" xr3:uid="{00000000-0010-0000-0100-000006000000}" name="FieldType" dataDxfId="39"/>
    <tableColumn id="8" xr3:uid="{00000000-0010-0000-0100-000008000000}" name="FldNameEN" dataDxfId="38" dataCellStyle="Normal 2"/>
    <tableColumn id="9" xr3:uid="{00000000-0010-0000-0100-000009000000}" name="FldNameFR" dataDxfId="37" dataCellStyle="Normal 2"/>
    <tableColumn id="10" xr3:uid="{00000000-0010-0000-0100-00000A000000}" name="FldNameES" dataDxfId="36" dataCellStyle="Normal 2"/>
    <tableColumn id="11" xr3:uid="{00000000-0010-0000-0100-00000B000000}" name="FldInstructEN" dataDxfId="35" dataCellStyle="Normal 2"/>
    <tableColumn id="12" xr3:uid="{00000000-0010-0000-0100-00000C000000}" name="FldInstructFR" dataDxfId="34" dataCellStyle="Normal 2"/>
    <tableColumn id="13" xr3:uid="{00000000-0010-0000-0100-00000D000000}" name="FldInstructES" dataDxfId="33"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pageSetUpPr fitToPage="1"/>
  </sheetPr>
  <dimension ref="A1:W50"/>
  <sheetViews>
    <sheetView tabSelected="1" zoomScaleNormal="100" workbookViewId="0">
      <selection activeCell="C5" sqref="C5:I5"/>
    </sheetView>
  </sheetViews>
  <sheetFormatPr defaultColWidth="10.7109375" defaultRowHeight="12" x14ac:dyDescent="0.2"/>
  <cols>
    <col min="1" max="1" width="10.28515625" style="2" customWidth="1"/>
    <col min="2" max="2" width="17.7109375" style="2" bestFit="1" customWidth="1"/>
    <col min="3" max="3" width="9.28515625" style="2" customWidth="1"/>
    <col min="4" max="4" width="8.7109375" style="2" customWidth="1"/>
    <col min="5" max="5" width="8.42578125" style="2" bestFit="1" customWidth="1"/>
    <col min="6" max="6" width="8.7109375" style="2" customWidth="1"/>
    <col min="7" max="7" width="10.42578125" style="2" bestFit="1" customWidth="1"/>
    <col min="8" max="8" width="9.42578125" style="2" bestFit="1" customWidth="1"/>
    <col min="9" max="10" width="8.42578125" style="2" customWidth="1"/>
    <col min="11" max="12" width="8" style="2" customWidth="1"/>
    <col min="13" max="13" width="9.7109375" style="2" customWidth="1"/>
    <col min="14" max="14" width="9" style="2" customWidth="1"/>
    <col min="15" max="15" width="8.7109375" style="2" customWidth="1"/>
    <col min="16" max="16" width="8.85546875" style="2" customWidth="1"/>
    <col min="17" max="17" width="8.7109375" style="2" bestFit="1" customWidth="1"/>
    <col min="18" max="18" width="10.28515625" style="2" customWidth="1"/>
    <col min="19" max="19" width="7.42578125" style="2" bestFit="1" customWidth="1"/>
    <col min="20" max="20" width="6.7109375" style="2" bestFit="1" customWidth="1"/>
    <col min="21" max="21" width="7.140625" style="2" bestFit="1" customWidth="1"/>
    <col min="22" max="22" width="6.42578125" style="2" bestFit="1" customWidth="1"/>
    <col min="23" max="23" width="6.140625" style="2" bestFit="1" customWidth="1"/>
    <col min="24" max="16384" width="10.7109375" style="2"/>
  </cols>
  <sheetData>
    <row r="1" spans="1:18" s="1" customFormat="1" ht="20.25" x14ac:dyDescent="0.2">
      <c r="A1" s="234" t="str">
        <f>VLOOKUP("T00",tblTrans3Langs[],LangFieldID,FALSE)</f>
        <v>ST04-T2SZ</v>
      </c>
      <c r="B1" s="235"/>
      <c r="C1" s="260" t="str">
        <f>VLOOKUP("T00",tblTrans3Langs[],LangNameID,FALSE)</f>
        <v>TASK 2 - SIZE SAMPLING (tunas and sharks)</v>
      </c>
      <c r="D1" s="260"/>
      <c r="E1" s="260"/>
      <c r="F1" s="260"/>
      <c r="G1" s="260"/>
      <c r="H1" s="260"/>
      <c r="I1" s="260"/>
      <c r="J1" s="260"/>
      <c r="K1" s="260"/>
      <c r="L1" s="260"/>
      <c r="M1" s="260"/>
      <c r="N1" s="260"/>
      <c r="O1" s="260"/>
      <c r="P1" s="260"/>
      <c r="Q1" s="37" t="str">
        <f>VLOOKUP("tVersion",tblTrans3Langs[],LangFieldID,FALSE)</f>
        <v>Version</v>
      </c>
      <c r="R1" s="64" t="str">
        <f>VLOOKUP("tLang",tblTrans3Langs[],LangFieldID,FALSE)</f>
        <v>Language</v>
      </c>
    </row>
    <row r="2" spans="1:18" s="1" customFormat="1" x14ac:dyDescent="0.2">
      <c r="A2" s="236"/>
      <c r="B2" s="237"/>
      <c r="C2" s="261" t="str">
        <f>VLOOKUP("T01",tblTrans3Langs[],LangFieldID,FALSE)&amp;": "&amp;VLOOKUP("T01",tblTrans3Langs[],LangNameID,FALSE)</f>
        <v>ICCAT: INTERNATIONAL COMMISSION FOR THE CONSERVATION OF ATLANTIC TUNAS</v>
      </c>
      <c r="D2" s="261"/>
      <c r="E2" s="261"/>
      <c r="F2" s="261"/>
      <c r="G2" s="261"/>
      <c r="H2" s="261"/>
      <c r="I2" s="261"/>
      <c r="J2" s="261"/>
      <c r="K2" s="261"/>
      <c r="L2" s="261"/>
      <c r="M2" s="261"/>
      <c r="N2" s="261"/>
      <c r="O2" s="261"/>
      <c r="P2" s="261"/>
      <c r="Q2" s="197" t="s">
        <v>2510</v>
      </c>
      <c r="R2" s="36" t="s">
        <v>2125</v>
      </c>
    </row>
    <row r="3" spans="1:18" s="1" customFormat="1" x14ac:dyDescent="0.2"/>
    <row r="4" spans="1:18" s="102" customFormat="1" ht="11.25" x14ac:dyDescent="0.2">
      <c r="A4" s="248" t="str">
        <f>VLOOKUP("H10",tblTrans3Langs[],LangFieldID,FALSE)</f>
        <v>Statistical Correspondent</v>
      </c>
      <c r="B4" s="249"/>
      <c r="C4" s="249"/>
      <c r="D4" s="249"/>
      <c r="E4" s="249"/>
      <c r="F4" s="249"/>
      <c r="G4" s="249"/>
      <c r="H4" s="249"/>
      <c r="I4" s="249"/>
      <c r="J4" s="100" t="str">
        <f>IF(AND(C5&gt;0,C6&gt;0,G6&gt;0,C7&gt;0,C8&gt;0,C9&gt;0,G9&gt;0),"ok","inc")</f>
        <v>inc</v>
      </c>
      <c r="K4" s="264" t="str">
        <f>VLOOKUP("H20",tblTrans3Langs[],LangFieldID,FALSE)</f>
        <v>Secretariat use only</v>
      </c>
      <c r="L4" s="265"/>
      <c r="M4" s="265"/>
      <c r="N4" s="265"/>
      <c r="O4" s="265"/>
      <c r="P4" s="101"/>
      <c r="Q4" s="262" t="str">
        <f>VLOOKUP("H21",tblTrans3Langs[],LangFieldID,FALSE)</f>
        <v>Filtering criteria</v>
      </c>
      <c r="R4" s="263"/>
    </row>
    <row r="5" spans="1:18" s="102" customFormat="1" ht="11.25" x14ac:dyDescent="0.2">
      <c r="A5" s="142" t="str">
        <f>VLOOKUP("H11",tblTrans3Langs[],LangFieldID,FALSE)</f>
        <v>Identification</v>
      </c>
      <c r="B5" s="157" t="str">
        <f>VLOOKUP("hName",tblTrans3Langs[],LangFieldID,FALSE)</f>
        <v>Name</v>
      </c>
      <c r="C5" s="246"/>
      <c r="D5" s="246"/>
      <c r="E5" s="246"/>
      <c r="F5" s="246"/>
      <c r="G5" s="246"/>
      <c r="H5" s="246"/>
      <c r="I5" s="246"/>
      <c r="J5" s="160"/>
      <c r="K5" s="257" t="str">
        <f>VLOOKUP("hDaterep",tblTrans3Langs[],LangFieldID,FALSE)</f>
        <v>Date reported</v>
      </c>
      <c r="L5" s="258"/>
      <c r="M5" s="266"/>
      <c r="N5" s="266"/>
      <c r="O5" s="103"/>
      <c r="P5" s="104"/>
      <c r="Q5" s="105" t="str">
        <f>VLOOKUP("hFilter1",tblTrans3Langs[],LangFieldID,FALSE)</f>
        <v>Filter 1</v>
      </c>
      <c r="R5" s="137" t="str">
        <f>VLOOKUP("hFilter2",tblTrans3Langs[],LangFieldID,FALSE)</f>
        <v>Filter 2</v>
      </c>
    </row>
    <row r="6" spans="1:18" s="102" customFormat="1" ht="11.25" x14ac:dyDescent="0.2">
      <c r="A6" s="159"/>
      <c r="B6" s="157" t="str">
        <f>VLOOKUP("hEmail",tblTrans3Langs[],LangFieldID,FALSE)</f>
        <v>E-mail</v>
      </c>
      <c r="C6" s="247"/>
      <c r="D6" s="247"/>
      <c r="E6" s="247"/>
      <c r="F6" s="157" t="str">
        <f>VLOOKUP("hPhone",tblTrans3Langs[],LangFieldID,FALSE)</f>
        <v>Phone</v>
      </c>
      <c r="G6" s="250"/>
      <c r="H6" s="250"/>
      <c r="I6" s="250"/>
      <c r="J6" s="106" t="s">
        <v>2390</v>
      </c>
      <c r="K6" s="257" t="str">
        <f>VLOOKUP("hRef",tblTrans3Langs[],LangFieldID,FALSE)</f>
        <v>Reference Nº</v>
      </c>
      <c r="L6" s="258"/>
      <c r="M6" s="259"/>
      <c r="N6" s="259"/>
      <c r="O6" s="107"/>
      <c r="P6" s="108" t="s">
        <v>772</v>
      </c>
      <c r="Q6" s="109">
        <v>0</v>
      </c>
      <c r="R6" s="109">
        <v>0</v>
      </c>
    </row>
    <row r="7" spans="1:18" s="102" customFormat="1" ht="11.25" x14ac:dyDescent="0.2">
      <c r="A7" s="142" t="str">
        <f>VLOOKUP("H12",tblTrans3Langs[],LangFieldID,FALSE)</f>
        <v>Affiliation</v>
      </c>
      <c r="B7" s="157" t="str">
        <f>VLOOKUP("hInstit",tblTrans3Langs[],LangFieldID,FALSE)</f>
        <v>Institution</v>
      </c>
      <c r="C7" s="246"/>
      <c r="D7" s="246"/>
      <c r="E7" s="246"/>
      <c r="F7" s="246"/>
      <c r="G7" s="160"/>
      <c r="H7" s="160"/>
      <c r="I7" s="163"/>
      <c r="J7" s="163"/>
      <c r="K7" s="241" t="s">
        <v>2350</v>
      </c>
      <c r="L7" s="242"/>
      <c r="M7" s="143"/>
      <c r="N7" s="163"/>
      <c r="O7" s="163"/>
      <c r="P7" s="108" t="s">
        <v>773</v>
      </c>
      <c r="Q7" s="109">
        <v>0</v>
      </c>
      <c r="R7" s="109">
        <v>0</v>
      </c>
    </row>
    <row r="8" spans="1:18" s="102" customFormat="1" ht="11.25" x14ac:dyDescent="0.2">
      <c r="A8" s="156"/>
      <c r="B8" s="157" t="str">
        <f>VLOOKUP("hDepart",tblTrans3Langs[],LangFieldID,FALSE)</f>
        <v>Department</v>
      </c>
      <c r="C8" s="246"/>
      <c r="D8" s="246"/>
      <c r="E8" s="246"/>
      <c r="F8" s="246"/>
      <c r="G8" s="160"/>
      <c r="H8" s="160"/>
      <c r="I8" s="163"/>
      <c r="J8" s="160"/>
      <c r="K8" s="253" t="str">
        <f>VLOOKUP("hFname",tblTrans3Langs[],LangFieldID,FALSE)</f>
        <v>File name (proposed)</v>
      </c>
      <c r="L8" s="254"/>
      <c r="M8" s="254"/>
      <c r="N8" s="254"/>
      <c r="O8" s="254"/>
      <c r="P8" s="108" t="s">
        <v>774</v>
      </c>
      <c r="Q8" s="109">
        <v>0</v>
      </c>
      <c r="R8" s="109">
        <v>0</v>
      </c>
    </row>
    <row r="9" spans="1:18" s="102" customFormat="1" ht="11.25" x14ac:dyDescent="0.2">
      <c r="A9" s="156"/>
      <c r="B9" s="157" t="str">
        <f>VLOOKUP("hAddress",tblTrans3Langs[],LangFieldID,FALSE)</f>
        <v>Address</v>
      </c>
      <c r="C9" s="246"/>
      <c r="D9" s="246"/>
      <c r="E9" s="246"/>
      <c r="F9" s="110" t="str">
        <f>VLOOKUP("hCountry",tblTrans3Langs[],LangFieldID,FALSE)</f>
        <v>Country</v>
      </c>
      <c r="G9" s="246"/>
      <c r="H9" s="246"/>
      <c r="I9" s="246"/>
      <c r="J9" s="160"/>
      <c r="K9" s="255" t="str">
        <f>IF(AND(J4="ok",J11="ok"),"ST04_"&amp;E12&amp;"-"&amp;C14&amp;C13&amp;"-"&amp;RIGHT(E13,2)&amp;LEFT(C17,1)&amp;"-"&amp;LEFT(C19,2)&amp;"#"&amp;M6&amp;".xlsx","")</f>
        <v/>
      </c>
      <c r="L9" s="256"/>
      <c r="M9" s="256"/>
      <c r="N9" s="256"/>
      <c r="O9" s="256"/>
      <c r="P9" s="108" t="s">
        <v>775</v>
      </c>
      <c r="Q9" s="134"/>
      <c r="R9" s="134"/>
    </row>
    <row r="10" spans="1:18" s="102" customFormat="1" ht="11.25" x14ac:dyDescent="0.25">
      <c r="A10" s="111"/>
      <c r="B10" s="112"/>
      <c r="C10" s="112"/>
      <c r="D10" s="112"/>
      <c r="E10" s="112"/>
      <c r="F10" s="112"/>
      <c r="G10" s="112"/>
      <c r="H10" s="112"/>
      <c r="I10" s="113"/>
      <c r="J10" s="113"/>
      <c r="K10" s="114"/>
      <c r="L10" s="113"/>
      <c r="M10" s="113"/>
      <c r="N10" s="113"/>
      <c r="O10" s="113"/>
      <c r="P10" s="113"/>
      <c r="Q10" s="135"/>
      <c r="R10" s="135"/>
    </row>
    <row r="11" spans="1:18" s="102" customFormat="1" ht="11.25" x14ac:dyDescent="0.25">
      <c r="A11" s="248" t="str">
        <f>VLOOKUP("H30",tblTrans3Langs[],LangFieldID,FALSE)</f>
        <v>Data set characteristics</v>
      </c>
      <c r="B11" s="249"/>
      <c r="C11" s="249"/>
      <c r="D11" s="249"/>
      <c r="E11" s="249"/>
      <c r="F11" s="249"/>
      <c r="G11" s="249"/>
      <c r="H11" s="249"/>
      <c r="I11" s="249"/>
      <c r="J11" s="100" t="str">
        <f>IF(E12="","inc",IF(AND(C13&gt;0,E13&gt;0,C14&gt;0,C17&gt;0,C18&gt;0, C15&gt;0,H13&gt;0,H14&gt;0,H15&gt;0,H17&gt;0,H18&gt;0,H19&gt;0),"ok","inc"))</f>
        <v>inc</v>
      </c>
      <c r="K11" s="115" t="str">
        <f>VLOOKUP("hNotes",tblTrans3Langs[],LangFieldID,FALSE)</f>
        <v>Notes</v>
      </c>
      <c r="L11" s="161"/>
      <c r="M11" s="161"/>
      <c r="N11" s="161"/>
      <c r="O11" s="161"/>
      <c r="P11" s="161"/>
      <c r="Q11" s="161"/>
      <c r="R11" s="162"/>
    </row>
    <row r="12" spans="1:18" s="102" customFormat="1" ht="11.25" x14ac:dyDescent="0.25">
      <c r="A12" s="238" t="str">
        <f>VLOOKUP("hFlagrep",tblTrans3Langs[],LangFieldID,FALSE)</f>
        <v>Reporting Flag</v>
      </c>
      <c r="B12" s="239"/>
      <c r="C12" s="246"/>
      <c r="D12" s="246"/>
      <c r="E12" s="130" t="str">
        <f>IFERROR(IF(C12&gt;0,VLOOKUP(C12,Codes!A3:B175,2,FALSE),""),"")</f>
        <v/>
      </c>
      <c r="F12" s="282" t="str">
        <f>VLOOKUP("H32",tblTrans3Langs[],LangFieldID,FALSE)</f>
        <v>Sampling attributes</v>
      </c>
      <c r="G12" s="282"/>
      <c r="H12" s="282"/>
      <c r="I12" s="163"/>
      <c r="J12" s="160"/>
      <c r="K12" s="246"/>
      <c r="L12" s="246"/>
      <c r="M12" s="246"/>
      <c r="N12" s="246"/>
      <c r="O12" s="246"/>
      <c r="P12" s="246"/>
      <c r="Q12" s="246"/>
      <c r="R12" s="281"/>
    </row>
    <row r="13" spans="1:18" s="102" customFormat="1" ht="11.25" x14ac:dyDescent="0.25">
      <c r="A13" s="251" t="str">
        <f>VLOOKUP("hYearfrom",tblTrans3Langs[#Data],LangFieldID,FALSE)</f>
        <v>Years covered (from)</v>
      </c>
      <c r="B13" s="252"/>
      <c r="C13" s="131"/>
      <c r="D13" s="128" t="str">
        <f>VLOOKUP("hYearto",tblTrans3Langs[#Data],LangFieldID,FALSE)</f>
        <v>(to)</v>
      </c>
      <c r="E13" s="131"/>
      <c r="F13" s="239" t="str">
        <f>VLOOKUP("hLocationCd",tblTrans3Langs[],LangFieldID,FALSE)</f>
        <v>Location (cod)</v>
      </c>
      <c r="G13" s="239"/>
      <c r="H13" s="158"/>
      <c r="I13" s="160" t="str">
        <f>IF(H13&gt;0,VLOOKUP(H13,Codes!U79:V84,2,FALSE),"")</f>
        <v/>
      </c>
      <c r="J13" s="160"/>
      <c r="K13" s="246"/>
      <c r="L13" s="246"/>
      <c r="M13" s="246"/>
      <c r="N13" s="246"/>
      <c r="O13" s="246"/>
      <c r="P13" s="246"/>
      <c r="Q13" s="246"/>
      <c r="R13" s="281"/>
    </row>
    <row r="14" spans="1:18" s="102" customFormat="1" ht="11.25" x14ac:dyDescent="0.2">
      <c r="A14" s="156"/>
      <c r="B14" s="154" t="str">
        <f>VLOOKUP("hSpeciesCd",tblTrans3Langs[],LangFieldID,FALSE)</f>
        <v>Species (cod)</v>
      </c>
      <c r="C14" s="158"/>
      <c r="D14" s="240" t="str">
        <f>IF(C14&gt;0,VLOOKUP(C14,Codes!$H$3:$L$109,2,FALSE),"")</f>
        <v/>
      </c>
      <c r="E14" s="240"/>
      <c r="F14" s="239" t="str">
        <f>VLOOKUP("hSampunit",tblTrans3Langs[],LangFieldID,FALSE)</f>
        <v>Samp unit (cod)</v>
      </c>
      <c r="G14" s="239"/>
      <c r="H14" s="158"/>
      <c r="I14" s="160" t="str">
        <f>IF(H14&gt;0,VLOOKUP(H14,Codes!U55:V63,2,FALSE),"")</f>
        <v/>
      </c>
      <c r="J14" s="160"/>
      <c r="K14" s="246"/>
      <c r="L14" s="246"/>
      <c r="M14" s="246"/>
      <c r="N14" s="246"/>
      <c r="O14" s="246"/>
      <c r="P14" s="246"/>
      <c r="Q14" s="246"/>
      <c r="R14" s="281"/>
    </row>
    <row r="15" spans="1:18" s="102" customFormat="1" ht="11.25" customHeight="1" x14ac:dyDescent="0.2">
      <c r="A15" s="279" t="str">
        <f>VLOOKUP("H31",tblTrans3Langs[],LangFieldID,FALSE)</f>
        <v>Catch attributes</v>
      </c>
      <c r="B15" s="154" t="str">
        <f>VLOOKUP("hProdTypeCd",tblTrans3Langs[],LangFieldID,FALSE)</f>
        <v>Product type</v>
      </c>
      <c r="C15" s="158"/>
      <c r="D15" s="160" t="str">
        <f>IF(C15&gt;0,VLOOKUP(C15,Codes!$Y$25:$Z$31,2,FALSE),"")</f>
        <v/>
      </c>
      <c r="E15" s="155"/>
      <c r="F15" s="242" t="str">
        <f>VLOOKUP("hRaisedSuYN",tblTrans3Langs[],LangFieldID,FALSE)</f>
        <v>Raised (SU) ?</v>
      </c>
      <c r="G15" s="242"/>
      <c r="H15" s="158"/>
      <c r="I15" s="160"/>
      <c r="J15" s="160"/>
      <c r="K15" s="246"/>
      <c r="L15" s="246"/>
      <c r="M15" s="246"/>
      <c r="N15" s="246"/>
      <c r="O15" s="246"/>
      <c r="P15" s="246"/>
      <c r="Q15" s="246"/>
      <c r="R15" s="281"/>
    </row>
    <row r="16" spans="1:18" s="102" customFormat="1" ht="11.25" x14ac:dyDescent="0.2">
      <c r="A16" s="279"/>
      <c r="B16" s="160"/>
      <c r="C16" s="160"/>
      <c r="D16" s="160"/>
      <c r="E16" s="155"/>
      <c r="F16" s="280" t="str">
        <f>VLOOKUP("H33",tblTrans3Langs[],LangFieldID,FALSE)</f>
        <v>Frequency type attributes</v>
      </c>
      <c r="G16" s="280"/>
      <c r="H16" s="280"/>
      <c r="I16" s="160"/>
      <c r="J16" s="160"/>
      <c r="K16" s="246"/>
      <c r="L16" s="246"/>
      <c r="M16" s="246"/>
      <c r="N16" s="246"/>
      <c r="O16" s="246"/>
      <c r="P16" s="246"/>
      <c r="Q16" s="246"/>
      <c r="R16" s="281"/>
    </row>
    <row r="17" spans="1:23" s="102" customFormat="1" ht="11.25" customHeight="1" x14ac:dyDescent="0.25">
      <c r="A17" s="238" t="str">
        <f>VLOOKUP("hVersion",tblTrans3Langs[],LangFieldID,FALSE)</f>
        <v>Version reported</v>
      </c>
      <c r="B17" s="239"/>
      <c r="C17" s="246"/>
      <c r="D17" s="246"/>
      <c r="E17" s="160"/>
      <c r="F17" s="239" t="str">
        <f>VLOOKUP("hFreqType",tblTrans3Langs[],LangFieldID,FALSE)</f>
        <v>Frequency type (cod)</v>
      </c>
      <c r="G17" s="239"/>
      <c r="H17" s="158"/>
      <c r="I17" s="160" t="str">
        <f>IF(H17&gt;0,VLOOKUP(H17,Codes!$Y$12:$Z$21,2,FALSE),"")</f>
        <v/>
      </c>
      <c r="J17" s="160"/>
      <c r="K17" s="246"/>
      <c r="L17" s="246"/>
      <c r="M17" s="246"/>
      <c r="N17" s="246"/>
      <c r="O17" s="246"/>
      <c r="P17" s="246"/>
      <c r="Q17" s="246"/>
      <c r="R17" s="281"/>
    </row>
    <row r="18" spans="1:23" s="102" customFormat="1" ht="11.25" x14ac:dyDescent="0.25">
      <c r="A18" s="244" t="str">
        <f>VLOOKUP("hContent",tblTrans3Langs[],LangFieldID,FALSE)</f>
        <v>Content (data)</v>
      </c>
      <c r="B18" s="245"/>
      <c r="C18" s="243"/>
      <c r="D18" s="243"/>
      <c r="E18" s="160"/>
      <c r="F18" s="242" t="str">
        <f>VLOOKUP("hSzinterval",tblTrans3Langs[],LangFieldID,FALSE)</f>
        <v>Interval</v>
      </c>
      <c r="G18" s="242"/>
      <c r="H18" s="158"/>
      <c r="I18" s="160" t="str">
        <f>IF(H17="WGT","kg",IF(H17&gt;0,"cm",""))</f>
        <v/>
      </c>
      <c r="J18" s="163"/>
      <c r="K18" s="246"/>
      <c r="L18" s="246"/>
      <c r="M18" s="246"/>
      <c r="N18" s="246"/>
      <c r="O18" s="246"/>
      <c r="P18" s="246"/>
      <c r="Q18" s="246"/>
      <c r="R18" s="281"/>
    </row>
    <row r="19" spans="1:23" s="102" customFormat="1" ht="11.25" x14ac:dyDescent="0.25">
      <c r="A19" s="116"/>
      <c r="B19" s="151"/>
      <c r="C19" s="231" t="str">
        <f>IF(C18&gt;0,VLOOKUP(C18,Codes!$Y$58:$AA$61,3,FALSE)&amp;": "&amp;VLOOKUP(C18,Codes!$Y$58:$AA$61,2,FALSE),"")</f>
        <v/>
      </c>
      <c r="D19" s="231"/>
      <c r="E19" s="231"/>
      <c r="F19" s="231"/>
      <c r="G19" s="141" t="str">
        <f>VLOOKUP("hSzclasslim",tblTrans3Langs[],LangFieldID,FALSE)</f>
        <v>Class limit</v>
      </c>
      <c r="H19" s="121"/>
      <c r="I19" s="151" t="str">
        <f>IF(H19&gt;0,VLOOKUP(H19,Codes!Y36:Z39,2,FALSE),"")</f>
        <v/>
      </c>
      <c r="J19" s="151"/>
      <c r="K19" s="151"/>
      <c r="L19" s="151"/>
      <c r="M19" s="151"/>
      <c r="N19" s="151"/>
      <c r="O19" s="151"/>
      <c r="P19" s="151"/>
      <c r="Q19" s="151"/>
      <c r="R19" s="136"/>
    </row>
    <row r="20" spans="1:23" s="102" customFormat="1" ht="11.25" x14ac:dyDescent="0.25">
      <c r="A20" s="117"/>
      <c r="B20" s="117"/>
      <c r="C20" s="117"/>
      <c r="D20" s="117"/>
      <c r="E20" s="117"/>
      <c r="F20" s="117"/>
      <c r="G20" s="117"/>
      <c r="H20" s="117"/>
      <c r="I20" s="117"/>
      <c r="J20" s="117"/>
      <c r="K20" s="117"/>
      <c r="L20" s="117"/>
      <c r="M20" s="117"/>
      <c r="N20" s="117"/>
      <c r="O20" s="117"/>
      <c r="P20" s="117"/>
      <c r="Q20" s="117"/>
      <c r="R20" s="117"/>
    </row>
    <row r="21" spans="1:23" s="118" customFormat="1" ht="11.25" x14ac:dyDescent="0.25">
      <c r="A21" s="278" t="str">
        <f>VLOOKUP("D10",tblTrans3Langs[],LangFieldID,FALSE)</f>
        <v>Sample attributes</v>
      </c>
      <c r="B21" s="278"/>
      <c r="C21" s="278"/>
      <c r="D21" s="278"/>
      <c r="E21" s="278"/>
      <c r="F21" s="278"/>
      <c r="G21" s="278"/>
      <c r="H21" s="278"/>
      <c r="I21" s="278"/>
      <c r="J21" s="278"/>
      <c r="K21" s="278"/>
      <c r="L21" s="278"/>
      <c r="M21" s="278"/>
      <c r="N21" s="278"/>
      <c r="O21" s="278"/>
      <c r="P21" s="278"/>
      <c r="Q21" s="278"/>
      <c r="R21" s="278"/>
      <c r="S21" s="273" t="str">
        <f>VLOOKUP("D20",tblTrans3Langs[],LangFieldID,FALSE)</f>
        <v>Size frequency details</v>
      </c>
      <c r="T21" s="274"/>
      <c r="U21" s="274"/>
      <c r="V21" s="274"/>
      <c r="W21" s="275"/>
    </row>
    <row r="22" spans="1:23" s="118" customFormat="1" ht="11.25" x14ac:dyDescent="0.25">
      <c r="A22" s="233" t="str">
        <f>IF(LEN(E12)&gt;0, VLOOKUP("D11",tblTrans3Langs[],LangFieldID,FALSE)&amp; " (" &amp; E12 &amp;")", VLOOKUP("D11",tblTrans3Langs[],LangFieldID,FALSE))</f>
        <v>Fleet ID</v>
      </c>
      <c r="B22" s="233"/>
      <c r="C22" s="233" t="str">
        <f>VLOOKUP("D12",tblTrans3Langs[],LangFieldID,FALSE)</f>
        <v>Catch strata associated to samples</v>
      </c>
      <c r="D22" s="233"/>
      <c r="E22" s="233"/>
      <c r="F22" s="233"/>
      <c r="G22" s="233"/>
      <c r="H22" s="233"/>
      <c r="I22" s="233"/>
      <c r="J22" s="233"/>
      <c r="K22" s="233"/>
      <c r="L22" s="233"/>
      <c r="M22" s="233"/>
      <c r="N22" s="233"/>
      <c r="O22" s="233" t="str">
        <f>VLOOKUP("D13",tblTrans3Langs[],LangFieldID,FALSE)</f>
        <v>Sample strata</v>
      </c>
      <c r="P22" s="233"/>
      <c r="Q22" s="233"/>
      <c r="R22" s="233"/>
      <c r="S22" s="277" t="str">
        <f>VLOOKUP(S$26,tblTrans3Langs[],LangFieldID,FALSE)</f>
        <v>Size class</v>
      </c>
      <c r="T22" s="267" t="str">
        <f>VLOOKUP("D21",tblTrans3Langs[],LangFieldID,FALSE)</f>
        <v>Number &amp; Gender</v>
      </c>
      <c r="U22" s="268"/>
      <c r="V22" s="268"/>
      <c r="W22" s="269"/>
    </row>
    <row r="23" spans="1:23" s="118" customFormat="1" ht="11.25" x14ac:dyDescent="0.25">
      <c r="A23" s="232" t="str">
        <f>VLOOKUP(A$26,tblTrans3Langs[],LangFieldID,FALSE)</f>
        <v>Flag of Vessel (cod)</v>
      </c>
      <c r="B23" s="232" t="str">
        <f>VLOOKUP(B$26,tblTrans3Langs[],LangFieldID,FALSE)</f>
        <v xml:space="preserve">Fleet suffix </v>
      </c>
      <c r="C23" s="276" t="str">
        <f>VLOOKUP(C$26,tblTrans3Langs[],LangFieldID,FALSE)</f>
        <v>Year (calendar)</v>
      </c>
      <c r="D23" s="276" t="str">
        <f>VLOOKUP(D$26,tblTrans3Langs[],LangFieldID,FALSE)</f>
        <v>Month</v>
      </c>
      <c r="E23" s="232" t="str">
        <f>VLOOKUP(E$26,tblTrans3Langs[],LangFieldID,FALSE)</f>
        <v>Gear (cod)</v>
      </c>
      <c r="F23" s="232" t="str">
        <f>VLOOKUP(F$26,tblTrans3Langs[],LangFieldID,FALSE)</f>
        <v>Catch type (cod)</v>
      </c>
      <c r="G23" s="232" t="str">
        <f>VLOOKUP(G$26,tblTrans3Langs[],LangFieldID,FALSE)</f>
        <v>School t. (cod)</v>
      </c>
      <c r="H23" s="233" t="str">
        <f>VLOOKUP("D12a",tblTrans3Langs[],LangFieldID,FALSE)</f>
        <v>Geographic area</v>
      </c>
      <c r="I23" s="233"/>
      <c r="J23" s="233"/>
      <c r="K23" s="233"/>
      <c r="L23" s="233"/>
      <c r="M23" s="232" t="str">
        <f>VLOOKUP(M$26,tblTrans3Langs[],LangFieldID,FALSE)</f>
        <v>Data source (cod)</v>
      </c>
      <c r="N23" s="233" t="str">
        <f>VLOOKUP(N$26,tblTrans3Langs[],LangFieldID,FALSE)</f>
        <v>Total catch (kg)</v>
      </c>
      <c r="O23" s="233" t="str">
        <f>VLOOKUP(O$26,tblTrans3Langs[],LangFieldID,FALSE)</f>
        <v>Sample unit ID (SU)</v>
      </c>
      <c r="P23" s="276" t="str">
        <f>VLOOKUP(P$26,tblTrans3Langs[],LangFieldID,FALSE)</f>
        <v>Month (sample)</v>
      </c>
      <c r="Q23" s="233" t="str">
        <f>VLOOKUP("D13a",tblTrans3Langs[],LangFieldID,FALSE)</f>
        <v>Total fish sampled</v>
      </c>
      <c r="R23" s="233"/>
      <c r="S23" s="277"/>
      <c r="T23" s="270"/>
      <c r="U23" s="271"/>
      <c r="V23" s="271"/>
      <c r="W23" s="272"/>
    </row>
    <row r="24" spans="1:23" s="118" customFormat="1" ht="22.5" x14ac:dyDescent="0.25">
      <c r="A24" s="232"/>
      <c r="B24" s="232"/>
      <c r="C24" s="276"/>
      <c r="D24" s="276"/>
      <c r="E24" s="232"/>
      <c r="F24" s="232"/>
      <c r="G24" s="232"/>
      <c r="H24" s="152" t="str">
        <f>VLOOKUP(H$26,tblTrans3Langs[],LangFieldID,FALSE)</f>
        <v>Sampling area (cod)</v>
      </c>
      <c r="I24" s="152" t="str">
        <f>VLOOKUP(I$26,tblTrans3Langs[],LangFieldID,FALSE)</f>
        <v>Square t. (cod)</v>
      </c>
      <c r="J24" s="152" t="str">
        <f>VLOOKUP(J$26,tblTrans3Langs[],LangFieldID,FALSE)</f>
        <v>Quad (cod)</v>
      </c>
      <c r="K24" s="153" t="str">
        <f>VLOOKUP(K$26,tblTrans3Langs[],LangFieldID,FALSE)</f>
        <v>Lat</v>
      </c>
      <c r="L24" s="153" t="str">
        <f>VLOOKUP(L$26,tblTrans3Langs[],LangFieldID,FALSE)</f>
        <v>Lon</v>
      </c>
      <c r="M24" s="232"/>
      <c r="N24" s="233"/>
      <c r="O24" s="233"/>
      <c r="P24" s="276"/>
      <c r="Q24" s="153" t="str">
        <f>VLOOKUP(Q$26,tblTrans3Langs[],LangFieldID,FALSE)</f>
        <v>Weight (kg)</v>
      </c>
      <c r="R24" s="153" t="str">
        <f>VLOOKUP(R$26,tblTrans3Langs[],LangFieldID,FALSE)</f>
        <v>Number</v>
      </c>
      <c r="S24" s="270"/>
      <c r="T24" s="140" t="s">
        <v>795</v>
      </c>
      <c r="U24" s="140" t="s">
        <v>796</v>
      </c>
      <c r="V24" s="140" t="s">
        <v>797</v>
      </c>
      <c r="W24" s="140" t="s">
        <v>798</v>
      </c>
    </row>
    <row r="25" spans="1:23" s="99" customFormat="1" ht="11.25" x14ac:dyDescent="0.2">
      <c r="A25" s="209" t="str" cm="1">
        <f t="array" ref="A25">IF(SUMPRODUCT(MAX(($A27:W50&lt;&gt;"")*ROW($A27:W50)))=0,"",IF(SUMPRODUCT(MAX(($A27:A50&lt;&gt;"")*ROW($A27:A50))+1)&lt;&gt;SUMPRODUCT(MAX(($C27:$W50&lt;&gt;"")*ROW($C27:$W50))+1),"error",IF(COUNTA($A27:A50)&lt;&gt;IFERROR(MATCH(REPT("z",255),$A27:A50),0),"error","ok")))</f>
        <v/>
      </c>
      <c r="B25" s="209"/>
      <c r="C25" s="209" t="str" cm="1">
        <f t="array" aca="1" ref="C25" ca="1">IF(SUMPRODUCT(MAX(($A27:$W50&lt;&gt;"")*ROW($A27:$W50)))=0,"",IF(COUNTA(C27:C50)&lt;&gt;IFERROR(MATCH(REPT("z",255),$A27:$A50),0),"error",IF(COUNTA(C27:C50)&lt;IFERROR(MATCH(RANDBETWEEN($C13,$E13),C27:C50,1),"error"),"ok",IF(SUMPRODUCT(MAX(($A27:$A50&lt;&gt;"")*ROW($A27:$A50))+1)&lt;&gt;SUMPRODUCT(MAX(($C27:$W50&lt;&gt;"")*ROW($C27:$W50))+1),"error","ok"))))</f>
        <v/>
      </c>
      <c r="D25" s="209" t="str" cm="1">
        <f t="array" aca="1" ref="D25" ca="1">IF(SUMPRODUCT(MAX(($A27:$W50&lt;&gt;"")*ROW($A27:$W50)))=0,"",IF(COUNTA(D27:D50)&lt;&gt;IFERROR(MATCH(REPT("z",255),$A27:$A50),0),"error",IF(COUNTA(D27:D50)&lt;IFERROR(MATCH(RANDBETWEEN($C13,$E13),D27:D50,1),"error"),"ok",IF(SUMPRODUCT(MAX(($A27:$A50&lt;&gt;"")*ROW($A27:$A50))+1)&lt;&gt;SUMPRODUCT(MAX(($C27:$W50&lt;&gt;"")*ROW($C27:$W50))+1),"error","ok"))))</f>
        <v/>
      </c>
      <c r="E25" s="209" t="str" cm="1">
        <f t="array" ref="E25">IF(SUMPRODUCT(MAX(($A27:$W50&lt;&gt;"")*ROW($A27:$W50)))=0,"",IF(COUNTA(E27:E50)&lt;&gt;IFERROR(MATCH(REPT("z",255),$A27:$A50),0),"error",IF(COUNTA(E27:E50)&lt;IFERROR(MATCH(REPT("z",255),E27:E50,1),"error"),"ok",IF(SUMPRODUCT(MAX(($A27:$A50&lt;&gt;"")*ROW($A27:$A50))+1)&lt;&gt;SUMPRODUCT(MAX(($C27:$W50&lt;&gt;"")*ROW($C27:$W50))+1),"error","ok"))))</f>
        <v/>
      </c>
      <c r="F25" s="209" t="str" cm="1">
        <f t="array" ref="F25">IF(SUMPRODUCT(MAX(($A27:$W50&lt;&gt;"")*ROW($A27:$W50)))=0,"",IF(COUNTA(F27:F50)&lt;&gt;IFERROR(MATCH(REPT("z",255),$A27:$A50),0),"error",IF(COUNTA(F27:F50)&lt;IFERROR(MATCH(REPT("z",255),F27:F50,1),"error"),"ok",IF(SUMPRODUCT(MAX(($A27:$A50&lt;&gt;"")*ROW($A27:$A50))+1)&lt;&gt;SUMPRODUCT(MAX(($C27:$W50&lt;&gt;"")*ROW($C27:$W50))+1),"error","ok"))))</f>
        <v/>
      </c>
      <c r="G25" s="209" t="str" cm="1">
        <f t="array" ref="G25">IF(SUMPRODUCT(MAX(($A27:$W50&lt;&gt;"")*ROW($A27:$W50)))=0,"",IF(COUNTA(G27:G50)&lt;&gt;IFERROR(MATCH(REPT("z",255),$A27:$A50),0),"error",IF(COUNTA(G27:G50)&lt;IFERROR(MATCH(REPT("z",255),G27:G50,1),"error"),"ok",IF(SUMPRODUCT(MAX(($A27:$A50&lt;&gt;"")*ROW($A27:$A50))+1)&lt;&gt;SUMPRODUCT(MAX(($C27:$W50&lt;&gt;"")*ROW($C27:$W50))+1),"error","ok"))))</f>
        <v/>
      </c>
      <c r="H25" s="209" t="str" cm="1">
        <f t="array" ref="H25">IF(SUMPRODUCT(MAX(($A27:$W50&lt;&gt;"")*ROW($A27:$W50)))=0,"",IF(COUNTA(H27:H50)&lt;&gt;IFERROR(MATCH(REPT("z",255),$A27:$A50),0),"error",IF(COUNTA(H27:H50)&lt;IFERROR(MATCH(REPT("z",255),H27:H50,1),"error"),"ok",IF(SUMPRODUCT(MAX(($A27:$A50&lt;&gt;"")*ROW($A27:$A50))+1)&lt;&gt;SUMPRODUCT(MAX(($C27:$W50&lt;&gt;"")*ROW($C27:$W50))+1),"error","ok"))))</f>
        <v/>
      </c>
      <c r="I25" s="209" t="str" cm="1">
        <f t="array" ref="I25">IF(SUMPRODUCT(MAX(($A27:$W50&lt;&gt;"")*ROW($A27:$W50)))=0,"",IF(COUNTA(I27:I50)&lt;&gt;IFERROR(MATCH(REPT("z",255),$A27:$A50),0),"error",IF(COUNTA(I27:I50)&lt;IFERROR(MATCH(REPT("z",255),I27:I50,1),"error"),"ok",IF(SUMPRODUCT(MAX(($A27:$A50&lt;&gt;"")*ROW($A27:$A50))+1)&lt;&gt;SUMPRODUCT(MAX(($C27:$W50&lt;&gt;"")*ROW($C27:$W50))+1),"error","ok"))))</f>
        <v/>
      </c>
      <c r="J25" s="209" t="str" cm="1">
        <f t="array" ref="J25">IF(SUMPRODUCT(MAX(($A27:$W50&lt;&gt;"")*ROW($A27:$W50)))=0,"",IF(COUNTA(J27:J50)&lt;&gt;IFERROR(MATCH(REPT("z",255),$A27:$A50),0),"error",IF(COUNTA(J27:J50)&lt;IFERROR(MATCH(REPT("z",255),J27:J50,1),"error"),"ok",IF(SUMPRODUCT(MAX(($A27:$A50&lt;&gt;"")*ROW($A27:$A50))+1)&lt;&gt;SUMPRODUCT(MAX(($C27:$W50&lt;&gt;"")*ROW($C27:$W50))+1),"error","ok"))))</f>
        <v/>
      </c>
      <c r="K25" s="209" t="str" cm="1">
        <f t="array" aca="1" ref="K25" ca="1">IF(SUMPRODUCT(MAX(($A27:$W50&lt;&gt;"")*ROW($A27:$W50)))=0,"",IF(COUNTA(K27:K50)&lt;&gt;IFERROR(MATCH(REPT("z",255),$A27:$A50),0),"error",IF(COUNTA(K27:K50)&lt;IFERROR(MATCH(RANDBETWEEN($C13,$E13),K27:K50,1),"error"),"ok",IF(SUMPRODUCT(MAX(($A27:$A50&lt;&gt;"")*ROW($A27:$A50))+1)&lt;&gt;SUMPRODUCT(MAX(($C27:$W50&lt;&gt;"")*ROW($C27:$W50))+1),"error","ok"))))</f>
        <v/>
      </c>
      <c r="L25" s="209" t="str" cm="1">
        <f t="array" aca="1" ref="L25" ca="1">IF(SUMPRODUCT(MAX(($A27:$W50&lt;&gt;"")*ROW($A27:$W50)))=0,"",IF(COUNTA(L27:L50)&lt;&gt;IFERROR(MATCH(REPT("z",255),$A27:$A50),0),"error",IF(COUNTA(L27:L50)&lt;IFERROR(MATCH(RANDBETWEEN($C13,$E13),L27:L50,1),"error"),"ok",IF(SUMPRODUCT(MAX(($A27:$A50&lt;&gt;"")*ROW($A27:$A50))+1)&lt;&gt;SUMPRODUCT(MAX(($C27:$W50&lt;&gt;"")*ROW($C27:$W50))+1),"error","ok"))))</f>
        <v/>
      </c>
      <c r="M25" s="209" t="str" cm="1">
        <f t="array" ref="M25">IF(SUMPRODUCT(MAX(($A27:$W50&lt;&gt;"")*ROW($A27:$W50)))=0,"",IF(COUNTA(M27:M50)&lt;&gt;IFERROR(MATCH(REPT("z",255),$A27:$A50),0),"error",IF(COUNTA(M27:M50)&lt;IFERROR(MATCH(REPT("z",255),M27:M50,1),"error"),"ok",IF(SUMPRODUCT(MAX(($A27:$A50&lt;&gt;"")*ROW($A27:$A50))+1)&lt;&gt;SUMPRODUCT(MAX(($C27:$W50&lt;&gt;"")*ROW($C27:$W50))+1),"error","ok"))))</f>
        <v/>
      </c>
      <c r="N25" s="209"/>
      <c r="O25" s="209"/>
      <c r="P25" s="209" t="str" cm="1">
        <f t="array" aca="1" ref="P25" ca="1">IF(SUMPRODUCT(MAX(($A27:$W50&lt;&gt;"")*ROW($A27:$W50)))=0,"",IF(COUNTA(P27:P50)&lt;&gt;IFERROR(MATCH(REPT("z",255),$A27:$A50),0),"error",IF(COUNTA(P27:P50)&lt;IFERROR(MATCH(RANDBETWEEN($C13,$E13),P27:P50,1),"error"),"ok",IF(SUMPRODUCT(MAX(($A27:$A50&lt;&gt;"")*ROW($A27:$A50))+1)&lt;&gt;SUMPRODUCT(MAX(($C27:$W50&lt;&gt;"")*ROW($C27:$W50))+1),"error","ok"))))</f>
        <v/>
      </c>
      <c r="Q25" s="209" t="str" cm="1">
        <f t="array" aca="1" ref="Q25" ca="1">IF(SUMPRODUCT(MAX(($A27:$W50&lt;&gt;"")*ROW($A27:$W50)))=0,"",IF(COUNTA(Q27:Q50)&lt;&gt;IFERROR(MATCH(REPT("z",255),$A27:$A50),0),"error",IF(COUNTA(Q27:Q50)&lt;IFERROR(MATCH(RANDBETWEEN($C13,$E13),Q27:Q50,1),"error"),"ok",IF(SUMPRODUCT(MAX(($A27:$A50&lt;&gt;"")*ROW($A27:$A50))+1)&lt;&gt;SUMPRODUCT(MAX(($C27:$W50&lt;&gt;"")*ROW($C27:$W50))+1),"error","ok"))))</f>
        <v/>
      </c>
      <c r="R25" s="209" t="str" cm="1">
        <f t="array" aca="1" ref="R25" ca="1">IF(SUMPRODUCT(MAX(($A27:$W50&lt;&gt;"")*ROW($A27:$W50)))=0,"",IF(COUNTA(R27:R50)&lt;&gt;IFERROR(MATCH(REPT("z",255),$A27:$A50),0),"error",IF(COUNTA(R27:R50)&lt;IFERROR(MATCH(RANDBETWEEN($C13,$E13),R27:R50,1),"error"),"ok",IF(SUMPRODUCT(MAX(($A27:$A50&lt;&gt;"")*ROW($A27:$A50))+1)&lt;&gt;SUMPRODUCT(MAX(($C27:$W50&lt;&gt;"")*ROW($C27:$W50))+1),"error","ok"))))</f>
        <v/>
      </c>
      <c r="S25" s="209" t="str" cm="1">
        <f t="array" aca="1" ref="S25" ca="1">IF(SUMPRODUCT(MAX(($A27:$W50&lt;&gt;"")*ROW($A27:$W50)))=0,"",IF(COUNTA(S27:S50)&lt;&gt;IFERROR(MATCH(REPT("z",255),$A27:$A50),0),"error",IF(COUNTA(S27:S50)&lt;IFERROR(MATCH(RANDBETWEEN($C13,$E13),S27:W50,1),"error"),"ok",IF(SUMPRODUCT(MAX(($A27:$A50&lt;&gt;"")*ROW($A27:$A50))+1)&lt;&gt;SUMPRODUCT(MAX(($C27:$W50&lt;&gt;"")*ROW($C27:$W50))+1),"error","ok"))))</f>
        <v/>
      </c>
      <c r="T25" s="209"/>
      <c r="U25" s="209"/>
      <c r="V25" s="209"/>
      <c r="W25" s="209"/>
    </row>
    <row r="26" spans="1:23" s="99" customFormat="1" ht="11.25" x14ac:dyDescent="0.2">
      <c r="A26" s="77" t="s">
        <v>1071</v>
      </c>
      <c r="B26" s="77" t="s">
        <v>2511</v>
      </c>
      <c r="C26" s="77" t="s">
        <v>2084</v>
      </c>
      <c r="D26" s="77" t="s">
        <v>2083</v>
      </c>
      <c r="E26" s="77" t="s">
        <v>1075</v>
      </c>
      <c r="F26" s="77" t="s">
        <v>1079</v>
      </c>
      <c r="G26" s="77" t="s">
        <v>1081</v>
      </c>
      <c r="H26" s="77" t="s">
        <v>1085</v>
      </c>
      <c r="I26" s="77" t="s">
        <v>1088</v>
      </c>
      <c r="J26" s="77" t="s">
        <v>1091</v>
      </c>
      <c r="K26" s="77" t="s">
        <v>10</v>
      </c>
      <c r="L26" s="77" t="s">
        <v>9</v>
      </c>
      <c r="M26" s="77" t="s">
        <v>1095</v>
      </c>
      <c r="N26" s="77" t="s">
        <v>2121</v>
      </c>
      <c r="O26" s="77" t="s">
        <v>67</v>
      </c>
      <c r="P26" s="77" t="s">
        <v>2091</v>
      </c>
      <c r="Q26" s="77" t="s">
        <v>1155</v>
      </c>
      <c r="R26" s="77" t="s">
        <v>1156</v>
      </c>
      <c r="S26" s="77" t="s">
        <v>953</v>
      </c>
      <c r="T26" s="77" t="s">
        <v>1102</v>
      </c>
      <c r="U26" s="77" t="s">
        <v>1105</v>
      </c>
      <c r="V26" s="77" t="s">
        <v>1109</v>
      </c>
      <c r="W26" s="77" t="s">
        <v>1113</v>
      </c>
    </row>
    <row r="27" spans="1:23" s="129" customFormat="1" ht="11.25" x14ac:dyDescent="0.2">
      <c r="A27" s="217"/>
      <c r="B27" s="217"/>
      <c r="C27" s="219"/>
      <c r="D27" s="219"/>
      <c r="E27" s="220"/>
      <c r="F27" s="219"/>
      <c r="G27" s="220"/>
      <c r="H27" s="221"/>
      <c r="I27" s="220"/>
      <c r="J27" s="220"/>
      <c r="K27" s="225"/>
      <c r="L27" s="225"/>
      <c r="M27" s="219"/>
      <c r="N27" s="229"/>
      <c r="O27" s="227"/>
      <c r="P27" s="219"/>
      <c r="Q27" s="229"/>
      <c r="R27" s="336"/>
      <c r="S27" s="337"/>
      <c r="T27" s="336"/>
      <c r="U27" s="336"/>
      <c r="V27" s="336"/>
      <c r="W27" s="336"/>
    </row>
    <row r="28" spans="1:23" s="129" customFormat="1" ht="11.25" x14ac:dyDescent="0.2">
      <c r="A28" s="217"/>
      <c r="B28" s="217"/>
      <c r="C28" s="219"/>
      <c r="D28" s="219"/>
      <c r="E28" s="220"/>
      <c r="F28" s="219"/>
      <c r="G28" s="220"/>
      <c r="H28" s="221"/>
      <c r="I28" s="220"/>
      <c r="J28" s="220"/>
      <c r="K28" s="225"/>
      <c r="L28" s="225"/>
      <c r="M28" s="219"/>
      <c r="N28" s="229"/>
      <c r="O28" s="227"/>
      <c r="P28" s="219"/>
      <c r="Q28" s="229"/>
      <c r="R28" s="336"/>
      <c r="S28" s="338"/>
      <c r="T28" s="339"/>
      <c r="U28" s="339"/>
      <c r="V28" s="339"/>
      <c r="W28" s="339"/>
    </row>
    <row r="29" spans="1:23" s="129" customFormat="1" ht="11.25" x14ac:dyDescent="0.2">
      <c r="A29" s="217"/>
      <c r="B29" s="217"/>
      <c r="C29" s="219"/>
      <c r="D29" s="219"/>
      <c r="E29" s="220"/>
      <c r="F29" s="219"/>
      <c r="G29" s="220"/>
      <c r="H29" s="221"/>
      <c r="I29" s="220"/>
      <c r="J29" s="220"/>
      <c r="K29" s="225"/>
      <c r="L29" s="225"/>
      <c r="M29" s="219"/>
      <c r="N29" s="229"/>
      <c r="O29" s="227"/>
      <c r="P29" s="219"/>
      <c r="Q29" s="229"/>
      <c r="R29" s="336"/>
      <c r="S29" s="337"/>
      <c r="T29" s="339"/>
      <c r="U29" s="339"/>
      <c r="V29" s="339"/>
      <c r="W29" s="339"/>
    </row>
    <row r="30" spans="1:23" s="129" customFormat="1" ht="11.25" x14ac:dyDescent="0.2">
      <c r="A30" s="217"/>
      <c r="B30" s="217"/>
      <c r="C30" s="219"/>
      <c r="D30" s="219"/>
      <c r="E30" s="220"/>
      <c r="F30" s="219"/>
      <c r="G30" s="220"/>
      <c r="H30" s="221"/>
      <c r="I30" s="220"/>
      <c r="J30" s="220"/>
      <c r="K30" s="225"/>
      <c r="L30" s="225"/>
      <c r="M30" s="219"/>
      <c r="N30" s="229"/>
      <c r="O30" s="227"/>
      <c r="P30" s="219"/>
      <c r="Q30" s="229"/>
      <c r="R30" s="336"/>
      <c r="S30" s="338"/>
      <c r="T30" s="339"/>
      <c r="U30" s="339"/>
      <c r="V30" s="339"/>
      <c r="W30" s="339"/>
    </row>
    <row r="31" spans="1:23" s="129" customFormat="1" ht="11.25" x14ac:dyDescent="0.2">
      <c r="A31" s="217"/>
      <c r="B31" s="217"/>
      <c r="C31" s="219"/>
      <c r="D31" s="219"/>
      <c r="E31" s="220"/>
      <c r="F31" s="219"/>
      <c r="G31" s="220"/>
      <c r="H31" s="221"/>
      <c r="I31" s="220"/>
      <c r="J31" s="220"/>
      <c r="K31" s="225"/>
      <c r="L31" s="225"/>
      <c r="M31" s="219"/>
      <c r="N31" s="229"/>
      <c r="O31" s="227"/>
      <c r="P31" s="219"/>
      <c r="Q31" s="229"/>
      <c r="R31" s="336"/>
      <c r="S31" s="337"/>
      <c r="T31" s="339"/>
      <c r="U31" s="339"/>
      <c r="V31" s="339"/>
      <c r="W31" s="339"/>
    </row>
    <row r="32" spans="1:23" s="129" customFormat="1" ht="11.25" x14ac:dyDescent="0.2">
      <c r="A32" s="217"/>
      <c r="B32" s="217"/>
      <c r="C32" s="219"/>
      <c r="D32" s="219"/>
      <c r="E32" s="220"/>
      <c r="F32" s="219"/>
      <c r="G32" s="220"/>
      <c r="H32" s="221"/>
      <c r="I32" s="220"/>
      <c r="J32" s="220"/>
      <c r="K32" s="225"/>
      <c r="L32" s="225"/>
      <c r="M32" s="219"/>
      <c r="N32" s="229"/>
      <c r="O32" s="227"/>
      <c r="P32" s="219"/>
      <c r="Q32" s="229"/>
      <c r="R32" s="336"/>
      <c r="S32" s="338"/>
      <c r="T32" s="339"/>
      <c r="U32" s="339"/>
      <c r="V32" s="339"/>
      <c r="W32" s="339"/>
    </row>
    <row r="33" spans="1:23" s="129" customFormat="1" ht="11.25" x14ac:dyDescent="0.2">
      <c r="A33" s="217"/>
      <c r="B33" s="217"/>
      <c r="C33" s="219"/>
      <c r="D33" s="219"/>
      <c r="E33" s="220"/>
      <c r="F33" s="219"/>
      <c r="G33" s="220"/>
      <c r="H33" s="221"/>
      <c r="I33" s="220"/>
      <c r="J33" s="220"/>
      <c r="K33" s="225"/>
      <c r="L33" s="225"/>
      <c r="M33" s="219"/>
      <c r="N33" s="229"/>
      <c r="O33" s="227"/>
      <c r="P33" s="219"/>
      <c r="Q33" s="229"/>
      <c r="R33" s="336"/>
      <c r="S33" s="337"/>
      <c r="T33" s="339"/>
      <c r="U33" s="339"/>
      <c r="V33" s="339"/>
      <c r="W33" s="339"/>
    </row>
    <row r="34" spans="1:23" s="129" customFormat="1" ht="11.25" x14ac:dyDescent="0.2">
      <c r="A34" s="217"/>
      <c r="B34" s="217"/>
      <c r="C34" s="219"/>
      <c r="D34" s="219"/>
      <c r="E34" s="220"/>
      <c r="F34" s="219"/>
      <c r="G34" s="220"/>
      <c r="H34" s="221"/>
      <c r="I34" s="220"/>
      <c r="J34" s="220"/>
      <c r="K34" s="225"/>
      <c r="L34" s="225"/>
      <c r="M34" s="219"/>
      <c r="N34" s="229"/>
      <c r="O34" s="227"/>
      <c r="P34" s="219"/>
      <c r="Q34" s="229"/>
      <c r="R34" s="336"/>
      <c r="S34" s="338"/>
      <c r="T34" s="339"/>
      <c r="U34" s="339"/>
      <c r="V34" s="339"/>
      <c r="W34" s="339"/>
    </row>
    <row r="35" spans="1:23" s="129" customFormat="1" ht="11.25" x14ac:dyDescent="0.2">
      <c r="A35" s="217"/>
      <c r="B35" s="217"/>
      <c r="C35" s="219"/>
      <c r="D35" s="219"/>
      <c r="E35" s="220"/>
      <c r="F35" s="219"/>
      <c r="G35" s="220"/>
      <c r="H35" s="221"/>
      <c r="I35" s="220"/>
      <c r="J35" s="220"/>
      <c r="K35" s="225"/>
      <c r="L35" s="225"/>
      <c r="M35" s="219"/>
      <c r="N35" s="229"/>
      <c r="O35" s="227"/>
      <c r="P35" s="219"/>
      <c r="Q35" s="229"/>
      <c r="R35" s="336"/>
      <c r="S35" s="337"/>
      <c r="T35" s="339"/>
      <c r="U35" s="339"/>
      <c r="V35" s="339"/>
      <c r="W35" s="339"/>
    </row>
    <row r="36" spans="1:23" s="129" customFormat="1" ht="11.25" x14ac:dyDescent="0.2">
      <c r="A36" s="217"/>
      <c r="B36" s="217"/>
      <c r="C36" s="219"/>
      <c r="D36" s="219"/>
      <c r="E36" s="220"/>
      <c r="F36" s="219"/>
      <c r="G36" s="220"/>
      <c r="H36" s="221"/>
      <c r="I36" s="220"/>
      <c r="J36" s="220"/>
      <c r="K36" s="225"/>
      <c r="L36" s="225"/>
      <c r="M36" s="219"/>
      <c r="N36" s="229"/>
      <c r="O36" s="227"/>
      <c r="P36" s="219"/>
      <c r="Q36" s="229"/>
      <c r="R36" s="336"/>
      <c r="S36" s="338"/>
      <c r="T36" s="339"/>
      <c r="U36" s="339"/>
      <c r="V36" s="339"/>
      <c r="W36" s="339"/>
    </row>
    <row r="37" spans="1:23" s="129" customFormat="1" ht="11.25" x14ac:dyDescent="0.2">
      <c r="A37" s="217"/>
      <c r="B37" s="217"/>
      <c r="C37" s="219"/>
      <c r="D37" s="219"/>
      <c r="E37" s="220"/>
      <c r="F37" s="219"/>
      <c r="G37" s="220"/>
      <c r="H37" s="221"/>
      <c r="I37" s="220"/>
      <c r="J37" s="220"/>
      <c r="K37" s="225"/>
      <c r="L37" s="225"/>
      <c r="M37" s="219"/>
      <c r="N37" s="229"/>
      <c r="O37" s="227"/>
      <c r="P37" s="219"/>
      <c r="Q37" s="229"/>
      <c r="R37" s="336"/>
      <c r="S37" s="337"/>
      <c r="T37" s="339"/>
      <c r="U37" s="339"/>
      <c r="V37" s="339"/>
      <c r="W37" s="339"/>
    </row>
    <row r="38" spans="1:23" s="129" customFormat="1" ht="11.25" x14ac:dyDescent="0.2">
      <c r="A38" s="217"/>
      <c r="B38" s="217"/>
      <c r="C38" s="219"/>
      <c r="D38" s="219"/>
      <c r="E38" s="220"/>
      <c r="F38" s="219"/>
      <c r="G38" s="220"/>
      <c r="H38" s="221"/>
      <c r="I38" s="220"/>
      <c r="J38" s="220"/>
      <c r="K38" s="225"/>
      <c r="L38" s="225"/>
      <c r="M38" s="219"/>
      <c r="N38" s="229"/>
      <c r="O38" s="227"/>
      <c r="P38" s="219"/>
      <c r="Q38" s="229"/>
      <c r="R38" s="336"/>
      <c r="S38" s="338"/>
      <c r="T38" s="339"/>
      <c r="U38" s="339"/>
      <c r="V38" s="339"/>
      <c r="W38" s="339"/>
    </row>
    <row r="39" spans="1:23" s="129" customFormat="1" ht="11.25" x14ac:dyDescent="0.2">
      <c r="A39" s="217"/>
      <c r="B39" s="217"/>
      <c r="C39" s="219"/>
      <c r="D39" s="219"/>
      <c r="E39" s="220"/>
      <c r="F39" s="219"/>
      <c r="G39" s="220"/>
      <c r="H39" s="221"/>
      <c r="I39" s="220"/>
      <c r="J39" s="220"/>
      <c r="K39" s="225"/>
      <c r="L39" s="225"/>
      <c r="M39" s="219"/>
      <c r="N39" s="229"/>
      <c r="O39" s="227"/>
      <c r="P39" s="219"/>
      <c r="Q39" s="229"/>
      <c r="R39" s="336"/>
      <c r="S39" s="337"/>
      <c r="T39" s="339"/>
      <c r="U39" s="339"/>
      <c r="V39" s="339"/>
      <c r="W39" s="339"/>
    </row>
    <row r="40" spans="1:23" s="129" customFormat="1" ht="11.25" x14ac:dyDescent="0.2">
      <c r="A40" s="217"/>
      <c r="B40" s="217"/>
      <c r="C40" s="219"/>
      <c r="D40" s="219"/>
      <c r="E40" s="220"/>
      <c r="F40" s="219"/>
      <c r="G40" s="220"/>
      <c r="H40" s="221"/>
      <c r="I40" s="220"/>
      <c r="J40" s="220"/>
      <c r="K40" s="225"/>
      <c r="L40" s="225"/>
      <c r="M40" s="219"/>
      <c r="N40" s="229"/>
      <c r="O40" s="227"/>
      <c r="P40" s="219"/>
      <c r="Q40" s="229"/>
      <c r="R40" s="336"/>
      <c r="S40" s="338"/>
      <c r="T40" s="339"/>
      <c r="U40" s="339"/>
      <c r="V40" s="339"/>
      <c r="W40" s="339"/>
    </row>
    <row r="41" spans="1:23" s="129" customFormat="1" ht="11.25" x14ac:dyDescent="0.2">
      <c r="A41" s="217"/>
      <c r="B41" s="217"/>
      <c r="C41" s="219"/>
      <c r="D41" s="219"/>
      <c r="E41" s="220"/>
      <c r="F41" s="219"/>
      <c r="G41" s="220"/>
      <c r="H41" s="221"/>
      <c r="I41" s="220"/>
      <c r="J41" s="220"/>
      <c r="K41" s="225"/>
      <c r="L41" s="225"/>
      <c r="M41" s="219"/>
      <c r="N41" s="229"/>
      <c r="O41" s="227"/>
      <c r="P41" s="219"/>
      <c r="Q41" s="229"/>
      <c r="R41" s="339"/>
      <c r="S41" s="338"/>
      <c r="T41" s="339"/>
      <c r="U41" s="339"/>
      <c r="V41" s="339"/>
      <c r="W41" s="339"/>
    </row>
    <row r="42" spans="1:23" s="129" customFormat="1" ht="11.25" x14ac:dyDescent="0.2">
      <c r="A42" s="218"/>
      <c r="B42" s="218"/>
      <c r="C42" s="222"/>
      <c r="D42" s="222"/>
      <c r="E42" s="223"/>
      <c r="F42" s="222"/>
      <c r="G42" s="223"/>
      <c r="H42" s="224"/>
      <c r="I42" s="223"/>
      <c r="J42" s="223"/>
      <c r="K42" s="226"/>
      <c r="L42" s="226"/>
      <c r="M42" s="222"/>
      <c r="N42" s="230"/>
      <c r="O42" s="228"/>
      <c r="P42" s="222"/>
      <c r="Q42" s="230"/>
      <c r="R42" s="339"/>
      <c r="S42" s="338"/>
      <c r="T42" s="339"/>
      <c r="U42" s="339"/>
      <c r="V42" s="339"/>
      <c r="W42" s="339"/>
    </row>
    <row r="43" spans="1:23" s="129" customFormat="1" ht="11.25" x14ac:dyDescent="0.2">
      <c r="A43" s="218"/>
      <c r="B43" s="218"/>
      <c r="C43" s="222"/>
      <c r="D43" s="222"/>
      <c r="E43" s="223"/>
      <c r="F43" s="222"/>
      <c r="G43" s="223"/>
      <c r="H43" s="224"/>
      <c r="I43" s="223"/>
      <c r="J43" s="223"/>
      <c r="K43" s="226"/>
      <c r="L43" s="226"/>
      <c r="M43" s="222"/>
      <c r="N43" s="230"/>
      <c r="O43" s="228"/>
      <c r="P43" s="222"/>
      <c r="Q43" s="230"/>
      <c r="R43" s="339"/>
      <c r="S43" s="338"/>
      <c r="T43" s="339"/>
      <c r="U43" s="339"/>
      <c r="V43" s="339"/>
      <c r="W43" s="339"/>
    </row>
    <row r="44" spans="1:23" s="129" customFormat="1" ht="11.25" x14ac:dyDescent="0.2">
      <c r="A44" s="218"/>
      <c r="B44" s="218"/>
      <c r="C44" s="222"/>
      <c r="D44" s="222"/>
      <c r="E44" s="223"/>
      <c r="F44" s="222"/>
      <c r="G44" s="223"/>
      <c r="H44" s="224"/>
      <c r="I44" s="223"/>
      <c r="J44" s="223"/>
      <c r="K44" s="226"/>
      <c r="L44" s="226"/>
      <c r="M44" s="222"/>
      <c r="N44" s="230"/>
      <c r="O44" s="228"/>
      <c r="P44" s="222"/>
      <c r="Q44" s="230"/>
      <c r="R44" s="339"/>
      <c r="S44" s="338"/>
      <c r="T44" s="339"/>
      <c r="U44" s="339"/>
      <c r="V44" s="339"/>
      <c r="W44" s="339"/>
    </row>
    <row r="45" spans="1:23" s="129" customFormat="1" ht="11.25" x14ac:dyDescent="0.2">
      <c r="A45" s="218"/>
      <c r="B45" s="218"/>
      <c r="C45" s="222"/>
      <c r="D45" s="222"/>
      <c r="E45" s="223"/>
      <c r="F45" s="222"/>
      <c r="G45" s="223"/>
      <c r="H45" s="224"/>
      <c r="I45" s="223"/>
      <c r="J45" s="223"/>
      <c r="K45" s="226"/>
      <c r="L45" s="226"/>
      <c r="M45" s="222"/>
      <c r="N45" s="230"/>
      <c r="O45" s="228"/>
      <c r="P45" s="222"/>
      <c r="Q45" s="230"/>
      <c r="R45" s="339"/>
      <c r="S45" s="338"/>
      <c r="T45" s="339"/>
      <c r="U45" s="339"/>
      <c r="V45" s="339"/>
      <c r="W45" s="339"/>
    </row>
    <row r="46" spans="1:23" s="129" customFormat="1" ht="11.25" x14ac:dyDescent="0.2">
      <c r="A46" s="218"/>
      <c r="B46" s="218"/>
      <c r="C46" s="222"/>
      <c r="D46" s="222"/>
      <c r="E46" s="223"/>
      <c r="F46" s="223"/>
      <c r="G46" s="223"/>
      <c r="H46" s="224"/>
      <c r="I46" s="223"/>
      <c r="J46" s="223"/>
      <c r="K46" s="226"/>
      <c r="L46" s="226"/>
      <c r="M46" s="222"/>
      <c r="N46" s="230"/>
      <c r="O46" s="228"/>
      <c r="P46" s="222"/>
      <c r="Q46" s="230"/>
      <c r="R46" s="339"/>
      <c r="S46" s="338"/>
      <c r="T46" s="339"/>
      <c r="U46" s="339"/>
      <c r="V46" s="339"/>
      <c r="W46" s="339"/>
    </row>
    <row r="47" spans="1:23" s="129" customFormat="1" ht="11.25" x14ac:dyDescent="0.2">
      <c r="A47" s="218"/>
      <c r="B47" s="218"/>
      <c r="C47" s="222"/>
      <c r="D47" s="222"/>
      <c r="E47" s="223"/>
      <c r="F47" s="222"/>
      <c r="G47" s="223"/>
      <c r="H47" s="224"/>
      <c r="I47" s="223"/>
      <c r="J47" s="223"/>
      <c r="K47" s="226"/>
      <c r="L47" s="226"/>
      <c r="M47" s="222"/>
      <c r="N47" s="230"/>
      <c r="O47" s="228"/>
      <c r="P47" s="222"/>
      <c r="Q47" s="230"/>
      <c r="R47" s="339"/>
      <c r="S47" s="338"/>
      <c r="T47" s="339"/>
      <c r="U47" s="339"/>
      <c r="V47" s="339"/>
      <c r="W47" s="339"/>
    </row>
    <row r="48" spans="1:23" s="129" customFormat="1" ht="11.25" x14ac:dyDescent="0.2">
      <c r="A48" s="218"/>
      <c r="B48" s="218"/>
      <c r="C48" s="222"/>
      <c r="D48" s="222"/>
      <c r="E48" s="223"/>
      <c r="F48" s="222"/>
      <c r="G48" s="223"/>
      <c r="H48" s="224"/>
      <c r="I48" s="223"/>
      <c r="J48" s="223"/>
      <c r="K48" s="226"/>
      <c r="L48" s="226"/>
      <c r="M48" s="222"/>
      <c r="N48" s="230"/>
      <c r="O48" s="228"/>
      <c r="P48" s="222"/>
      <c r="Q48" s="230"/>
      <c r="R48" s="339"/>
      <c r="S48" s="338"/>
      <c r="T48" s="339"/>
      <c r="U48" s="339"/>
      <c r="V48" s="339"/>
      <c r="W48" s="339"/>
    </row>
    <row r="49" spans="1:23" s="129" customFormat="1" ht="11.25" x14ac:dyDescent="0.2">
      <c r="A49" s="218"/>
      <c r="B49" s="218"/>
      <c r="C49" s="222"/>
      <c r="D49" s="222"/>
      <c r="E49" s="223"/>
      <c r="F49" s="222"/>
      <c r="G49" s="223"/>
      <c r="H49" s="224"/>
      <c r="I49" s="223"/>
      <c r="J49" s="223"/>
      <c r="K49" s="226"/>
      <c r="L49" s="226"/>
      <c r="M49" s="222"/>
      <c r="N49" s="230"/>
      <c r="O49" s="228"/>
      <c r="P49" s="222"/>
      <c r="Q49" s="230"/>
      <c r="R49" s="339"/>
      <c r="S49" s="338"/>
      <c r="T49" s="339"/>
      <c r="U49" s="339"/>
      <c r="V49" s="339"/>
      <c r="W49" s="339"/>
    </row>
    <row r="50" spans="1:23" s="129" customFormat="1" ht="11.25" x14ac:dyDescent="0.2">
      <c r="A50" s="218"/>
      <c r="B50" s="218"/>
      <c r="C50" s="222"/>
      <c r="D50" s="222"/>
      <c r="E50" s="223"/>
      <c r="F50" s="222"/>
      <c r="G50" s="223"/>
      <c r="H50" s="224"/>
      <c r="I50" s="223"/>
      <c r="J50" s="223"/>
      <c r="K50" s="226"/>
      <c r="L50" s="226"/>
      <c r="M50" s="222"/>
      <c r="N50" s="230"/>
      <c r="O50" s="228"/>
      <c r="P50" s="222"/>
      <c r="Q50" s="230"/>
      <c r="R50" s="339"/>
      <c r="S50" s="338"/>
      <c r="T50" s="339"/>
      <c r="U50" s="339"/>
      <c r="V50" s="339"/>
      <c r="W50" s="339"/>
    </row>
  </sheetData>
  <sheetProtection algorithmName="SHA-512" hashValue="JsfM/xH4nrcAtCYqUlmV3ZWO+EHv1qi+m9ForPLAhLtIksMWgJ+UMLIfjaZEM//fVSFCf2pxmYif5OX40UtsqA==" saltValue="L00RESQv5u0ogymOyh446A==" spinCount="100000" sheet="1" formatCells="0" formatRows="0" insertRows="0" deleteRows="0" autoFilter="0"/>
  <mergeCells count="59">
    <mergeCell ref="A15:A16"/>
    <mergeCell ref="F16:H16"/>
    <mergeCell ref="F18:G18"/>
    <mergeCell ref="F17:G17"/>
    <mergeCell ref="K12:R18"/>
    <mergeCell ref="C12:D12"/>
    <mergeCell ref="F12:H12"/>
    <mergeCell ref="F13:G13"/>
    <mergeCell ref="F14:G14"/>
    <mergeCell ref="F15:G15"/>
    <mergeCell ref="T22:W23"/>
    <mergeCell ref="S21:W21"/>
    <mergeCell ref="Q23:R23"/>
    <mergeCell ref="P23:P24"/>
    <mergeCell ref="H23:L23"/>
    <mergeCell ref="S22:S24"/>
    <mergeCell ref="M23:M24"/>
    <mergeCell ref="N23:N24"/>
    <mergeCell ref="O23:O24"/>
    <mergeCell ref="C22:N22"/>
    <mergeCell ref="A21:R21"/>
    <mergeCell ref="O22:R22"/>
    <mergeCell ref="D23:D24"/>
    <mergeCell ref="E23:E24"/>
    <mergeCell ref="F23:F24"/>
    <mergeCell ref="C23:C24"/>
    <mergeCell ref="C1:P1"/>
    <mergeCell ref="C2:P2"/>
    <mergeCell ref="C5:I5"/>
    <mergeCell ref="Q4:R4"/>
    <mergeCell ref="K4:O4"/>
    <mergeCell ref="M5:N5"/>
    <mergeCell ref="K8:O8"/>
    <mergeCell ref="K9:O9"/>
    <mergeCell ref="G9:I9"/>
    <mergeCell ref="K5:L5"/>
    <mergeCell ref="K6:L6"/>
    <mergeCell ref="M6:N6"/>
    <mergeCell ref="A1:B2"/>
    <mergeCell ref="A12:B12"/>
    <mergeCell ref="D14:E14"/>
    <mergeCell ref="K7:L7"/>
    <mergeCell ref="C18:D18"/>
    <mergeCell ref="A18:B18"/>
    <mergeCell ref="C9:E9"/>
    <mergeCell ref="C6:E6"/>
    <mergeCell ref="A4:I4"/>
    <mergeCell ref="G6:I6"/>
    <mergeCell ref="A17:B17"/>
    <mergeCell ref="C17:D17"/>
    <mergeCell ref="A13:B13"/>
    <mergeCell ref="A11:I11"/>
    <mergeCell ref="C7:F7"/>
    <mergeCell ref="C8:F8"/>
    <mergeCell ref="C19:F19"/>
    <mergeCell ref="A23:A24"/>
    <mergeCell ref="B23:B24"/>
    <mergeCell ref="A22:B22"/>
    <mergeCell ref="G23:G24"/>
  </mergeCells>
  <conditionalFormatting sqref="A25 C25:M25 P25:S25">
    <cfRule type="containsText" dxfId="32" priority="18" operator="containsText" text="error">
      <formula>NOT(ISERROR(SEARCH("error",A25)))</formula>
    </cfRule>
    <cfRule type="containsText" dxfId="31" priority="19" operator="containsText" text="ok">
      <formula>NOT(ISERROR(SEARCH("ok",A25)))</formula>
    </cfRule>
    <cfRule type="expression" dxfId="30" priority="20">
      <formula>ISNA(A$25)</formula>
    </cfRule>
    <cfRule type="expression" dxfId="29" priority="21">
      <formula>ISERROR(A$25)</formula>
    </cfRule>
  </conditionalFormatting>
  <conditionalFormatting sqref="A27:A50">
    <cfRule type="expression" dxfId="28" priority="17">
      <formula>AND(LEN($A27)=0,COUNTA($C27:$W27)&gt;0)</formula>
    </cfRule>
  </conditionalFormatting>
  <conditionalFormatting sqref="C27:C50">
    <cfRule type="expression" dxfId="27" priority="16">
      <formula>OR(AND(LEN($A27)&gt;0,LEN($C27)=0))</formula>
    </cfRule>
  </conditionalFormatting>
  <conditionalFormatting sqref="C5:I5 C6:E6 G6:I6 C7:F8 C9:E9 G9:I9 C12:D12 E13 C13:C15 H13:H15 C17:D18 H17:H19">
    <cfRule type="containsBlanks" dxfId="26" priority="26">
      <formula>LEN(TRIM(C5))=0</formula>
    </cfRule>
  </conditionalFormatting>
  <conditionalFormatting sqref="D27:D50">
    <cfRule type="expression" dxfId="25" priority="15">
      <formula>OR(AND(LEN($A27)&gt;0,LEN($D27)=0))</formula>
    </cfRule>
  </conditionalFormatting>
  <conditionalFormatting sqref="E27:E50">
    <cfRule type="expression" dxfId="24" priority="14">
      <formula>OR(AND(LEN($A27)&gt;0,LEN($E27)=0))</formula>
    </cfRule>
  </conditionalFormatting>
  <conditionalFormatting sqref="F27:F50">
    <cfRule type="expression" dxfId="23" priority="13">
      <formula>OR(AND(LEN($A27)&gt;0,LEN($F27)=0))</formula>
    </cfRule>
  </conditionalFormatting>
  <conditionalFormatting sqref="G27:G50">
    <cfRule type="expression" dxfId="22" priority="12">
      <formula>OR(AND(LEN($A27)&gt;0,LEN($G27)=0))</formula>
    </cfRule>
  </conditionalFormatting>
  <conditionalFormatting sqref="H27:H50">
    <cfRule type="expression" dxfId="21" priority="11">
      <formula>OR(AND(LEN($A27)&gt;0,LEN($H27)=0))</formula>
    </cfRule>
  </conditionalFormatting>
  <conditionalFormatting sqref="I27:I50">
    <cfRule type="expression" dxfId="20" priority="10">
      <formula>OR(AND(LEN($A27)&gt;0,LEN($I27)=0))</formula>
    </cfRule>
  </conditionalFormatting>
  <conditionalFormatting sqref="J4 J11">
    <cfRule type="containsText" dxfId="19" priority="25" operator="containsText" text="inc">
      <formula>NOT(ISERROR(SEARCH("inc",J4)))</formula>
    </cfRule>
  </conditionalFormatting>
  <conditionalFormatting sqref="J4 K9:O9 J11 C12">
    <cfRule type="containsErrors" dxfId="18" priority="22">
      <formula>ISERROR(C4)</formula>
    </cfRule>
  </conditionalFormatting>
  <conditionalFormatting sqref="J27:J50">
    <cfRule type="expression" dxfId="17" priority="9">
      <formula>OR(AND(LEN($A27)&gt;0,LEN($J27)=0))</formula>
    </cfRule>
  </conditionalFormatting>
  <conditionalFormatting sqref="K27:K50">
    <cfRule type="expression" dxfId="16" priority="8">
      <formula>OR(AND(LEN($A27)&gt;0,LEN($K27)=0))</formula>
    </cfRule>
  </conditionalFormatting>
  <conditionalFormatting sqref="K9:O9">
    <cfRule type="expression" dxfId="15" priority="23">
      <formula>LEN($C$12)=0</formula>
    </cfRule>
    <cfRule type="expression" dxfId="14" priority="24">
      <formula>LEN($K$9)=0</formula>
    </cfRule>
  </conditionalFormatting>
  <conditionalFormatting sqref="L27:L50">
    <cfRule type="expression" dxfId="13" priority="7">
      <formula>OR(AND(LEN($A27)&gt;0,LEN($L27)=0))</formula>
    </cfRule>
  </conditionalFormatting>
  <conditionalFormatting sqref="M27:M50">
    <cfRule type="expression" dxfId="12" priority="6">
      <formula>OR(AND(LEN($A27)&gt;0,LEN($M27)=0))</formula>
    </cfRule>
  </conditionalFormatting>
  <conditionalFormatting sqref="P27:P50">
    <cfRule type="expression" dxfId="11" priority="5">
      <formula>OR(AND(LEN($A27)&gt;0,LEN($P27)=0))</formula>
    </cfRule>
  </conditionalFormatting>
  <conditionalFormatting sqref="Q27:Q50">
    <cfRule type="expression" dxfId="10" priority="4">
      <formula>OR(AND(LEN($A27)&gt;0,LEN($Q27)=0))</formula>
    </cfRule>
  </conditionalFormatting>
  <conditionalFormatting sqref="Q6:R8">
    <cfRule type="cellIs" dxfId="9" priority="27" operator="equal">
      <formula>1</formula>
    </cfRule>
  </conditionalFormatting>
  <conditionalFormatting sqref="R27:R50">
    <cfRule type="expression" dxfId="8" priority="3">
      <formula>OR(AND(LEN($A27)&gt;0,LEN($R27)=0))</formula>
    </cfRule>
  </conditionalFormatting>
  <conditionalFormatting sqref="S27:S50">
    <cfRule type="expression" dxfId="7" priority="2">
      <formula>OR(AND(LEN($A27)&gt;0,LEN($S27)=0))</formula>
    </cfRule>
  </conditionalFormatting>
  <conditionalFormatting sqref="T27:W50">
    <cfRule type="expression" dxfId="6" priority="1">
      <formula>AND(COUNTA($T27:$W27)=0,$S27&gt;0)</formula>
    </cfRule>
  </conditionalFormatting>
  <dataValidations xWindow="45" yWindow="273" count="35">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ErrorMessage="1" errorTitle="Error code" error="Select a valid Sample Unit code" promptTitle="Sample Unit codes" prompt="Select from the list" sqref="H14" xr:uid="{00000000-0002-0000-0000-000001000000}">
      <formula1>SampleUnitCode</formula1>
    </dataValidation>
    <dataValidation type="list" allowBlank="1" showErrorMessage="1" errorTitle="Error code" error="Select a valid Sampling Location code" promptTitle="Sampling Location codes" prompt="Select from the list" sqref="H13" xr:uid="{00000000-0002-0000-0000-000002000000}">
      <formula1>SampLocatCode</formula1>
    </dataValidation>
    <dataValidation type="list" allowBlank="1" showErrorMessage="1" errorTitle="Error code" error="Invalid size frequency type code" promptTitle="Size Frequency type codes" prompt="Select from the list" sqref="H17" xr:uid="{00000000-0002-0000-0000-000003000000}">
      <formula1>FreqTypeCode</formula1>
    </dataValidation>
    <dataValidation type="list" allowBlank="1" showErrorMessage="1" errorTitle="Error" error="Invalid option" promptTitle="Size class Interval" prompt="Select an option_x000a_Default: 1" sqref="H18" xr:uid="{00000000-0002-0000-0000-000004000000}">
      <formula1>"1, 2, 5"</formula1>
    </dataValidation>
    <dataValidation type="list" allowBlank="1" showInputMessage="1" showErrorMessage="1" errorTitle="Error code" error="Select a valid Product type code" promptTitle="Product type codes" prompt="Select from the list" sqref="C15" xr:uid="{00000000-0002-0000-0000-000005000000}">
      <formula1>ProdTypeCode</formula1>
    </dataValidation>
    <dataValidation type="list" allowBlank="1" showInputMessage="1" showErrorMessage="1" sqref="R2" xr:uid="{00000000-0002-0000-0000-000006000000}">
      <formula1>"ENG,FRA,ESP"</formula1>
    </dataValidation>
    <dataValidation type="list" allowBlank="1" showInputMessage="1" showErrorMessage="1" errorTitle="Country code not defined" error="Select a valid Country code" promptTitle="Country codes" prompt="Select from the list" sqref="G9" xr:uid="{00000000-0002-0000-0000-000007000000}">
      <formula1>FlagName</formula1>
    </dataValidation>
    <dataValidation type="list" allowBlank="1" showErrorMessage="1" errorTitle="Error value" error="option not valid" promptTitle="Raised to Sample Unit" prompt="Select option_x000a_(default = NO)" sqref="H15" xr:uid="{00000000-0002-0000-0000-000008000000}">
      <formula1>"YES,NO"</formula1>
    </dataValidation>
    <dataValidation type="list" allowBlank="1" showErrorMessage="1" errorTitle="Error code" error="Select a valid Class limit code" promptTitle="Class limit codes" prompt="Select from the list" sqref="H19" xr:uid="{00000000-0002-0000-0000-000009000000}">
      <formula1>ClassLimitCode</formula1>
    </dataValidation>
    <dataValidation type="list" allowBlank="1" showInputMessage="1" showErrorMessage="1" sqref="C18:D18" xr:uid="{00000000-0002-0000-0000-00000A000000}">
      <formula1>Content</formula1>
    </dataValidation>
    <dataValidation type="list" allowBlank="1" showErrorMessage="1" errorTitle="Version reported" error="Select a valid option" promptTitle="Version reported" prompt="Preliminary or final" sqref="C17:D17" xr:uid="{00000000-0002-0000-0000-00000B000000}">
      <formula1>Version</formula1>
    </dataValidation>
    <dataValidation type="list" allowBlank="1" showErrorMessage="1" errorTitle="Reporting Flag name not defined" error="Select a valid Reporting Flag name" promptTitle="Reporting Flag names" prompt="Select from the list" sqref="C12:D12" xr:uid="{00000000-0002-0000-0000-00000C000000}">
      <formula1>FlagName</formula1>
    </dataValidation>
    <dataValidation type="whole" allowBlank="1" showErrorMessage="1" errorTitle="Invalid year" error="Not between [from year] and Current Year" promptTitle="Year (4 digits)" prompt="between 1950 and current Year" sqref="E13" xr:uid="{00000000-0002-0000-0000-00001A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B000000}">
      <formula1>YEAR(NOW())</formula1>
    </dataValidation>
    <dataValidation type="textLength" allowBlank="1" showInputMessage="1" showErrorMessage="1" sqref="M6" xr:uid="{00000000-0002-0000-0000-000020000000}">
      <formula1>9</formula1>
      <formula2>9</formula2>
    </dataValidation>
    <dataValidation type="textLength" allowBlank="1" showInputMessage="1" showErrorMessage="1" sqref="M7" xr:uid="{0FB89D60-210F-4053-8D25-695D5398A9B3}">
      <formula1>2</formula1>
      <formula2>2</formula2>
    </dataValidation>
    <dataValidation type="whole" allowBlank="1" showInputMessage="1" showErrorMessage="1" sqref="Q6:R8" xr:uid="{93CDECCA-E17C-4FA2-A821-61C102B4305B}">
      <formula1>0</formula1>
      <formula2>1</formula2>
    </dataValidation>
    <dataValidation type="date" operator="greaterThanOrEqual" allowBlank="1" showInputMessage="1" showErrorMessage="1" sqref="M5:N5" xr:uid="{E5F20896-7C3D-42AE-935C-C8A4C6EB0ECA}">
      <formula1>DATE(YEAR(NOW()),1,1)</formula1>
    </dataValidation>
    <dataValidation type="list" allowBlank="1" showErrorMessage="1" errorTitle="Error code" error="Select from the list a valid School Type code" promptTitle="School Type code" prompt="Select from the list" sqref="G27:G50" xr:uid="{00000000-0002-0000-0000-00000D000000}">
      <formula1>SchoolTypeCode</formula1>
    </dataValidation>
    <dataValidation type="whole" operator="greaterThanOrEqual" allowBlank="1" showErrorMessage="1" errorTitle="Error" error="wrong integer (&gt;=0)_x000a__x000a_Input values (integers &gt;=0 only)" sqref="T27:W50" xr:uid="{00000000-0002-0000-0000-00000E000000}">
      <formula1>0</formula1>
    </dataValidation>
    <dataValidation type="decimal" operator="greaterThanOrEqual" allowBlank="1" showErrorMessage="1" errorTitle="Error" error="Invalid value_x000a__x000a_input integers (&gt;=0)" promptTitle="Total weight (fish sampled)" prompt="_x000a_" sqref="Q27:R50" xr:uid="{00000000-0002-0000-0000-00000F000000}">
      <formula1>0</formula1>
    </dataValidation>
    <dataValidation type="whole" operator="greaterThan" allowBlank="1" showInputMessage="1" showErrorMessage="1" errorTitle="Error" error="Invalid value_x000a__x000a_input integers (&gt;0)_x000a_(multiples of interval selected)" sqref="S27:S50" xr:uid="{00000000-0002-0000-0000-000010000000}">
      <formula1>0</formula1>
    </dataValidation>
    <dataValidation type="list" allowBlank="1" showErrorMessage="1" errorTitle="Error code" error="Select from the list a valid Data source code" promptTitle="Data source code" prompt="Select from the list" sqref="M27:M50" xr:uid="{00000000-0002-0000-0000-000011000000}">
      <formula1>DataSourceCode</formula1>
    </dataValidation>
    <dataValidation type="list" allowBlank="1" showErrorMessage="1" errorTitle="Error code" error="Select from the list a valid Quadrant code" promptTitle="Quadrant code" prompt="Select from the list" sqref="J27:J50" xr:uid="{00000000-0002-0000-0000-000012000000}">
      <formula1>QuadCode</formula1>
    </dataValidation>
    <dataValidation type="list" allowBlank="1" showErrorMessage="1" errorTitle="Error code" error="Select from the list a valid Square Type code" promptTitle="Square Type code" prompt="Select from the list" sqref="I27:I50" xr:uid="{00000000-0002-0000-0000-000013000000}">
      <formula1>SquareTypeCode</formula1>
    </dataValidation>
    <dataValidation type="list" allowBlank="1" showErrorMessage="1" errorTitle="Error" error="Select from the list a Gear code_x000a_" promptTitle="Gear code" prompt="Select from the list" sqref="E27:E50" xr:uid="{00000000-0002-0000-0000-000014000000}">
      <formula1>GearCode</formula1>
    </dataValidation>
    <dataValidation type="list" allowBlank="1" showInputMessage="1" showErrorMessage="1" sqref="A27:A50" xr:uid="{00000000-0002-0000-0000-000015000000}">
      <formula1>FlagA3ISO</formula1>
    </dataValidation>
    <dataValidation type="list" allowBlank="1" showErrorMessage="1" errorTitle="Error code" error="Select from the list a valid Sample Area code" promptTitle="Sampling Area code" prompt="Select from the list" sqref="H27:H50" xr:uid="{00000000-0002-0000-0000-000016000000}">
      <formula1>SampAreaCode</formula1>
    </dataValidation>
    <dataValidation type="whole" allowBlank="1" showErrorMessage="1" sqref="L27:L50" xr:uid="{00000000-0002-0000-0000-000017000000}">
      <formula1>0</formula1>
      <formula2>100</formula2>
    </dataValidation>
    <dataValidation type="whole" allowBlank="1" showInputMessage="1" showErrorMessage="1" sqref="K27:K50" xr:uid="{00000000-0002-0000-0000-000018000000}">
      <formula1>0</formula1>
      <formula2>90</formula2>
    </dataValidation>
    <dataValidation type="decimal" operator="greaterThan" allowBlank="1" showInputMessage="1" showErrorMessage="1" sqref="N27:N50" xr:uid="{00000000-0002-0000-0000-000019000000}">
      <formula1>0</formula1>
    </dataValidation>
    <dataValidation type="whole" allowBlank="1" showInputMessage="1" showErrorMessage="1" sqref="C27:C50" xr:uid="{00000000-0002-0000-0000-00001C000000}">
      <formula1>$C$13</formula1>
      <formula2>$E$13</formula2>
    </dataValidation>
    <dataValidation type="whole" allowBlank="1" showErrorMessage="1" errorTitle="Wrong Month" error="Value between 1 and 12" promptTitle="Month OR Quarter" prompt="Choose Time Period:_x000a_Month [1,12] OR Quarter [13,16]_x000a_" sqref="P27:P50 D27:D50" xr:uid="{00000000-0002-0000-0000-00001D000000}">
      <formula1>1</formula1>
      <formula2>12</formula2>
    </dataValidation>
    <dataValidation type="list" allowBlank="1" showErrorMessage="1" errorTitle="Wrong Month" error="Value between 1 and 12" promptTitle="Month OR Quarter" prompt="Choose Time Period:_x000a_Month [1,12] OR Quarter [13,16]_x000a_" sqref="F27:F50" xr:uid="{00000000-0002-0000-0000-00001E000000}">
      <formula1>CatchTypeCode</formula1>
    </dataValidation>
  </dataValidations>
  <hyperlinks>
    <hyperlink ref="A23:A24" location="FlagA3ISO" display="FlagA3ISO" xr:uid="{00000000-0004-0000-0000-000000000000}"/>
    <hyperlink ref="A12:B12" location="FlagName" display="FlagName" xr:uid="{00000000-0004-0000-0000-000001000000}"/>
    <hyperlink ref="B14" location="SpeciesCode" display="SpeciesCode" xr:uid="{00000000-0004-0000-0000-000002000000}"/>
    <hyperlink ref="B23:B24" location="PortsZones" display="PortsZones" xr:uid="{00000000-0004-0000-0000-000003000000}"/>
    <hyperlink ref="E23:E24" location="GearCode" display="GearCode" xr:uid="{00000000-0004-0000-0000-000004000000}"/>
    <hyperlink ref="H24" location="SampAreaCode" display="SampAreaCode" xr:uid="{00000000-0004-0000-0000-000005000000}"/>
    <hyperlink ref="I24" location="SquareTypeCode" display="SquareTypeCode" xr:uid="{00000000-0004-0000-0000-000006000000}"/>
    <hyperlink ref="J24" location="SquareTypeCode" display="SquareTypeCode" xr:uid="{00000000-0004-0000-0000-000007000000}"/>
    <hyperlink ref="M23:M24" location="DataSourceCode" display="DataSourceCode" xr:uid="{00000000-0004-0000-0000-000008000000}"/>
    <hyperlink ref="F13" location="SampLocatCode" display="SampLocatCode" xr:uid="{00000000-0004-0000-0000-000009000000}"/>
    <hyperlink ref="F14" location="SampleUnitCode" display="SampleUnitCode" xr:uid="{00000000-0004-0000-0000-00000A000000}"/>
    <hyperlink ref="F23:F24" location="CatchTypeCode" display="CatchTypeCode" xr:uid="{00000000-0004-0000-0000-00000B000000}"/>
    <hyperlink ref="G23:G24" location="SchoolTypeCode" display="SchoolTypeCode" xr:uid="{00000000-0004-0000-0000-00000C000000}"/>
    <hyperlink ref="F17:G17" location="FreqTypeCode" display="FreqTypeCode" xr:uid="{00000000-0004-0000-0000-00000D000000}"/>
    <hyperlink ref="G19" location="ClassLimitCode" display="ClassLimitCode" xr:uid="{00000000-0004-0000-0000-00000E000000}"/>
    <hyperlink ref="A17:B17" location="Version" display="Version" xr:uid="{00000000-0004-0000-0000-00000F000000}"/>
    <hyperlink ref="A18:B18" location="Content" display="Content" xr:uid="{00000000-0004-0000-0000-000010000000}"/>
    <hyperlink ref="Q4:R4" location="filters!A1" display="filters!A1" xr:uid="{00000000-0004-0000-0000-000011000000}"/>
    <hyperlink ref="F9" location="FlagName" display="FlagName" xr:uid="{00000000-0004-0000-0000-000012000000}"/>
    <hyperlink ref="F13:G13" location="SampLocatCode" display="SampLocatCode" xr:uid="{00000000-0004-0000-0000-000013000000}"/>
    <hyperlink ref="F14:G14" location="SampleUnitCode" display="SampleUnitCode" xr:uid="{00000000-0004-0000-0000-000014000000}"/>
    <hyperlink ref="B15" location="ProdTypeCode" display="ProdTypeCode" xr:uid="{00000000-0004-0000-0000-000015000000}"/>
  </hyperlinks>
  <pageMargins left="0.39370078740157483" right="0.39370078740157483" top="0.39370078740157483" bottom="0.39370078740157483" header="0.31496062992125984" footer="0.31496062992125984"/>
  <pageSetup paperSize="9" scale="4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204"/>
  <sheetViews>
    <sheetView zoomScale="85" zoomScaleNormal="85" zoomScaleSheetLayoutView="100" workbookViewId="0">
      <pane ySplit="2" topLeftCell="A3" activePane="bottomLeft" state="frozen"/>
      <selection pane="bottomLeft" activeCell="D2" sqref="D2"/>
    </sheetView>
  </sheetViews>
  <sheetFormatPr defaultColWidth="6" defaultRowHeight="12" x14ac:dyDescent="0.2"/>
  <cols>
    <col min="1" max="1" width="23" style="3" bestFit="1" customWidth="1"/>
    <col min="2" max="2" width="7.7109375" style="3" bestFit="1" customWidth="1"/>
    <col min="3" max="3" width="6.140625" style="3" bestFit="1" customWidth="1"/>
    <col min="4" max="4" width="63.42578125" style="3" bestFit="1" customWidth="1"/>
    <col min="5" max="6" width="9.42578125" style="3" bestFit="1" customWidth="1"/>
    <col min="7" max="7" width="2.28515625" style="3" customWidth="1"/>
    <col min="8" max="8" width="10.7109375" style="3" bestFit="1" customWidth="1"/>
    <col min="9" max="9" width="27.42578125" style="3" bestFit="1" customWidth="1"/>
    <col min="10" max="10" width="27.140625" style="3" bestFit="1" customWidth="1"/>
    <col min="11" max="11" width="26.85546875" style="3" bestFit="1" customWidth="1"/>
    <col min="12" max="12" width="26.42578125" style="3" bestFit="1" customWidth="1"/>
    <col min="13" max="13" width="16.7109375" style="3" bestFit="1" customWidth="1"/>
    <col min="14" max="14" width="10.28515625" style="3" bestFit="1" customWidth="1"/>
    <col min="15" max="15" width="5.85546875" style="3" customWidth="1"/>
    <col min="16" max="16" width="12.42578125" style="3" bestFit="1" customWidth="1"/>
    <col min="17" max="17" width="7.42578125" style="3" bestFit="1" customWidth="1"/>
    <col min="18" max="18" width="8.85546875" style="3" bestFit="1" customWidth="1"/>
    <col min="19" max="19" width="18.42578125" style="3" bestFit="1" customWidth="1"/>
    <col min="20" max="20" width="2.28515625" style="3" customWidth="1"/>
    <col min="21" max="21" width="7.7109375" style="3" bestFit="1" customWidth="1"/>
    <col min="22" max="22" width="46.28515625" style="3" customWidth="1"/>
    <col min="23" max="23" width="8.7109375" style="3" bestFit="1" customWidth="1"/>
    <col min="24" max="24" width="2.28515625" style="3" customWidth="1"/>
    <col min="25" max="25" width="16.28515625" style="3" bestFit="1" customWidth="1"/>
    <col min="26" max="26" width="59" style="3" bestFit="1" customWidth="1"/>
    <col min="27" max="27" width="9.7109375" style="3" bestFit="1" customWidth="1"/>
    <col min="28" max="28" width="10.7109375" style="3" bestFit="1" customWidth="1"/>
    <col min="29" max="29" width="12.140625" style="3" bestFit="1" customWidth="1"/>
    <col min="30" max="30" width="27.28515625" style="3" bestFit="1" customWidth="1"/>
    <col min="31" max="16384" width="6" style="3"/>
  </cols>
  <sheetData>
    <row r="1" spans="1:30" x14ac:dyDescent="0.2">
      <c r="A1" s="283" t="s">
        <v>1940</v>
      </c>
      <c r="B1" s="283"/>
      <c r="C1" s="283"/>
      <c r="D1" s="283"/>
      <c r="E1" s="283"/>
      <c r="F1" s="283"/>
      <c r="H1" s="284" t="s">
        <v>1916</v>
      </c>
      <c r="I1" s="284"/>
      <c r="J1" s="284"/>
      <c r="K1" s="284"/>
      <c r="L1" s="284"/>
      <c r="M1" s="284"/>
      <c r="N1" s="284"/>
      <c r="P1" s="287" t="s">
        <v>954</v>
      </c>
      <c r="Q1" s="287"/>
      <c r="R1" s="287"/>
      <c r="S1" s="287"/>
      <c r="U1" s="286" t="s">
        <v>1182</v>
      </c>
      <c r="V1" s="286"/>
      <c r="W1" s="286"/>
      <c r="Y1" s="285" t="s">
        <v>1174</v>
      </c>
      <c r="Z1" s="285"/>
      <c r="AB1" s="285" t="s">
        <v>1180</v>
      </c>
      <c r="AC1" s="285"/>
      <c r="AD1" s="285"/>
    </row>
    <row r="2" spans="1:30" x14ac:dyDescent="0.2">
      <c r="A2" s="74" t="s">
        <v>799</v>
      </c>
      <c r="B2" s="170" t="s">
        <v>2351</v>
      </c>
      <c r="C2" s="170" t="s">
        <v>2352</v>
      </c>
      <c r="D2" s="38" t="s">
        <v>2520</v>
      </c>
      <c r="E2" s="170" t="s">
        <v>800</v>
      </c>
      <c r="F2" s="171" t="s">
        <v>801</v>
      </c>
      <c r="H2" s="145" t="s">
        <v>2371</v>
      </c>
      <c r="I2" s="146" t="s">
        <v>942</v>
      </c>
      <c r="J2" s="146" t="s">
        <v>943</v>
      </c>
      <c r="K2" s="146" t="s">
        <v>944</v>
      </c>
      <c r="L2" s="146" t="s">
        <v>945</v>
      </c>
      <c r="M2" s="146" t="s">
        <v>946</v>
      </c>
      <c r="N2" s="147" t="s">
        <v>947</v>
      </c>
      <c r="P2" s="74" t="s">
        <v>2098</v>
      </c>
      <c r="Q2" s="39" t="s">
        <v>751</v>
      </c>
      <c r="R2" s="75" t="s">
        <v>2099</v>
      </c>
      <c r="S2" s="76" t="s">
        <v>750</v>
      </c>
      <c r="T2" s="4"/>
      <c r="U2" s="40" t="s">
        <v>2375</v>
      </c>
      <c r="V2" s="38" t="s">
        <v>450</v>
      </c>
      <c r="W2" s="41" t="s">
        <v>451</v>
      </c>
      <c r="Y2" s="62" t="s">
        <v>2379</v>
      </c>
      <c r="Z2" s="63" t="s">
        <v>503</v>
      </c>
      <c r="AB2" s="56" t="s">
        <v>749</v>
      </c>
      <c r="AC2" s="57" t="s">
        <v>2100</v>
      </c>
      <c r="AD2" s="58" t="s">
        <v>70</v>
      </c>
    </row>
    <row r="3" spans="1:30" x14ac:dyDescent="0.2">
      <c r="A3" s="200" t="s">
        <v>747</v>
      </c>
      <c r="B3" s="198" t="s">
        <v>729</v>
      </c>
      <c r="C3" s="198" t="s">
        <v>308</v>
      </c>
      <c r="D3" s="1"/>
      <c r="E3" s="198" t="s">
        <v>729</v>
      </c>
      <c r="F3" s="198" t="s">
        <v>802</v>
      </c>
      <c r="H3" s="42" t="s">
        <v>688</v>
      </c>
      <c r="I3" s="148" t="s">
        <v>746</v>
      </c>
      <c r="J3" s="148" t="s">
        <v>745</v>
      </c>
      <c r="K3" s="148" t="s">
        <v>744</v>
      </c>
      <c r="L3" s="148" t="s">
        <v>743</v>
      </c>
      <c r="M3" s="148" t="s">
        <v>948</v>
      </c>
      <c r="N3" s="43" t="s">
        <v>949</v>
      </c>
      <c r="P3" s="203" t="s">
        <v>742</v>
      </c>
      <c r="Q3" s="1" t="s">
        <v>93</v>
      </c>
      <c r="R3" s="288" t="s">
        <v>741</v>
      </c>
      <c r="S3" s="289" t="s">
        <v>729</v>
      </c>
      <c r="U3" s="198" t="s">
        <v>210</v>
      </c>
      <c r="V3" s="198" t="s">
        <v>442</v>
      </c>
      <c r="W3" s="198" t="s">
        <v>210</v>
      </c>
      <c r="Y3" s="21" t="s">
        <v>493</v>
      </c>
      <c r="Z3" s="7" t="s">
        <v>492</v>
      </c>
      <c r="AB3" s="5">
        <v>0</v>
      </c>
      <c r="AC3" s="6" t="s">
        <v>203</v>
      </c>
      <c r="AD3" s="7" t="s">
        <v>2155</v>
      </c>
    </row>
    <row r="4" spans="1:30" x14ac:dyDescent="0.2">
      <c r="A4" s="200" t="s">
        <v>740</v>
      </c>
      <c r="B4" s="198" t="s">
        <v>739</v>
      </c>
      <c r="C4" s="198" t="s">
        <v>308</v>
      </c>
      <c r="D4" s="1"/>
      <c r="E4" s="198" t="s">
        <v>739</v>
      </c>
      <c r="F4" s="198" t="s">
        <v>803</v>
      </c>
      <c r="H4" s="42" t="s">
        <v>325</v>
      </c>
      <c r="I4" s="148" t="s">
        <v>738</v>
      </c>
      <c r="J4" s="148" t="s">
        <v>737</v>
      </c>
      <c r="K4" s="148" t="s">
        <v>727</v>
      </c>
      <c r="L4" s="148" t="s">
        <v>736</v>
      </c>
      <c r="M4" s="148" t="s">
        <v>948</v>
      </c>
      <c r="N4" s="43" t="s">
        <v>949</v>
      </c>
      <c r="P4" s="203" t="s">
        <v>735</v>
      </c>
      <c r="Q4" s="1" t="s">
        <v>93</v>
      </c>
      <c r="R4" s="288"/>
      <c r="S4" s="289"/>
      <c r="U4" s="198" t="s">
        <v>435</v>
      </c>
      <c r="V4" s="198" t="s">
        <v>2487</v>
      </c>
      <c r="W4" s="198" t="s">
        <v>210</v>
      </c>
      <c r="Y4" s="21" t="s">
        <v>482</v>
      </c>
      <c r="Z4" s="7" t="s">
        <v>481</v>
      </c>
      <c r="AB4" s="5">
        <v>1</v>
      </c>
      <c r="AC4" s="6" t="s">
        <v>734</v>
      </c>
      <c r="AD4" s="7" t="s">
        <v>733</v>
      </c>
    </row>
    <row r="5" spans="1:30" x14ac:dyDescent="0.2">
      <c r="A5" s="200" t="s">
        <v>731</v>
      </c>
      <c r="B5" s="198" t="s">
        <v>730</v>
      </c>
      <c r="C5" s="198" t="s">
        <v>308</v>
      </c>
      <c r="D5" s="1"/>
      <c r="E5" s="198" t="s">
        <v>730</v>
      </c>
      <c r="F5" s="198" t="s">
        <v>804</v>
      </c>
      <c r="H5" s="42" t="s">
        <v>729</v>
      </c>
      <c r="I5" s="148" t="s">
        <v>728</v>
      </c>
      <c r="J5" s="148" t="s">
        <v>727</v>
      </c>
      <c r="K5" s="148" t="s">
        <v>726</v>
      </c>
      <c r="L5" s="148" t="s">
        <v>725</v>
      </c>
      <c r="M5" s="148" t="s">
        <v>948</v>
      </c>
      <c r="N5" s="43" t="s">
        <v>949</v>
      </c>
      <c r="P5" s="203" t="s">
        <v>724</v>
      </c>
      <c r="Q5" s="1" t="s">
        <v>93</v>
      </c>
      <c r="R5" s="288" t="s">
        <v>723</v>
      </c>
      <c r="S5" s="289"/>
      <c r="U5" s="198" t="s">
        <v>406</v>
      </c>
      <c r="V5" s="198" t="s">
        <v>2488</v>
      </c>
      <c r="W5" s="198" t="s">
        <v>210</v>
      </c>
      <c r="Y5" s="21" t="s">
        <v>472</v>
      </c>
      <c r="Z5" s="7" t="s">
        <v>471</v>
      </c>
      <c r="AB5" s="5">
        <v>2</v>
      </c>
      <c r="AC5" s="6" t="s">
        <v>722</v>
      </c>
      <c r="AD5" s="7" t="s">
        <v>721</v>
      </c>
    </row>
    <row r="6" spans="1:30" x14ac:dyDescent="0.2">
      <c r="A6" s="200" t="s">
        <v>718</v>
      </c>
      <c r="B6" s="198" t="s">
        <v>717</v>
      </c>
      <c r="C6" s="198" t="s">
        <v>308</v>
      </c>
      <c r="D6" s="1"/>
      <c r="E6" s="198" t="s">
        <v>717</v>
      </c>
      <c r="F6" s="198" t="s">
        <v>314</v>
      </c>
      <c r="H6" s="42" t="s">
        <v>542</v>
      </c>
      <c r="I6" s="148" t="s">
        <v>716</v>
      </c>
      <c r="J6" s="148" t="s">
        <v>715</v>
      </c>
      <c r="K6" s="148" t="s">
        <v>714</v>
      </c>
      <c r="L6" s="148" t="s">
        <v>713</v>
      </c>
      <c r="M6" s="148" t="s">
        <v>948</v>
      </c>
      <c r="N6" s="43" t="s">
        <v>949</v>
      </c>
      <c r="P6" s="203" t="s">
        <v>712</v>
      </c>
      <c r="Q6" s="1" t="s">
        <v>93</v>
      </c>
      <c r="R6" s="288"/>
      <c r="S6" s="289"/>
      <c r="U6" s="198" t="s">
        <v>402</v>
      </c>
      <c r="V6" s="198" t="s">
        <v>1917</v>
      </c>
      <c r="W6" s="198" t="s">
        <v>210</v>
      </c>
      <c r="Y6" s="21" t="s">
        <v>468</v>
      </c>
      <c r="Z6" s="7" t="s">
        <v>467</v>
      </c>
      <c r="AB6" s="5">
        <v>3</v>
      </c>
      <c r="AC6" s="6" t="s">
        <v>711</v>
      </c>
      <c r="AD6" s="7" t="s">
        <v>710</v>
      </c>
    </row>
    <row r="7" spans="1:30" x14ac:dyDescent="0.2">
      <c r="A7" s="200" t="s">
        <v>707</v>
      </c>
      <c r="B7" s="198" t="s">
        <v>706</v>
      </c>
      <c r="C7" s="198" t="s">
        <v>308</v>
      </c>
      <c r="D7" s="1" t="s">
        <v>288</v>
      </c>
      <c r="E7" s="198" t="s">
        <v>706</v>
      </c>
      <c r="F7" s="198" t="s">
        <v>805</v>
      </c>
      <c r="H7" s="42" t="s">
        <v>392</v>
      </c>
      <c r="I7" s="148" t="s">
        <v>705</v>
      </c>
      <c r="J7" s="148" t="s">
        <v>704</v>
      </c>
      <c r="K7" s="148" t="s">
        <v>703</v>
      </c>
      <c r="L7" s="148" t="s">
        <v>702</v>
      </c>
      <c r="M7" s="148" t="s">
        <v>948</v>
      </c>
      <c r="N7" s="43" t="s">
        <v>949</v>
      </c>
      <c r="P7" s="203" t="s">
        <v>701</v>
      </c>
      <c r="Q7" s="204" t="s">
        <v>91</v>
      </c>
      <c r="R7" s="205" t="s">
        <v>700</v>
      </c>
      <c r="S7" s="289"/>
      <c r="U7" s="198" t="s">
        <v>397</v>
      </c>
      <c r="V7" s="198" t="s">
        <v>2165</v>
      </c>
      <c r="W7" s="198" t="s">
        <v>210</v>
      </c>
      <c r="Y7" s="20" t="s">
        <v>200</v>
      </c>
      <c r="Z7" s="19" t="s">
        <v>1949</v>
      </c>
      <c r="AB7" s="10">
        <v>4</v>
      </c>
      <c r="AC7" s="11" t="s">
        <v>699</v>
      </c>
      <c r="AD7" s="12" t="s">
        <v>698</v>
      </c>
    </row>
    <row r="8" spans="1:30" x14ac:dyDescent="0.2">
      <c r="A8" s="200" t="s">
        <v>695</v>
      </c>
      <c r="B8" s="198" t="s">
        <v>694</v>
      </c>
      <c r="C8" s="198" t="s">
        <v>308</v>
      </c>
      <c r="D8" s="1" t="s">
        <v>1941</v>
      </c>
      <c r="E8" s="198" t="s">
        <v>694</v>
      </c>
      <c r="F8" s="198" t="s">
        <v>806</v>
      </c>
      <c r="H8" s="42" t="s">
        <v>119</v>
      </c>
      <c r="I8" s="148" t="s">
        <v>693</v>
      </c>
      <c r="J8" s="148" t="s">
        <v>692</v>
      </c>
      <c r="K8" s="148" t="s">
        <v>691</v>
      </c>
      <c r="L8" s="148" t="s">
        <v>690</v>
      </c>
      <c r="M8" s="148" t="s">
        <v>948</v>
      </c>
      <c r="N8" s="43" t="s">
        <v>949</v>
      </c>
      <c r="P8" s="203" t="s">
        <v>680</v>
      </c>
      <c r="Q8" s="1" t="s">
        <v>93</v>
      </c>
      <c r="R8" s="288" t="s">
        <v>689</v>
      </c>
      <c r="S8" s="288" t="s">
        <v>688</v>
      </c>
      <c r="U8" s="201" t="s">
        <v>2489</v>
      </c>
      <c r="V8" s="206" t="s">
        <v>2490</v>
      </c>
      <c r="W8" s="198" t="s">
        <v>210</v>
      </c>
    </row>
    <row r="9" spans="1:30" x14ac:dyDescent="0.2">
      <c r="A9" s="200" t="s">
        <v>685</v>
      </c>
      <c r="B9" s="198" t="s">
        <v>533</v>
      </c>
      <c r="C9" s="198" t="s">
        <v>308</v>
      </c>
      <c r="D9" s="1"/>
      <c r="E9" s="198" t="s">
        <v>533</v>
      </c>
      <c r="F9" s="198" t="s">
        <v>807</v>
      </c>
      <c r="H9" s="42" t="s">
        <v>168</v>
      </c>
      <c r="I9" s="148" t="s">
        <v>684</v>
      </c>
      <c r="J9" s="148" t="s">
        <v>683</v>
      </c>
      <c r="K9" s="148" t="s">
        <v>682</v>
      </c>
      <c r="L9" s="148" t="s">
        <v>681</v>
      </c>
      <c r="M9" s="148" t="s">
        <v>948</v>
      </c>
      <c r="N9" s="43" t="s">
        <v>949</v>
      </c>
      <c r="P9" s="203" t="s">
        <v>672</v>
      </c>
      <c r="Q9" s="1" t="s">
        <v>93</v>
      </c>
      <c r="R9" s="288"/>
      <c r="S9" s="288"/>
      <c r="U9" s="198" t="s">
        <v>391</v>
      </c>
      <c r="V9" s="198" t="s">
        <v>2166</v>
      </c>
      <c r="W9" s="198" t="s">
        <v>210</v>
      </c>
    </row>
    <row r="10" spans="1:30" x14ac:dyDescent="0.2">
      <c r="A10" s="200" t="s">
        <v>677</v>
      </c>
      <c r="B10" s="198" t="s">
        <v>676</v>
      </c>
      <c r="C10" s="198" t="s">
        <v>308</v>
      </c>
      <c r="D10" s="1" t="s">
        <v>1942</v>
      </c>
      <c r="E10" s="198" t="s">
        <v>676</v>
      </c>
      <c r="F10" s="198" t="s">
        <v>808</v>
      </c>
      <c r="H10" s="42" t="s">
        <v>136</v>
      </c>
      <c r="I10" s="148" t="s">
        <v>2372</v>
      </c>
      <c r="J10" s="148" t="s">
        <v>675</v>
      </c>
      <c r="K10" s="148" t="s">
        <v>674</v>
      </c>
      <c r="L10" s="148" t="s">
        <v>673</v>
      </c>
      <c r="M10" s="148" t="s">
        <v>948</v>
      </c>
      <c r="N10" s="43" t="s">
        <v>949</v>
      </c>
      <c r="P10" s="203" t="s">
        <v>657</v>
      </c>
      <c r="Q10" s="1" t="s">
        <v>93</v>
      </c>
      <c r="R10" s="288"/>
      <c r="S10" s="288"/>
      <c r="U10" s="198" t="s">
        <v>409</v>
      </c>
      <c r="V10" s="198" t="s">
        <v>1918</v>
      </c>
      <c r="W10" s="198" t="s">
        <v>210</v>
      </c>
      <c r="Y10" s="285" t="s">
        <v>2173</v>
      </c>
      <c r="Z10" s="285"/>
      <c r="AB10" s="285" t="s">
        <v>1181</v>
      </c>
      <c r="AC10" s="285"/>
      <c r="AD10" s="285"/>
    </row>
    <row r="11" spans="1:30" x14ac:dyDescent="0.2">
      <c r="A11" s="200" t="s">
        <v>669</v>
      </c>
      <c r="B11" s="198" t="s">
        <v>668</v>
      </c>
      <c r="C11" s="198" t="s">
        <v>308</v>
      </c>
      <c r="D11" s="1"/>
      <c r="E11" s="198" t="s">
        <v>668</v>
      </c>
      <c r="F11" s="198" t="s">
        <v>809</v>
      </c>
      <c r="H11" s="42" t="s">
        <v>188</v>
      </c>
      <c r="I11" s="148" t="s">
        <v>667</v>
      </c>
      <c r="J11" s="148" t="s">
        <v>666</v>
      </c>
      <c r="K11" s="148" t="s">
        <v>665</v>
      </c>
      <c r="L11" s="148" t="s">
        <v>664</v>
      </c>
      <c r="M11" s="148" t="s">
        <v>948</v>
      </c>
      <c r="N11" s="43" t="s">
        <v>949</v>
      </c>
      <c r="P11" s="203" t="s">
        <v>649</v>
      </c>
      <c r="Q11" s="1" t="s">
        <v>93</v>
      </c>
      <c r="R11" s="288"/>
      <c r="S11" s="288"/>
      <c r="U11" s="198" t="s">
        <v>384</v>
      </c>
      <c r="V11" s="198" t="s">
        <v>1919</v>
      </c>
      <c r="W11" s="198" t="s">
        <v>210</v>
      </c>
      <c r="Y11" s="62" t="s">
        <v>2380</v>
      </c>
      <c r="Z11" s="63" t="s">
        <v>2170</v>
      </c>
      <c r="AB11" s="173" t="s">
        <v>534</v>
      </c>
      <c r="AC11" s="174" t="s">
        <v>2089</v>
      </c>
      <c r="AD11" s="175" t="s">
        <v>2087</v>
      </c>
    </row>
    <row r="12" spans="1:30" x14ac:dyDescent="0.2">
      <c r="A12" s="200" t="s">
        <v>287</v>
      </c>
      <c r="B12" s="198" t="s">
        <v>286</v>
      </c>
      <c r="C12" s="198" t="s">
        <v>308</v>
      </c>
      <c r="D12" s="1" t="s">
        <v>288</v>
      </c>
      <c r="E12" s="198" t="s">
        <v>286</v>
      </c>
      <c r="F12" s="198" t="s">
        <v>893</v>
      </c>
      <c r="H12" s="42" t="s">
        <v>107</v>
      </c>
      <c r="I12" s="148" t="s">
        <v>661</v>
      </c>
      <c r="J12" s="148" t="s">
        <v>660</v>
      </c>
      <c r="K12" s="148" t="s">
        <v>659</v>
      </c>
      <c r="L12" s="148" t="s">
        <v>658</v>
      </c>
      <c r="M12" s="144" t="s">
        <v>948</v>
      </c>
      <c r="N12" s="45" t="s">
        <v>949</v>
      </c>
      <c r="P12" s="203" t="s">
        <v>643</v>
      </c>
      <c r="Q12" s="204" t="s">
        <v>91</v>
      </c>
      <c r="R12" s="288"/>
      <c r="S12" s="288"/>
      <c r="U12" s="201" t="s">
        <v>2491</v>
      </c>
      <c r="V12" s="206" t="s">
        <v>2492</v>
      </c>
      <c r="W12" s="198" t="s">
        <v>210</v>
      </c>
      <c r="Y12" s="8" t="s">
        <v>1939</v>
      </c>
      <c r="Z12" s="9" t="s">
        <v>2500</v>
      </c>
      <c r="AB12" s="176">
        <v>1</v>
      </c>
      <c r="AC12" s="177" t="s">
        <v>521</v>
      </c>
      <c r="AD12" s="178" t="s">
        <v>520</v>
      </c>
    </row>
    <row r="13" spans="1:30" x14ac:dyDescent="0.2">
      <c r="A13" s="200" t="s">
        <v>1859</v>
      </c>
      <c r="B13" s="198" t="s">
        <v>662</v>
      </c>
      <c r="C13" s="198" t="s">
        <v>308</v>
      </c>
      <c r="D13" s="1" t="s">
        <v>663</v>
      </c>
      <c r="E13" s="198" t="s">
        <v>662</v>
      </c>
      <c r="F13" s="198" t="s">
        <v>810</v>
      </c>
      <c r="H13" s="42" t="s">
        <v>595</v>
      </c>
      <c r="I13" s="148" t="s">
        <v>594</v>
      </c>
      <c r="J13" s="148" t="s">
        <v>593</v>
      </c>
      <c r="K13" s="148" t="s">
        <v>592</v>
      </c>
      <c r="L13" s="148" t="s">
        <v>591</v>
      </c>
      <c r="M13" s="148" t="s">
        <v>2131</v>
      </c>
      <c r="N13" s="43" t="s">
        <v>949</v>
      </c>
      <c r="P13" s="203" t="s">
        <v>637</v>
      </c>
      <c r="Q13" s="1" t="s">
        <v>93</v>
      </c>
      <c r="R13" s="288"/>
      <c r="S13" s="288"/>
      <c r="U13" s="198" t="s">
        <v>381</v>
      </c>
      <c r="V13" s="198" t="s">
        <v>1920</v>
      </c>
      <c r="W13" s="198" t="s">
        <v>210</v>
      </c>
      <c r="X13" s="15"/>
      <c r="Y13" s="8" t="s">
        <v>396</v>
      </c>
      <c r="Z13" s="9" t="s">
        <v>2505</v>
      </c>
      <c r="AB13" s="176">
        <v>3</v>
      </c>
      <c r="AC13" s="177" t="s">
        <v>509</v>
      </c>
      <c r="AD13" s="178" t="s">
        <v>2090</v>
      </c>
    </row>
    <row r="14" spans="1:30" x14ac:dyDescent="0.2">
      <c r="A14" s="200" t="s">
        <v>2399</v>
      </c>
      <c r="B14" s="198" t="s">
        <v>2400</v>
      </c>
      <c r="C14" s="198" t="s">
        <v>308</v>
      </c>
      <c r="D14" s="198"/>
      <c r="E14" s="198" t="s">
        <v>2127</v>
      </c>
      <c r="F14" s="198" t="s">
        <v>93</v>
      </c>
      <c r="H14" s="42" t="s">
        <v>589</v>
      </c>
      <c r="I14" s="148" t="s">
        <v>588</v>
      </c>
      <c r="J14" s="148" t="s">
        <v>587</v>
      </c>
      <c r="K14" s="148" t="s">
        <v>586</v>
      </c>
      <c r="L14" s="148" t="s">
        <v>585</v>
      </c>
      <c r="M14" s="148" t="s">
        <v>2131</v>
      </c>
      <c r="N14" s="43" t="s">
        <v>949</v>
      </c>
      <c r="P14" s="203" t="s">
        <v>623</v>
      </c>
      <c r="Q14" s="1" t="s">
        <v>93</v>
      </c>
      <c r="R14" s="288"/>
      <c r="S14" s="288"/>
      <c r="U14" s="198" t="s">
        <v>387</v>
      </c>
      <c r="V14" s="198" t="s">
        <v>2167</v>
      </c>
      <c r="W14" s="198" t="s">
        <v>210</v>
      </c>
      <c r="X14" s="15"/>
      <c r="Y14" s="8" t="s">
        <v>424</v>
      </c>
      <c r="Z14" s="9" t="s">
        <v>2172</v>
      </c>
      <c r="AB14" s="176">
        <v>5</v>
      </c>
      <c r="AC14" s="177" t="s">
        <v>495</v>
      </c>
      <c r="AD14" s="178" t="s">
        <v>494</v>
      </c>
    </row>
    <row r="15" spans="1:30" x14ac:dyDescent="0.2">
      <c r="A15" s="200" t="s">
        <v>2401</v>
      </c>
      <c r="B15" s="198" t="s">
        <v>2402</v>
      </c>
      <c r="C15" s="198" t="s">
        <v>308</v>
      </c>
      <c r="D15" s="1"/>
      <c r="E15" s="198" t="s">
        <v>812</v>
      </c>
      <c r="F15" s="198" t="s">
        <v>813</v>
      </c>
      <c r="H15" s="42" t="s">
        <v>584</v>
      </c>
      <c r="I15" s="148" t="s">
        <v>583</v>
      </c>
      <c r="J15" s="148" t="s">
        <v>582</v>
      </c>
      <c r="K15" s="148" t="s">
        <v>581</v>
      </c>
      <c r="L15" s="148" t="s">
        <v>580</v>
      </c>
      <c r="M15" s="148" t="s">
        <v>2131</v>
      </c>
      <c r="N15" s="43" t="s">
        <v>949</v>
      </c>
      <c r="P15" s="203" t="s">
        <v>1865</v>
      </c>
      <c r="Q15" s="1" t="s">
        <v>93</v>
      </c>
      <c r="R15" s="288"/>
      <c r="S15" s="288"/>
      <c r="U15" s="198" t="s">
        <v>338</v>
      </c>
      <c r="V15" s="198" t="s">
        <v>378</v>
      </c>
      <c r="W15" s="198" t="s">
        <v>338</v>
      </c>
      <c r="X15" s="15"/>
      <c r="Y15" s="8" t="s">
        <v>2502</v>
      </c>
      <c r="Z15" s="9" t="s">
        <v>2503</v>
      </c>
      <c r="AB15" s="176">
        <v>6</v>
      </c>
      <c r="AC15" s="177" t="s">
        <v>484</v>
      </c>
      <c r="AD15" s="178" t="s">
        <v>483</v>
      </c>
    </row>
    <row r="16" spans="1:30" x14ac:dyDescent="0.2">
      <c r="A16" s="200" t="s">
        <v>2403</v>
      </c>
      <c r="B16" s="198" t="s">
        <v>2404</v>
      </c>
      <c r="C16" s="198" t="s">
        <v>308</v>
      </c>
      <c r="D16" s="1"/>
      <c r="E16" s="198" t="s">
        <v>814</v>
      </c>
      <c r="F16" s="198" t="s">
        <v>815</v>
      </c>
      <c r="H16" s="42" t="s">
        <v>578</v>
      </c>
      <c r="I16" s="148" t="s">
        <v>577</v>
      </c>
      <c r="J16" s="148" t="s">
        <v>576</v>
      </c>
      <c r="K16" s="148" t="s">
        <v>575</v>
      </c>
      <c r="L16" s="148" t="s">
        <v>574</v>
      </c>
      <c r="M16" s="148" t="s">
        <v>2131</v>
      </c>
      <c r="N16" s="43" t="s">
        <v>949</v>
      </c>
      <c r="P16" s="203" t="s">
        <v>1866</v>
      </c>
      <c r="Q16" s="1" t="s">
        <v>93</v>
      </c>
      <c r="R16" s="288" t="s">
        <v>600</v>
      </c>
      <c r="S16" s="288"/>
      <c r="U16" s="198" t="s">
        <v>366</v>
      </c>
      <c r="V16" s="198" t="s">
        <v>1921</v>
      </c>
      <c r="W16" s="198" t="s">
        <v>338</v>
      </c>
      <c r="X16" s="15"/>
      <c r="Y16" s="8" t="s">
        <v>2506</v>
      </c>
      <c r="Z16" s="9" t="s">
        <v>2507</v>
      </c>
      <c r="AB16" s="176">
        <v>7</v>
      </c>
      <c r="AC16" s="177" t="s">
        <v>2088</v>
      </c>
      <c r="AD16" s="178" t="s">
        <v>2394</v>
      </c>
    </row>
    <row r="17" spans="1:30" x14ac:dyDescent="0.2">
      <c r="A17" s="200" t="s">
        <v>2405</v>
      </c>
      <c r="B17" s="198" t="s">
        <v>2406</v>
      </c>
      <c r="C17" s="198" t="s">
        <v>308</v>
      </c>
      <c r="D17" s="1" t="s">
        <v>1943</v>
      </c>
      <c r="E17" s="198" t="s">
        <v>816</v>
      </c>
      <c r="F17" s="198" t="s">
        <v>817</v>
      </c>
      <c r="H17" s="42" t="s">
        <v>571</v>
      </c>
      <c r="I17" s="148" t="s">
        <v>570</v>
      </c>
      <c r="J17" s="148" t="s">
        <v>569</v>
      </c>
      <c r="K17" s="148" t="s">
        <v>568</v>
      </c>
      <c r="L17" s="148" t="s">
        <v>567</v>
      </c>
      <c r="M17" s="148" t="s">
        <v>2131</v>
      </c>
      <c r="N17" s="43" t="s">
        <v>949</v>
      </c>
      <c r="P17" s="203" t="s">
        <v>601</v>
      </c>
      <c r="Q17" s="1" t="s">
        <v>93</v>
      </c>
      <c r="R17" s="288"/>
      <c r="S17" s="288"/>
      <c r="U17" s="198" t="s">
        <v>375</v>
      </c>
      <c r="V17" s="198" t="s">
        <v>1922</v>
      </c>
      <c r="W17" s="198" t="s">
        <v>338</v>
      </c>
      <c r="X17" s="15"/>
      <c r="Y17" s="8" t="s">
        <v>405</v>
      </c>
      <c r="Z17" s="9" t="s">
        <v>2504</v>
      </c>
      <c r="AB17" s="179">
        <v>9</v>
      </c>
      <c r="AC17" s="180" t="s">
        <v>473</v>
      </c>
      <c r="AD17" s="181" t="s">
        <v>2395</v>
      </c>
    </row>
    <row r="18" spans="1:30" x14ac:dyDescent="0.2">
      <c r="A18" s="200" t="s">
        <v>2407</v>
      </c>
      <c r="B18" s="198" t="s">
        <v>2408</v>
      </c>
      <c r="C18" s="198" t="s">
        <v>308</v>
      </c>
      <c r="D18" s="1" t="s">
        <v>1943</v>
      </c>
      <c r="E18" s="198" t="s">
        <v>818</v>
      </c>
      <c r="F18" s="198" t="s">
        <v>819</v>
      </c>
      <c r="H18" s="42" t="s">
        <v>564</v>
      </c>
      <c r="I18" s="148" t="s">
        <v>563</v>
      </c>
      <c r="J18" s="148" t="s">
        <v>562</v>
      </c>
      <c r="K18" s="148" t="s">
        <v>561</v>
      </c>
      <c r="L18" s="148" t="s">
        <v>560</v>
      </c>
      <c r="M18" s="148" t="s">
        <v>2131</v>
      </c>
      <c r="N18" s="43" t="s">
        <v>949</v>
      </c>
      <c r="P18" s="203" t="s">
        <v>1867</v>
      </c>
      <c r="Q18" s="1" t="s">
        <v>93</v>
      </c>
      <c r="R18" s="288"/>
      <c r="S18" s="288"/>
      <c r="U18" s="198" t="s">
        <v>371</v>
      </c>
      <c r="V18" s="198" t="s">
        <v>1923</v>
      </c>
      <c r="W18" s="198" t="s">
        <v>338</v>
      </c>
      <c r="X18" s="15"/>
      <c r="Y18" s="8" t="s">
        <v>401</v>
      </c>
      <c r="Z18" s="9" t="s">
        <v>400</v>
      </c>
    </row>
    <row r="19" spans="1:30" x14ac:dyDescent="0.2">
      <c r="A19" s="200" t="s">
        <v>2409</v>
      </c>
      <c r="B19" s="198" t="s">
        <v>2410</v>
      </c>
      <c r="C19" s="198" t="s">
        <v>308</v>
      </c>
      <c r="D19" s="199"/>
      <c r="E19" s="198" t="s">
        <v>1600</v>
      </c>
      <c r="F19" s="198" t="s">
        <v>2353</v>
      </c>
      <c r="H19" s="42" t="s">
        <v>557</v>
      </c>
      <c r="I19" s="148" t="s">
        <v>556</v>
      </c>
      <c r="J19" s="148" t="s">
        <v>555</v>
      </c>
      <c r="K19" s="148" t="s">
        <v>554</v>
      </c>
      <c r="L19" s="148" t="s">
        <v>553</v>
      </c>
      <c r="M19" s="148" t="s">
        <v>2131</v>
      </c>
      <c r="N19" s="43" t="s">
        <v>949</v>
      </c>
      <c r="P19" s="203" t="s">
        <v>590</v>
      </c>
      <c r="Q19" s="1" t="s">
        <v>93</v>
      </c>
      <c r="R19" s="288"/>
      <c r="S19" s="288"/>
      <c r="U19" s="198" t="s">
        <v>358</v>
      </c>
      <c r="V19" s="198" t="s">
        <v>1924</v>
      </c>
      <c r="W19" s="198" t="s">
        <v>338</v>
      </c>
      <c r="X19" s="15"/>
      <c r="Y19" s="8" t="s">
        <v>390</v>
      </c>
      <c r="Z19" s="9" t="s">
        <v>2501</v>
      </c>
    </row>
    <row r="20" spans="1:30" x14ac:dyDescent="0.2">
      <c r="A20" s="200" t="s">
        <v>2411</v>
      </c>
      <c r="B20" s="198" t="s">
        <v>2412</v>
      </c>
      <c r="C20" s="198" t="s">
        <v>308</v>
      </c>
      <c r="D20" s="1"/>
      <c r="E20" s="198" t="s">
        <v>820</v>
      </c>
      <c r="F20" s="198" t="s">
        <v>821</v>
      </c>
      <c r="H20" s="42" t="s">
        <v>550</v>
      </c>
      <c r="I20" s="148" t="s">
        <v>549</v>
      </c>
      <c r="J20" s="148" t="s">
        <v>548</v>
      </c>
      <c r="K20" s="148" t="s">
        <v>547</v>
      </c>
      <c r="L20" s="148" t="s">
        <v>546</v>
      </c>
      <c r="M20" s="148" t="s">
        <v>2131</v>
      </c>
      <c r="N20" s="43" t="s">
        <v>949</v>
      </c>
      <c r="P20" s="203" t="s">
        <v>1868</v>
      </c>
      <c r="Q20" s="1" t="s">
        <v>93</v>
      </c>
      <c r="R20" s="288"/>
      <c r="S20" s="288"/>
      <c r="U20" s="198" t="s">
        <v>339</v>
      </c>
      <c r="V20" s="198" t="s">
        <v>1925</v>
      </c>
      <c r="W20" s="198" t="s">
        <v>338</v>
      </c>
      <c r="X20" s="15"/>
      <c r="Y20" s="8" t="s">
        <v>2171</v>
      </c>
      <c r="Z20" s="9" t="s">
        <v>2508</v>
      </c>
    </row>
    <row r="21" spans="1:30" x14ac:dyDescent="0.2">
      <c r="A21" s="200" t="s">
        <v>2413</v>
      </c>
      <c r="B21" s="198" t="s">
        <v>2414</v>
      </c>
      <c r="C21" s="198" t="s">
        <v>308</v>
      </c>
      <c r="D21" s="1" t="s">
        <v>1944</v>
      </c>
      <c r="E21" s="198" t="s">
        <v>794</v>
      </c>
      <c r="F21" s="198" t="s">
        <v>822</v>
      </c>
      <c r="H21" s="42" t="s">
        <v>531</v>
      </c>
      <c r="I21" s="148" t="s">
        <v>530</v>
      </c>
      <c r="J21" s="148" t="s">
        <v>529</v>
      </c>
      <c r="K21" s="148" t="s">
        <v>528</v>
      </c>
      <c r="L21" s="148" t="s">
        <v>527</v>
      </c>
      <c r="M21" s="148" t="s">
        <v>2131</v>
      </c>
      <c r="N21" s="43" t="s">
        <v>949</v>
      </c>
      <c r="P21" s="203" t="s">
        <v>579</v>
      </c>
      <c r="Q21" s="1" t="s">
        <v>93</v>
      </c>
      <c r="R21" s="288"/>
      <c r="S21" s="288"/>
      <c r="U21" s="198" t="s">
        <v>355</v>
      </c>
      <c r="V21" s="198" t="s">
        <v>1926</v>
      </c>
      <c r="W21" s="198" t="s">
        <v>338</v>
      </c>
      <c r="Y21" s="20" t="s">
        <v>200</v>
      </c>
      <c r="Z21" s="19" t="s">
        <v>1949</v>
      </c>
    </row>
    <row r="22" spans="1:30" x14ac:dyDescent="0.2">
      <c r="A22" s="200" t="s">
        <v>2415</v>
      </c>
      <c r="B22" s="198" t="s">
        <v>2416</v>
      </c>
      <c r="C22" s="198" t="s">
        <v>308</v>
      </c>
      <c r="D22" s="1"/>
      <c r="E22" s="198" t="s">
        <v>823</v>
      </c>
      <c r="F22" s="198" t="s">
        <v>824</v>
      </c>
      <c r="H22" s="42" t="s">
        <v>526</v>
      </c>
      <c r="I22" s="148" t="s">
        <v>525</v>
      </c>
      <c r="J22" s="148" t="s">
        <v>524</v>
      </c>
      <c r="K22" s="148" t="s">
        <v>523</v>
      </c>
      <c r="L22" s="148" t="s">
        <v>522</v>
      </c>
      <c r="M22" s="148" t="s">
        <v>2131</v>
      </c>
      <c r="N22" s="43" t="s">
        <v>949</v>
      </c>
      <c r="P22" s="203" t="s">
        <v>573</v>
      </c>
      <c r="Q22" s="1" t="s">
        <v>93</v>
      </c>
      <c r="R22" s="288"/>
      <c r="S22" s="288"/>
      <c r="U22" s="198" t="s">
        <v>348</v>
      </c>
      <c r="V22" s="198" t="s">
        <v>1927</v>
      </c>
      <c r="W22" s="198" t="s">
        <v>338</v>
      </c>
      <c r="Y22" s="6"/>
      <c r="Z22" s="6"/>
    </row>
    <row r="23" spans="1:30" x14ac:dyDescent="0.2">
      <c r="A23" s="200" t="s">
        <v>2417</v>
      </c>
      <c r="B23" s="198" t="s">
        <v>2418</v>
      </c>
      <c r="C23" s="198" t="s">
        <v>308</v>
      </c>
      <c r="D23" s="199"/>
      <c r="E23" s="198" t="s">
        <v>2354</v>
      </c>
      <c r="F23" s="198" t="s">
        <v>2355</v>
      </c>
      <c r="H23" s="42" t="s">
        <v>519</v>
      </c>
      <c r="I23" s="148" t="s">
        <v>518</v>
      </c>
      <c r="J23" s="148" t="s">
        <v>517</v>
      </c>
      <c r="K23" s="148" t="s">
        <v>516</v>
      </c>
      <c r="L23" s="148" t="s">
        <v>515</v>
      </c>
      <c r="M23" s="148" t="s">
        <v>2131</v>
      </c>
      <c r="N23" s="43" t="s">
        <v>949</v>
      </c>
      <c r="P23" s="203" t="s">
        <v>566</v>
      </c>
      <c r="Q23" s="1" t="s">
        <v>93</v>
      </c>
      <c r="R23" s="288"/>
      <c r="S23" s="288"/>
      <c r="U23" s="198" t="s">
        <v>334</v>
      </c>
      <c r="V23" s="198" t="s">
        <v>333</v>
      </c>
      <c r="W23" s="198" t="s">
        <v>328</v>
      </c>
      <c r="Y23" s="285" t="s">
        <v>1175</v>
      </c>
      <c r="Z23" s="285"/>
    </row>
    <row r="24" spans="1:30" x14ac:dyDescent="0.2">
      <c r="A24" s="200" t="s">
        <v>2419</v>
      </c>
      <c r="B24" s="198" t="s">
        <v>2420</v>
      </c>
      <c r="C24" s="198" t="s">
        <v>308</v>
      </c>
      <c r="D24" s="1" t="s">
        <v>2109</v>
      </c>
      <c r="E24" s="198" t="s">
        <v>790</v>
      </c>
      <c r="F24" s="198" t="s">
        <v>825</v>
      </c>
      <c r="H24" s="42" t="s">
        <v>514</v>
      </c>
      <c r="I24" s="148" t="s">
        <v>513</v>
      </c>
      <c r="J24" s="148" t="s">
        <v>512</v>
      </c>
      <c r="K24" s="148" t="s">
        <v>511</v>
      </c>
      <c r="L24" s="148" t="s">
        <v>510</v>
      </c>
      <c r="M24" s="148" t="s">
        <v>2131</v>
      </c>
      <c r="N24" s="43" t="s">
        <v>949</v>
      </c>
      <c r="P24" s="203" t="s">
        <v>1869</v>
      </c>
      <c r="Q24" s="1" t="s">
        <v>93</v>
      </c>
      <c r="R24" s="288"/>
      <c r="S24" s="288"/>
      <c r="U24" s="198" t="s">
        <v>329</v>
      </c>
      <c r="V24" s="198" t="s">
        <v>2168</v>
      </c>
      <c r="W24" s="198" t="s">
        <v>328</v>
      </c>
      <c r="Y24" s="59" t="s">
        <v>2381</v>
      </c>
      <c r="Z24" s="60" t="s">
        <v>374</v>
      </c>
    </row>
    <row r="25" spans="1:30" x14ac:dyDescent="0.2">
      <c r="A25" s="200" t="s">
        <v>2421</v>
      </c>
      <c r="B25" s="198" t="s">
        <v>2422</v>
      </c>
      <c r="C25" s="198" t="s">
        <v>308</v>
      </c>
      <c r="D25" s="1"/>
      <c r="E25" s="198" t="s">
        <v>826</v>
      </c>
      <c r="F25" s="198" t="s">
        <v>827</v>
      </c>
      <c r="H25" s="42" t="s">
        <v>508</v>
      </c>
      <c r="I25" s="148" t="s">
        <v>507</v>
      </c>
      <c r="J25" s="148" t="s">
        <v>506</v>
      </c>
      <c r="K25" s="148" t="s">
        <v>505</v>
      </c>
      <c r="L25" s="148" t="s">
        <v>504</v>
      </c>
      <c r="M25" s="144" t="s">
        <v>2131</v>
      </c>
      <c r="N25" s="45" t="s">
        <v>949</v>
      </c>
      <c r="P25" s="203" t="s">
        <v>1870</v>
      </c>
      <c r="Q25" s="1" t="s">
        <v>93</v>
      </c>
      <c r="R25" s="288"/>
      <c r="S25" s="288"/>
      <c r="U25" s="198" t="s">
        <v>330</v>
      </c>
      <c r="V25" s="198" t="s">
        <v>1928</v>
      </c>
      <c r="W25" s="198" t="s">
        <v>328</v>
      </c>
      <c r="Y25" s="182" t="s">
        <v>2103</v>
      </c>
      <c r="Z25" s="183" t="s">
        <v>2104</v>
      </c>
      <c r="AA25" s="3" t="s">
        <v>2346</v>
      </c>
    </row>
    <row r="26" spans="1:30" x14ac:dyDescent="0.2">
      <c r="A26" s="200" t="s">
        <v>2423</v>
      </c>
      <c r="B26" s="198" t="s">
        <v>2424</v>
      </c>
      <c r="C26" s="198" t="s">
        <v>308</v>
      </c>
      <c r="D26" s="1" t="s">
        <v>1943</v>
      </c>
      <c r="E26" s="198" t="s">
        <v>828</v>
      </c>
      <c r="F26" s="198" t="s">
        <v>829</v>
      </c>
      <c r="H26" s="42" t="s">
        <v>654</v>
      </c>
      <c r="I26" s="148" t="s">
        <v>653</v>
      </c>
      <c r="J26" s="148" t="s">
        <v>652</v>
      </c>
      <c r="K26" s="148" t="s">
        <v>651</v>
      </c>
      <c r="L26" s="148" t="s">
        <v>650</v>
      </c>
      <c r="M26" s="148" t="s">
        <v>2132</v>
      </c>
      <c r="N26" s="43" t="s">
        <v>949</v>
      </c>
      <c r="P26" s="203" t="s">
        <v>1871</v>
      </c>
      <c r="Q26" s="1" t="s">
        <v>93</v>
      </c>
      <c r="R26" s="288"/>
      <c r="S26" s="288"/>
      <c r="U26" s="198" t="s">
        <v>314</v>
      </c>
      <c r="V26" s="198" t="s">
        <v>324</v>
      </c>
      <c r="W26" s="198" t="s">
        <v>314</v>
      </c>
      <c r="Y26" s="16" t="s">
        <v>370</v>
      </c>
      <c r="Z26" s="17" t="s">
        <v>369</v>
      </c>
      <c r="AA26" s="3" t="s">
        <v>2347</v>
      </c>
    </row>
    <row r="27" spans="1:30" x14ac:dyDescent="0.2">
      <c r="A27" s="200" t="s">
        <v>2425</v>
      </c>
      <c r="B27" s="198" t="s">
        <v>2426</v>
      </c>
      <c r="C27" s="198" t="s">
        <v>308</v>
      </c>
      <c r="D27" s="148"/>
      <c r="E27" s="198" t="s">
        <v>830</v>
      </c>
      <c r="F27" s="198" t="s">
        <v>831</v>
      </c>
      <c r="H27" s="42" t="s">
        <v>1185</v>
      </c>
      <c r="I27" s="148" t="s">
        <v>1186</v>
      </c>
      <c r="J27" s="148" t="s">
        <v>1187</v>
      </c>
      <c r="K27" s="148" t="s">
        <v>1188</v>
      </c>
      <c r="L27" s="148" t="s">
        <v>1189</v>
      </c>
      <c r="M27" s="148" t="s">
        <v>2132</v>
      </c>
      <c r="N27" s="43" t="s">
        <v>949</v>
      </c>
      <c r="P27" s="203" t="s">
        <v>1872</v>
      </c>
      <c r="Q27" s="1" t="s">
        <v>93</v>
      </c>
      <c r="R27" s="288" t="s">
        <v>543</v>
      </c>
      <c r="S27" s="288" t="s">
        <v>542</v>
      </c>
      <c r="U27" s="198" t="s">
        <v>315</v>
      </c>
      <c r="V27" s="198" t="s">
        <v>1929</v>
      </c>
      <c r="W27" s="198" t="s">
        <v>314</v>
      </c>
      <c r="Y27" s="16" t="s">
        <v>365</v>
      </c>
      <c r="Z27" s="17" t="s">
        <v>2105</v>
      </c>
      <c r="AA27" s="3" t="s">
        <v>2347</v>
      </c>
    </row>
    <row r="28" spans="1:30" x14ac:dyDescent="0.2">
      <c r="A28" s="200" t="s">
        <v>2427</v>
      </c>
      <c r="B28" s="198" t="s">
        <v>2428</v>
      </c>
      <c r="C28" s="198" t="s">
        <v>308</v>
      </c>
      <c r="D28" s="1"/>
      <c r="E28" s="198" t="s">
        <v>832</v>
      </c>
      <c r="F28" s="198" t="s">
        <v>833</v>
      </c>
      <c r="H28" s="42" t="s">
        <v>539</v>
      </c>
      <c r="I28" s="148" t="s">
        <v>538</v>
      </c>
      <c r="J28" s="148" t="s">
        <v>537</v>
      </c>
      <c r="K28" s="148" t="s">
        <v>536</v>
      </c>
      <c r="L28" s="148" t="s">
        <v>535</v>
      </c>
      <c r="M28" s="148" t="s">
        <v>2132</v>
      </c>
      <c r="N28" s="43" t="s">
        <v>949</v>
      </c>
      <c r="P28" s="203" t="s">
        <v>1873</v>
      </c>
      <c r="Q28" s="1" t="s">
        <v>93</v>
      </c>
      <c r="R28" s="288"/>
      <c r="S28" s="288"/>
      <c r="U28" s="198" t="s">
        <v>322</v>
      </c>
      <c r="V28" s="198" t="s">
        <v>1930</v>
      </c>
      <c r="W28" s="198" t="s">
        <v>314</v>
      </c>
      <c r="Y28" s="16" t="s">
        <v>357</v>
      </c>
      <c r="Z28" s="17" t="s">
        <v>2106</v>
      </c>
      <c r="AA28" s="3" t="s">
        <v>2347</v>
      </c>
    </row>
    <row r="29" spans="1:30" x14ac:dyDescent="0.2">
      <c r="A29" s="200" t="s">
        <v>2429</v>
      </c>
      <c r="B29" s="198" t="s">
        <v>2430</v>
      </c>
      <c r="C29" s="198" t="s">
        <v>308</v>
      </c>
      <c r="D29" s="1" t="s">
        <v>572</v>
      </c>
      <c r="E29" s="198" t="s">
        <v>834</v>
      </c>
      <c r="F29" s="198" t="s">
        <v>835</v>
      </c>
      <c r="H29" s="42" t="s">
        <v>1200</v>
      </c>
      <c r="I29" s="148" t="s">
        <v>1201</v>
      </c>
      <c r="J29" s="148" t="s">
        <v>1202</v>
      </c>
      <c r="K29" s="148" t="s">
        <v>1203</v>
      </c>
      <c r="L29" s="148" t="s">
        <v>1204</v>
      </c>
      <c r="M29" s="148" t="s">
        <v>2132</v>
      </c>
      <c r="N29" s="43" t="s">
        <v>949</v>
      </c>
      <c r="P29" s="203" t="s">
        <v>1874</v>
      </c>
      <c r="Q29" s="1" t="s">
        <v>93</v>
      </c>
      <c r="R29" s="288"/>
      <c r="S29" s="288"/>
      <c r="U29" s="198" t="s">
        <v>320</v>
      </c>
      <c r="V29" s="198" t="s">
        <v>1931</v>
      </c>
      <c r="W29" s="198" t="s">
        <v>314</v>
      </c>
      <c r="Y29" s="16" t="s">
        <v>354</v>
      </c>
      <c r="Z29" s="17" t="s">
        <v>353</v>
      </c>
      <c r="AA29" s="3" t="s">
        <v>2347</v>
      </c>
    </row>
    <row r="30" spans="1:30" x14ac:dyDescent="0.2">
      <c r="A30" s="200" t="s">
        <v>2431</v>
      </c>
      <c r="B30" s="198" t="s">
        <v>2432</v>
      </c>
      <c r="C30" s="198" t="s">
        <v>308</v>
      </c>
      <c r="D30" s="1"/>
      <c r="E30" s="198" t="s">
        <v>836</v>
      </c>
      <c r="F30" s="198" t="s">
        <v>837</v>
      </c>
      <c r="H30" s="42" t="s">
        <v>1210</v>
      </c>
      <c r="I30" s="148" t="s">
        <v>1211</v>
      </c>
      <c r="J30" s="148" t="s">
        <v>1212</v>
      </c>
      <c r="K30" s="148" t="s">
        <v>1213</v>
      </c>
      <c r="L30" s="148" t="s">
        <v>1214</v>
      </c>
      <c r="M30" s="148" t="s">
        <v>2132</v>
      </c>
      <c r="N30" s="43" t="s">
        <v>949</v>
      </c>
      <c r="P30" s="203" t="s">
        <v>1875</v>
      </c>
      <c r="Q30" s="1" t="s">
        <v>93</v>
      </c>
      <c r="R30" s="288"/>
      <c r="S30" s="288"/>
      <c r="U30" s="198" t="s">
        <v>310</v>
      </c>
      <c r="V30" s="198" t="s">
        <v>309</v>
      </c>
      <c r="W30" s="198" t="s">
        <v>298</v>
      </c>
      <c r="Y30" s="16" t="s">
        <v>347</v>
      </c>
      <c r="Z30" s="17" t="s">
        <v>2107</v>
      </c>
      <c r="AA30" s="3" t="s">
        <v>2347</v>
      </c>
    </row>
    <row r="31" spans="1:30" x14ac:dyDescent="0.2">
      <c r="A31" s="200" t="s">
        <v>2433</v>
      </c>
      <c r="B31" s="198" t="s">
        <v>2434</v>
      </c>
      <c r="C31" s="198" t="s">
        <v>308</v>
      </c>
      <c r="D31" s="1"/>
      <c r="E31" s="198" t="s">
        <v>838</v>
      </c>
      <c r="F31" s="198" t="s">
        <v>839</v>
      </c>
      <c r="H31" s="42" t="s">
        <v>642</v>
      </c>
      <c r="I31" s="148" t="s">
        <v>641</v>
      </c>
      <c r="J31" s="148" t="s">
        <v>640</v>
      </c>
      <c r="K31" s="148" t="s">
        <v>639</v>
      </c>
      <c r="L31" s="148" t="s">
        <v>638</v>
      </c>
      <c r="M31" s="148" t="s">
        <v>2132</v>
      </c>
      <c r="N31" s="43" t="s">
        <v>949</v>
      </c>
      <c r="P31" s="203" t="s">
        <v>1876</v>
      </c>
      <c r="Q31" s="1" t="s">
        <v>93</v>
      </c>
      <c r="R31" s="288"/>
      <c r="S31" s="288"/>
      <c r="U31" s="198" t="s">
        <v>1860</v>
      </c>
      <c r="V31" s="198" t="s">
        <v>1932</v>
      </c>
      <c r="W31" s="198" t="s">
        <v>298</v>
      </c>
      <c r="Y31" s="18" t="s">
        <v>337</v>
      </c>
      <c r="Z31" s="19" t="s">
        <v>1948</v>
      </c>
    </row>
    <row r="32" spans="1:30" x14ac:dyDescent="0.2">
      <c r="A32" s="200" t="s">
        <v>2435</v>
      </c>
      <c r="B32" s="198" t="s">
        <v>2436</v>
      </c>
      <c r="C32" s="198" t="s">
        <v>308</v>
      </c>
      <c r="D32" s="200"/>
      <c r="E32" s="198" t="s">
        <v>2356</v>
      </c>
      <c r="F32" s="198" t="s">
        <v>2357</v>
      </c>
      <c r="H32" s="42" t="s">
        <v>1190</v>
      </c>
      <c r="I32" s="148" t="s">
        <v>1191</v>
      </c>
      <c r="J32" s="148" t="s">
        <v>1192</v>
      </c>
      <c r="K32" s="148" t="s">
        <v>1193</v>
      </c>
      <c r="L32" s="148" t="s">
        <v>1194</v>
      </c>
      <c r="M32" s="148" t="s">
        <v>2132</v>
      </c>
      <c r="N32" s="43" t="s">
        <v>949</v>
      </c>
      <c r="P32" s="203" t="s">
        <v>1877</v>
      </c>
      <c r="Q32" s="1" t="s">
        <v>93</v>
      </c>
      <c r="R32" s="288"/>
      <c r="S32" s="288"/>
      <c r="U32" s="198" t="s">
        <v>1861</v>
      </c>
      <c r="V32" s="198" t="s">
        <v>1933</v>
      </c>
      <c r="W32" s="198" t="s">
        <v>298</v>
      </c>
      <c r="Y32" s="15"/>
      <c r="Z32" s="15"/>
    </row>
    <row r="33" spans="1:26" x14ac:dyDescent="0.2">
      <c r="A33" s="200" t="s">
        <v>2437</v>
      </c>
      <c r="B33" s="198" t="s">
        <v>2438</v>
      </c>
      <c r="C33" s="198" t="s">
        <v>308</v>
      </c>
      <c r="D33" s="1" t="s">
        <v>1943</v>
      </c>
      <c r="E33" s="198" t="s">
        <v>840</v>
      </c>
      <c r="F33" s="198" t="s">
        <v>841</v>
      </c>
      <c r="H33" s="42" t="s">
        <v>1215</v>
      </c>
      <c r="I33" s="148" t="s">
        <v>1216</v>
      </c>
      <c r="J33" s="148" t="s">
        <v>1217</v>
      </c>
      <c r="K33" s="148" t="s">
        <v>1218</v>
      </c>
      <c r="L33" s="148" t="s">
        <v>1219</v>
      </c>
      <c r="M33" s="148" t="s">
        <v>2132</v>
      </c>
      <c r="N33" s="43" t="s">
        <v>949</v>
      </c>
      <c r="P33" s="203" t="s">
        <v>1878</v>
      </c>
      <c r="Q33" s="1" t="s">
        <v>93</v>
      </c>
      <c r="R33" s="288"/>
      <c r="S33" s="288"/>
      <c r="U33" s="198" t="s">
        <v>1862</v>
      </c>
      <c r="V33" s="198" t="s">
        <v>1934</v>
      </c>
      <c r="W33" s="198" t="s">
        <v>298</v>
      </c>
    </row>
    <row r="34" spans="1:26" x14ac:dyDescent="0.2">
      <c r="A34" s="200" t="s">
        <v>2439</v>
      </c>
      <c r="B34" s="198" t="s">
        <v>2440</v>
      </c>
      <c r="C34" s="198" t="s">
        <v>308</v>
      </c>
      <c r="D34" s="1"/>
      <c r="E34" s="198" t="s">
        <v>842</v>
      </c>
      <c r="F34" s="198" t="s">
        <v>843</v>
      </c>
      <c r="H34" s="42" t="s">
        <v>1220</v>
      </c>
      <c r="I34" s="148" t="s">
        <v>1221</v>
      </c>
      <c r="J34" s="148" t="s">
        <v>1222</v>
      </c>
      <c r="K34" s="148" t="s">
        <v>1223</v>
      </c>
      <c r="L34" s="148" t="s">
        <v>1224</v>
      </c>
      <c r="M34" s="148" t="s">
        <v>2132</v>
      </c>
      <c r="N34" s="43" t="s">
        <v>949</v>
      </c>
      <c r="P34" s="203" t="s">
        <v>1879</v>
      </c>
      <c r="Q34" s="1" t="s">
        <v>93</v>
      </c>
      <c r="R34" s="288"/>
      <c r="S34" s="288"/>
      <c r="U34" s="198" t="s">
        <v>290</v>
      </c>
      <c r="V34" s="198" t="s">
        <v>2493</v>
      </c>
      <c r="W34" s="198" t="s">
        <v>289</v>
      </c>
      <c r="Y34" s="285" t="s">
        <v>1176</v>
      </c>
      <c r="Z34" s="285"/>
    </row>
    <row r="35" spans="1:26" x14ac:dyDescent="0.2">
      <c r="A35" s="200" t="s">
        <v>2441</v>
      </c>
      <c r="B35" s="198" t="s">
        <v>2442</v>
      </c>
      <c r="C35" s="198" t="s">
        <v>308</v>
      </c>
      <c r="D35" s="1"/>
      <c r="E35" s="198" t="s">
        <v>844</v>
      </c>
      <c r="F35" s="198" t="s">
        <v>845</v>
      </c>
      <c r="H35" s="42" t="s">
        <v>628</v>
      </c>
      <c r="I35" s="148" t="s">
        <v>627</v>
      </c>
      <c r="J35" s="148" t="s">
        <v>626</v>
      </c>
      <c r="K35" s="148" t="s">
        <v>625</v>
      </c>
      <c r="L35" s="148" t="s">
        <v>624</v>
      </c>
      <c r="M35" s="148" t="s">
        <v>2132</v>
      </c>
      <c r="N35" s="43" t="s">
        <v>949</v>
      </c>
      <c r="P35" s="203" t="s">
        <v>1880</v>
      </c>
      <c r="Q35" s="1" t="s">
        <v>93</v>
      </c>
      <c r="R35" s="288"/>
      <c r="S35" s="288"/>
      <c r="U35" s="198" t="s">
        <v>280</v>
      </c>
      <c r="V35" s="198" t="s">
        <v>1935</v>
      </c>
      <c r="W35" s="198" t="s">
        <v>263</v>
      </c>
      <c r="Y35" s="59" t="s">
        <v>2382</v>
      </c>
      <c r="Z35" s="60" t="s">
        <v>323</v>
      </c>
    </row>
    <row r="36" spans="1:26" x14ac:dyDescent="0.2">
      <c r="A36" s="200" t="s">
        <v>2443</v>
      </c>
      <c r="B36" s="198" t="s">
        <v>2444</v>
      </c>
      <c r="C36" s="198" t="s">
        <v>308</v>
      </c>
      <c r="D36" s="1" t="s">
        <v>1945</v>
      </c>
      <c r="E36" s="198" t="s">
        <v>846</v>
      </c>
      <c r="F36" s="198" t="s">
        <v>847</v>
      </c>
      <c r="H36" s="42" t="s">
        <v>606</v>
      </c>
      <c r="I36" s="148" t="s">
        <v>605</v>
      </c>
      <c r="J36" s="148" t="s">
        <v>604</v>
      </c>
      <c r="K36" s="148" t="s">
        <v>603</v>
      </c>
      <c r="L36" s="148" t="s">
        <v>602</v>
      </c>
      <c r="M36" s="148" t="s">
        <v>2132</v>
      </c>
      <c r="N36" s="43" t="s">
        <v>949</v>
      </c>
      <c r="P36" s="203" t="s">
        <v>1881</v>
      </c>
      <c r="Q36" s="1" t="s">
        <v>93</v>
      </c>
      <c r="R36" s="288"/>
      <c r="S36" s="288"/>
      <c r="U36" s="198" t="s">
        <v>275</v>
      </c>
      <c r="V36" s="198" t="s">
        <v>1936</v>
      </c>
      <c r="W36" s="198" t="s">
        <v>263</v>
      </c>
      <c r="Y36" s="8" t="s">
        <v>210</v>
      </c>
      <c r="Z36" s="9" t="s">
        <v>321</v>
      </c>
    </row>
    <row r="37" spans="1:26" x14ac:dyDescent="0.2">
      <c r="A37" s="200" t="s">
        <v>2445</v>
      </c>
      <c r="B37" s="198" t="s">
        <v>2446</v>
      </c>
      <c r="C37" s="198" t="s">
        <v>308</v>
      </c>
      <c r="D37" s="198"/>
      <c r="E37" s="198" t="s">
        <v>133</v>
      </c>
      <c r="F37" s="198" t="s">
        <v>931</v>
      </c>
      <c r="H37" s="42" t="s">
        <v>620</v>
      </c>
      <c r="I37" s="148" t="s">
        <v>619</v>
      </c>
      <c r="J37" s="148" t="s">
        <v>618</v>
      </c>
      <c r="K37" s="148" t="s">
        <v>617</v>
      </c>
      <c r="L37" s="148" t="s">
        <v>616</v>
      </c>
      <c r="M37" s="148" t="s">
        <v>2132</v>
      </c>
      <c r="N37" s="43" t="s">
        <v>949</v>
      </c>
      <c r="P37" s="203" t="s">
        <v>1882</v>
      </c>
      <c r="Q37" s="204" t="s">
        <v>91</v>
      </c>
      <c r="R37" s="288"/>
      <c r="S37" s="288"/>
      <c r="U37" s="198" t="s">
        <v>264</v>
      </c>
      <c r="V37" s="198" t="s">
        <v>1937</v>
      </c>
      <c r="W37" s="198" t="s">
        <v>263</v>
      </c>
      <c r="Y37" s="8" t="s">
        <v>319</v>
      </c>
      <c r="Z37" s="9" t="s">
        <v>318</v>
      </c>
    </row>
    <row r="38" spans="1:26" x14ac:dyDescent="0.2">
      <c r="A38" s="200" t="s">
        <v>2447</v>
      </c>
      <c r="B38" s="198" t="s">
        <v>2448</v>
      </c>
      <c r="C38" s="198" t="s">
        <v>308</v>
      </c>
      <c r="D38" s="200"/>
      <c r="E38" s="198" t="s">
        <v>2358</v>
      </c>
      <c r="F38" s="198" t="s">
        <v>2359</v>
      </c>
      <c r="H38" s="42" t="s">
        <v>613</v>
      </c>
      <c r="I38" s="148" t="s">
        <v>612</v>
      </c>
      <c r="J38" s="148" t="s">
        <v>611</v>
      </c>
      <c r="K38" s="148" t="s">
        <v>610</v>
      </c>
      <c r="L38" s="148" t="s">
        <v>609</v>
      </c>
      <c r="M38" s="148" t="s">
        <v>2132</v>
      </c>
      <c r="N38" s="43" t="s">
        <v>949</v>
      </c>
      <c r="P38" s="203" t="s">
        <v>1883</v>
      </c>
      <c r="Q38" s="1" t="s">
        <v>93</v>
      </c>
      <c r="R38" s="288"/>
      <c r="S38" s="288"/>
      <c r="U38" s="201" t="s">
        <v>2494</v>
      </c>
      <c r="V38" s="198" t="s">
        <v>2495</v>
      </c>
      <c r="W38" s="198" t="s">
        <v>263</v>
      </c>
      <c r="Y38" s="13" t="s">
        <v>308</v>
      </c>
      <c r="Z38" s="22" t="s">
        <v>313</v>
      </c>
    </row>
    <row r="39" spans="1:26" x14ac:dyDescent="0.2">
      <c r="A39" s="200" t="s">
        <v>2449</v>
      </c>
      <c r="B39" s="198" t="s">
        <v>2450</v>
      </c>
      <c r="C39" s="198" t="s">
        <v>308</v>
      </c>
      <c r="D39" s="1"/>
      <c r="E39" s="198" t="s">
        <v>848</v>
      </c>
      <c r="F39" s="198" t="s">
        <v>849</v>
      </c>
      <c r="H39" s="42" t="s">
        <v>635</v>
      </c>
      <c r="I39" s="148" t="s">
        <v>634</v>
      </c>
      <c r="J39" s="148" t="s">
        <v>633</v>
      </c>
      <c r="K39" s="148" t="s">
        <v>632</v>
      </c>
      <c r="L39" s="148" t="s">
        <v>631</v>
      </c>
      <c r="M39" s="148" t="s">
        <v>2132</v>
      </c>
      <c r="N39" s="149" t="s">
        <v>951</v>
      </c>
      <c r="P39" s="203" t="s">
        <v>1884</v>
      </c>
      <c r="Q39" s="1" t="s">
        <v>93</v>
      </c>
      <c r="R39" s="288"/>
      <c r="S39" s="288"/>
      <c r="U39" s="198" t="s">
        <v>237</v>
      </c>
      <c r="V39" s="198" t="s">
        <v>253</v>
      </c>
      <c r="W39" s="198" t="s">
        <v>237</v>
      </c>
    </row>
    <row r="40" spans="1:26" x14ac:dyDescent="0.2">
      <c r="A40" s="200" t="s">
        <v>2451</v>
      </c>
      <c r="B40" s="198" t="s">
        <v>2452</v>
      </c>
      <c r="C40" s="198" t="s">
        <v>308</v>
      </c>
      <c r="D40" s="1"/>
      <c r="E40" s="198" t="s">
        <v>850</v>
      </c>
      <c r="F40" s="198" t="s">
        <v>722</v>
      </c>
      <c r="H40" s="42" t="s">
        <v>345</v>
      </c>
      <c r="I40" s="148" t="s">
        <v>1225</v>
      </c>
      <c r="J40" s="148" t="s">
        <v>1226</v>
      </c>
      <c r="K40" s="148" t="s">
        <v>1227</v>
      </c>
      <c r="L40" s="148" t="s">
        <v>1228</v>
      </c>
      <c r="M40" s="148" t="s">
        <v>2132</v>
      </c>
      <c r="N40" s="149" t="s">
        <v>1229</v>
      </c>
      <c r="P40" s="203" t="s">
        <v>1885</v>
      </c>
      <c r="Q40" s="1" t="s">
        <v>93</v>
      </c>
      <c r="R40" s="288" t="s">
        <v>393</v>
      </c>
      <c r="S40" s="290" t="s">
        <v>392</v>
      </c>
      <c r="U40" s="198" t="s">
        <v>242</v>
      </c>
      <c r="V40" s="198" t="s">
        <v>241</v>
      </c>
      <c r="W40" s="198" t="s">
        <v>237</v>
      </c>
    </row>
    <row r="41" spans="1:26" x14ac:dyDescent="0.2">
      <c r="A41" s="200" t="s">
        <v>656</v>
      </c>
      <c r="B41" s="198" t="s">
        <v>655</v>
      </c>
      <c r="C41" s="198" t="s">
        <v>308</v>
      </c>
      <c r="D41" s="1"/>
      <c r="E41" s="198" t="s">
        <v>655</v>
      </c>
      <c r="F41" s="198" t="s">
        <v>811</v>
      </c>
      <c r="H41" s="42" t="s">
        <v>648</v>
      </c>
      <c r="I41" s="148" t="s">
        <v>647</v>
      </c>
      <c r="J41" s="148" t="s">
        <v>646</v>
      </c>
      <c r="K41" s="148" t="s">
        <v>645</v>
      </c>
      <c r="L41" s="148" t="s">
        <v>644</v>
      </c>
      <c r="M41" s="144" t="s">
        <v>2132</v>
      </c>
      <c r="N41" s="150" t="s">
        <v>950</v>
      </c>
      <c r="P41" s="203" t="s">
        <v>1886</v>
      </c>
      <c r="Q41" s="1" t="s">
        <v>93</v>
      </c>
      <c r="R41" s="288"/>
      <c r="S41" s="290"/>
      <c r="U41" s="198" t="s">
        <v>238</v>
      </c>
      <c r="V41" s="198" t="s">
        <v>236</v>
      </c>
      <c r="W41" s="198" t="s">
        <v>237</v>
      </c>
      <c r="Y41" s="285" t="s">
        <v>1177</v>
      </c>
      <c r="Z41" s="285"/>
    </row>
    <row r="42" spans="1:26" x14ac:dyDescent="0.2">
      <c r="A42" s="200" t="s">
        <v>277</v>
      </c>
      <c r="B42" s="198" t="s">
        <v>276</v>
      </c>
      <c r="C42" s="198" t="s">
        <v>308</v>
      </c>
      <c r="D42" s="1"/>
      <c r="E42" s="198" t="s">
        <v>276</v>
      </c>
      <c r="F42" s="198" t="s">
        <v>894</v>
      </c>
      <c r="H42" s="42" t="s">
        <v>500</v>
      </c>
      <c r="I42" s="148" t="s">
        <v>499</v>
      </c>
      <c r="J42" s="148" t="s">
        <v>498</v>
      </c>
      <c r="K42" s="148" t="s">
        <v>497</v>
      </c>
      <c r="L42" s="148" t="s">
        <v>496</v>
      </c>
      <c r="M42" s="148" t="s">
        <v>2133</v>
      </c>
      <c r="N42" s="43" t="s">
        <v>949</v>
      </c>
      <c r="P42" s="203" t="s">
        <v>1887</v>
      </c>
      <c r="Q42" s="1" t="s">
        <v>93</v>
      </c>
      <c r="R42" s="288"/>
      <c r="S42" s="290"/>
      <c r="U42" s="198" t="s">
        <v>233</v>
      </c>
      <c r="V42" s="198" t="s">
        <v>2496</v>
      </c>
      <c r="W42" s="198" t="s">
        <v>233</v>
      </c>
      <c r="Y42" s="59" t="s">
        <v>2383</v>
      </c>
      <c r="Z42" s="60" t="s">
        <v>2082</v>
      </c>
    </row>
    <row r="43" spans="1:26" x14ac:dyDescent="0.2">
      <c r="A43" s="200" t="s">
        <v>2453</v>
      </c>
      <c r="B43" s="198" t="s">
        <v>2454</v>
      </c>
      <c r="C43" s="198" t="s">
        <v>308</v>
      </c>
      <c r="D43" s="198"/>
      <c r="E43" s="198" t="s">
        <v>2125</v>
      </c>
      <c r="F43" s="198" t="s">
        <v>852</v>
      </c>
      <c r="H43" s="42" t="s">
        <v>489</v>
      </c>
      <c r="I43" s="148" t="s">
        <v>488</v>
      </c>
      <c r="J43" s="148" t="s">
        <v>487</v>
      </c>
      <c r="K43" s="148" t="s">
        <v>486</v>
      </c>
      <c r="L43" s="148" t="s">
        <v>485</v>
      </c>
      <c r="M43" s="148" t="s">
        <v>2133</v>
      </c>
      <c r="N43" s="43" t="s">
        <v>949</v>
      </c>
      <c r="P43" s="203" t="s">
        <v>1888</v>
      </c>
      <c r="Q43" s="1" t="s">
        <v>93</v>
      </c>
      <c r="R43" s="288"/>
      <c r="S43" s="290"/>
      <c r="U43" s="198" t="s">
        <v>230</v>
      </c>
      <c r="V43" s="198" t="s">
        <v>2497</v>
      </c>
      <c r="W43" s="198" t="s">
        <v>230</v>
      </c>
      <c r="Y43" s="213" t="s">
        <v>279</v>
      </c>
      <c r="Z43" s="214" t="s">
        <v>278</v>
      </c>
    </row>
    <row r="44" spans="1:26" x14ac:dyDescent="0.2">
      <c r="A44" s="200" t="s">
        <v>2455</v>
      </c>
      <c r="B44" s="198" t="s">
        <v>2456</v>
      </c>
      <c r="C44" s="198" t="s">
        <v>308</v>
      </c>
      <c r="D44" s="1"/>
      <c r="E44" s="198" t="s">
        <v>853</v>
      </c>
      <c r="F44" s="198" t="s">
        <v>854</v>
      </c>
      <c r="H44" s="42" t="s">
        <v>478</v>
      </c>
      <c r="I44" s="148" t="s">
        <v>477</v>
      </c>
      <c r="J44" s="148" t="s">
        <v>476</v>
      </c>
      <c r="K44" s="148" t="s">
        <v>475</v>
      </c>
      <c r="L44" s="148" t="s">
        <v>474</v>
      </c>
      <c r="M44" s="144" t="s">
        <v>2133</v>
      </c>
      <c r="N44" s="45" t="s">
        <v>949</v>
      </c>
      <c r="P44" s="203" t="s">
        <v>1889</v>
      </c>
      <c r="Q44" s="1" t="s">
        <v>93</v>
      </c>
      <c r="R44" s="288"/>
      <c r="S44" s="290"/>
      <c r="U44" s="198" t="s">
        <v>227</v>
      </c>
      <c r="V44" s="198" t="s">
        <v>226</v>
      </c>
      <c r="W44" s="198" t="s">
        <v>223</v>
      </c>
      <c r="Y44" s="8" t="s">
        <v>274</v>
      </c>
      <c r="Z44" s="9" t="s">
        <v>273</v>
      </c>
    </row>
    <row r="45" spans="1:26" x14ac:dyDescent="0.2">
      <c r="A45" s="200" t="s">
        <v>502</v>
      </c>
      <c r="B45" s="198" t="s">
        <v>501</v>
      </c>
      <c r="C45" s="198" t="s">
        <v>308</v>
      </c>
      <c r="D45" s="1"/>
      <c r="E45" s="198" t="s">
        <v>501</v>
      </c>
      <c r="F45" s="198" t="s">
        <v>855</v>
      </c>
      <c r="H45" s="42" t="s">
        <v>456</v>
      </c>
      <c r="I45" s="148" t="s">
        <v>455</v>
      </c>
      <c r="J45" s="148" t="s">
        <v>454</v>
      </c>
      <c r="K45" s="148" t="s">
        <v>453</v>
      </c>
      <c r="L45" s="148" t="s">
        <v>452</v>
      </c>
      <c r="M45" s="148" t="s">
        <v>2134</v>
      </c>
      <c r="N45" s="43" t="s">
        <v>949</v>
      </c>
      <c r="P45" s="203" t="s">
        <v>1890</v>
      </c>
      <c r="Q45" s="1" t="s">
        <v>93</v>
      </c>
      <c r="R45" s="288"/>
      <c r="S45" s="290"/>
      <c r="U45" s="198" t="s">
        <v>1863</v>
      </c>
      <c r="V45" s="198" t="s">
        <v>1864</v>
      </c>
      <c r="W45" s="198" t="s">
        <v>223</v>
      </c>
      <c r="Y45" s="8" t="s">
        <v>2518</v>
      </c>
      <c r="Z45" s="9" t="s">
        <v>2519</v>
      </c>
    </row>
    <row r="46" spans="1:26" x14ac:dyDescent="0.2">
      <c r="A46" s="200" t="s">
        <v>185</v>
      </c>
      <c r="B46" s="198" t="s">
        <v>184</v>
      </c>
      <c r="C46" s="198" t="s">
        <v>308</v>
      </c>
      <c r="D46" s="1"/>
      <c r="E46" s="198" t="s">
        <v>184</v>
      </c>
      <c r="F46" s="198" t="s">
        <v>916</v>
      </c>
      <c r="H46" s="42" t="s">
        <v>465</v>
      </c>
      <c r="I46" s="148" t="s">
        <v>464</v>
      </c>
      <c r="J46" s="148" t="s">
        <v>463</v>
      </c>
      <c r="K46" s="148" t="s">
        <v>462</v>
      </c>
      <c r="L46" s="148" t="s">
        <v>461</v>
      </c>
      <c r="M46" s="148" t="s">
        <v>2134</v>
      </c>
      <c r="N46" s="43" t="s">
        <v>949</v>
      </c>
      <c r="P46" s="203" t="s">
        <v>1891</v>
      </c>
      <c r="Q46" s="204" t="s">
        <v>91</v>
      </c>
      <c r="R46" s="288"/>
      <c r="S46" s="290"/>
      <c r="U46" s="198" t="s">
        <v>218</v>
      </c>
      <c r="V46" s="198" t="s">
        <v>217</v>
      </c>
      <c r="W46" s="198" t="s">
        <v>218</v>
      </c>
      <c r="Y46" s="8" t="s">
        <v>252</v>
      </c>
      <c r="Z46" s="9" t="s">
        <v>251</v>
      </c>
    </row>
    <row r="47" spans="1:26" x14ac:dyDescent="0.2">
      <c r="A47" s="200" t="s">
        <v>491</v>
      </c>
      <c r="B47" s="198" t="s">
        <v>490</v>
      </c>
      <c r="C47" s="198" t="s">
        <v>308</v>
      </c>
      <c r="D47" s="1" t="s">
        <v>288</v>
      </c>
      <c r="E47" s="198" t="s">
        <v>490</v>
      </c>
      <c r="F47" s="198" t="s">
        <v>856</v>
      </c>
      <c r="H47" s="42" t="s">
        <v>447</v>
      </c>
      <c r="I47" s="148" t="s">
        <v>446</v>
      </c>
      <c r="J47" s="148" t="s">
        <v>445</v>
      </c>
      <c r="K47" s="148" t="s">
        <v>444</v>
      </c>
      <c r="L47" s="148" t="s">
        <v>443</v>
      </c>
      <c r="M47" s="148" t="s">
        <v>2134</v>
      </c>
      <c r="N47" s="43" t="s">
        <v>949</v>
      </c>
      <c r="P47" s="203" t="s">
        <v>1894</v>
      </c>
      <c r="Q47" s="1" t="s">
        <v>93</v>
      </c>
      <c r="R47" s="288" t="s">
        <v>349</v>
      </c>
      <c r="S47" s="290"/>
      <c r="U47" s="198" t="s">
        <v>214</v>
      </c>
      <c r="V47" s="198" t="s">
        <v>213</v>
      </c>
      <c r="W47" s="198" t="s">
        <v>209</v>
      </c>
      <c r="Y47" s="8" t="s">
        <v>262</v>
      </c>
      <c r="Z47" s="9" t="s">
        <v>261</v>
      </c>
    </row>
    <row r="48" spans="1:26" x14ac:dyDescent="0.2">
      <c r="A48" s="200" t="s">
        <v>2457</v>
      </c>
      <c r="B48" s="198" t="s">
        <v>851</v>
      </c>
      <c r="C48" s="198" t="s">
        <v>308</v>
      </c>
      <c r="D48" s="198"/>
      <c r="E48" s="198" t="s">
        <v>851</v>
      </c>
      <c r="F48" s="198" t="s">
        <v>852</v>
      </c>
      <c r="H48" s="42" t="s">
        <v>1235</v>
      </c>
      <c r="I48" s="148" t="s">
        <v>1236</v>
      </c>
      <c r="J48" s="148" t="s">
        <v>1237</v>
      </c>
      <c r="K48" s="148" t="s">
        <v>1238</v>
      </c>
      <c r="L48" s="148" t="s">
        <v>1239</v>
      </c>
      <c r="M48" s="148" t="s">
        <v>2134</v>
      </c>
      <c r="N48" s="43" t="s">
        <v>949</v>
      </c>
      <c r="P48" s="203" t="s">
        <v>1892</v>
      </c>
      <c r="Q48" s="1" t="s">
        <v>93</v>
      </c>
      <c r="R48" s="288"/>
      <c r="S48" s="290"/>
      <c r="U48" s="201" t="s">
        <v>2498</v>
      </c>
      <c r="V48" s="198" t="s">
        <v>2499</v>
      </c>
      <c r="W48" s="198" t="s">
        <v>2163</v>
      </c>
      <c r="Y48" s="13" t="s">
        <v>2163</v>
      </c>
      <c r="Z48" s="22" t="s">
        <v>2164</v>
      </c>
    </row>
    <row r="49" spans="1:27" x14ac:dyDescent="0.2">
      <c r="A49" s="200" t="s">
        <v>180</v>
      </c>
      <c r="B49" s="198" t="s">
        <v>179</v>
      </c>
      <c r="C49" s="198" t="s">
        <v>308</v>
      </c>
      <c r="D49" s="1"/>
      <c r="E49" s="198" t="s">
        <v>179</v>
      </c>
      <c r="F49" s="198" t="s">
        <v>918</v>
      </c>
      <c r="H49" s="42" t="s">
        <v>2045</v>
      </c>
      <c r="I49" s="148" t="s">
        <v>2046</v>
      </c>
      <c r="J49" s="148" t="s">
        <v>2047</v>
      </c>
      <c r="K49" s="148" t="s">
        <v>2048</v>
      </c>
      <c r="L49" s="148" t="s">
        <v>2049</v>
      </c>
      <c r="M49" s="148" t="s">
        <v>2134</v>
      </c>
      <c r="N49" s="43" t="s">
        <v>949</v>
      </c>
      <c r="P49" s="203" t="s">
        <v>1893</v>
      </c>
      <c r="Q49" s="1" t="s">
        <v>93</v>
      </c>
      <c r="R49" s="288"/>
      <c r="S49" s="290"/>
      <c r="U49" s="198" t="s">
        <v>204</v>
      </c>
      <c r="V49" s="198" t="s">
        <v>1938</v>
      </c>
      <c r="W49" s="198" t="s">
        <v>203</v>
      </c>
    </row>
    <row r="50" spans="1:27" x14ac:dyDescent="0.2">
      <c r="A50" s="200" t="s">
        <v>480</v>
      </c>
      <c r="B50" s="198" t="s">
        <v>479</v>
      </c>
      <c r="C50" s="198" t="s">
        <v>308</v>
      </c>
      <c r="D50" s="1" t="s">
        <v>288</v>
      </c>
      <c r="E50" s="198" t="s">
        <v>479</v>
      </c>
      <c r="F50" s="198" t="s">
        <v>857</v>
      </c>
      <c r="H50" s="42" t="s">
        <v>2050</v>
      </c>
      <c r="I50" s="148" t="s">
        <v>2135</v>
      </c>
      <c r="J50" s="148" t="s">
        <v>2051</v>
      </c>
      <c r="K50" s="148" t="s">
        <v>2052</v>
      </c>
      <c r="L50" s="148" t="s">
        <v>2053</v>
      </c>
      <c r="M50" s="148" t="s">
        <v>2134</v>
      </c>
      <c r="N50" s="43" t="s">
        <v>949</v>
      </c>
      <c r="P50" s="203" t="s">
        <v>1895</v>
      </c>
      <c r="Q50" s="1" t="s">
        <v>93</v>
      </c>
      <c r="R50" s="288"/>
      <c r="S50" s="290"/>
      <c r="U50" s="207" t="s">
        <v>200</v>
      </c>
      <c r="V50" s="208" t="s">
        <v>1947</v>
      </c>
      <c r="W50" s="208"/>
      <c r="Y50" s="287" t="s">
        <v>1178</v>
      </c>
      <c r="Z50" s="287"/>
    </row>
    <row r="51" spans="1:27" x14ac:dyDescent="0.2">
      <c r="A51" s="200" t="s">
        <v>178</v>
      </c>
      <c r="B51" s="198" t="s">
        <v>177</v>
      </c>
      <c r="C51" s="198" t="s">
        <v>308</v>
      </c>
      <c r="D51" s="1"/>
      <c r="E51" s="198" t="s">
        <v>177</v>
      </c>
      <c r="F51" s="198" t="s">
        <v>919</v>
      </c>
      <c r="H51" s="42" t="s">
        <v>2054</v>
      </c>
      <c r="I51" s="148" t="s">
        <v>2136</v>
      </c>
      <c r="J51" s="148" t="s">
        <v>2055</v>
      </c>
      <c r="K51" s="148" t="s">
        <v>2056</v>
      </c>
      <c r="L51" s="148" t="s">
        <v>2057</v>
      </c>
      <c r="M51" s="148" t="s">
        <v>2134</v>
      </c>
      <c r="N51" s="43" t="s">
        <v>949</v>
      </c>
      <c r="P51" s="203" t="s">
        <v>1896</v>
      </c>
      <c r="Q51" s="1" t="s">
        <v>93</v>
      </c>
      <c r="R51" s="288"/>
      <c r="S51" s="290"/>
      <c r="Y51" s="40" t="s">
        <v>752</v>
      </c>
      <c r="Z51" s="41" t="s">
        <v>1023</v>
      </c>
    </row>
    <row r="52" spans="1:27" x14ac:dyDescent="0.2">
      <c r="A52" s="200" t="s">
        <v>470</v>
      </c>
      <c r="B52" s="198" t="s">
        <v>469</v>
      </c>
      <c r="C52" s="198" t="s">
        <v>308</v>
      </c>
      <c r="D52" s="1" t="s">
        <v>380</v>
      </c>
      <c r="E52" s="198" t="s">
        <v>469</v>
      </c>
      <c r="F52" s="198" t="s">
        <v>858</v>
      </c>
      <c r="H52" s="42" t="s">
        <v>2058</v>
      </c>
      <c r="I52" s="148" t="s">
        <v>2137</v>
      </c>
      <c r="J52" s="148" t="s">
        <v>2059</v>
      </c>
      <c r="K52" s="148" t="s">
        <v>2060</v>
      </c>
      <c r="L52" s="148" t="s">
        <v>2061</v>
      </c>
      <c r="M52" s="148" t="s">
        <v>2134</v>
      </c>
      <c r="N52" s="43" t="s">
        <v>949</v>
      </c>
      <c r="P52" s="203" t="s">
        <v>1897</v>
      </c>
      <c r="Q52" s="1" t="s">
        <v>93</v>
      </c>
      <c r="R52" s="288" t="s">
        <v>326</v>
      </c>
      <c r="S52" s="288" t="s">
        <v>325</v>
      </c>
      <c r="Y52" s="42" t="s">
        <v>1024</v>
      </c>
      <c r="Z52" s="43" t="s">
        <v>1025</v>
      </c>
    </row>
    <row r="53" spans="1:27" x14ac:dyDescent="0.2">
      <c r="A53" s="200" t="s">
        <v>2458</v>
      </c>
      <c r="B53" s="198" t="s">
        <v>466</v>
      </c>
      <c r="C53" s="198" t="s">
        <v>308</v>
      </c>
      <c r="D53" s="1"/>
      <c r="E53" s="198" t="s">
        <v>466</v>
      </c>
      <c r="F53" s="198" t="s">
        <v>263</v>
      </c>
      <c r="H53" s="42" t="s">
        <v>344</v>
      </c>
      <c r="I53" s="148" t="s">
        <v>343</v>
      </c>
      <c r="J53" s="148" t="s">
        <v>342</v>
      </c>
      <c r="K53" s="148" t="s">
        <v>341</v>
      </c>
      <c r="L53" s="148" t="s">
        <v>340</v>
      </c>
      <c r="M53" s="148" t="s">
        <v>2134</v>
      </c>
      <c r="N53" s="43" t="s">
        <v>949</v>
      </c>
      <c r="P53" s="203" t="s">
        <v>1898</v>
      </c>
      <c r="Q53" s="1" t="s">
        <v>93</v>
      </c>
      <c r="R53" s="288"/>
      <c r="S53" s="288"/>
      <c r="U53" s="285" t="s">
        <v>1171</v>
      </c>
      <c r="V53" s="285"/>
      <c r="Y53" s="44" t="s">
        <v>960</v>
      </c>
      <c r="Z53" s="45" t="s">
        <v>1026</v>
      </c>
    </row>
    <row r="54" spans="1:27" x14ac:dyDescent="0.2">
      <c r="A54" s="200" t="s">
        <v>460</v>
      </c>
      <c r="B54" s="198" t="s">
        <v>459</v>
      </c>
      <c r="C54" s="198" t="s">
        <v>308</v>
      </c>
      <c r="D54" s="1"/>
      <c r="E54" s="198" t="s">
        <v>459</v>
      </c>
      <c r="F54" s="198" t="s">
        <v>859</v>
      </c>
      <c r="H54" s="42" t="s">
        <v>2062</v>
      </c>
      <c r="I54" s="148" t="s">
        <v>2138</v>
      </c>
      <c r="J54" s="148" t="s">
        <v>2063</v>
      </c>
      <c r="K54" s="148" t="s">
        <v>2139</v>
      </c>
      <c r="L54" s="148" t="s">
        <v>2140</v>
      </c>
      <c r="M54" s="148" t="s">
        <v>2134</v>
      </c>
      <c r="N54" s="43" t="s">
        <v>949</v>
      </c>
      <c r="P54" s="203" t="s">
        <v>1899</v>
      </c>
      <c r="Q54" s="1" t="s">
        <v>93</v>
      </c>
      <c r="R54" s="288"/>
      <c r="S54" s="288"/>
      <c r="U54" s="61" t="s">
        <v>2376</v>
      </c>
      <c r="V54" s="61" t="s">
        <v>748</v>
      </c>
    </row>
    <row r="55" spans="1:27" x14ac:dyDescent="0.2">
      <c r="A55" s="200" t="s">
        <v>458</v>
      </c>
      <c r="B55" s="198" t="s">
        <v>457</v>
      </c>
      <c r="C55" s="198" t="s">
        <v>308</v>
      </c>
      <c r="D55" s="1"/>
      <c r="E55" s="198" t="s">
        <v>457</v>
      </c>
      <c r="F55" s="198" t="s">
        <v>860</v>
      </c>
      <c r="H55" s="42" t="s">
        <v>1240</v>
      </c>
      <c r="I55" s="148" t="s">
        <v>1241</v>
      </c>
      <c r="J55" s="148" t="s">
        <v>1242</v>
      </c>
      <c r="K55" s="148" t="s">
        <v>1243</v>
      </c>
      <c r="L55" s="148" t="s">
        <v>1244</v>
      </c>
      <c r="M55" s="148" t="s">
        <v>2134</v>
      </c>
      <c r="N55" s="43" t="s">
        <v>949</v>
      </c>
      <c r="P55" s="203" t="s">
        <v>1900</v>
      </c>
      <c r="Q55" s="1" t="s">
        <v>93</v>
      </c>
      <c r="R55" s="288"/>
      <c r="S55" s="288"/>
      <c r="U55" s="8" t="s">
        <v>327</v>
      </c>
      <c r="V55" s="9" t="s">
        <v>962</v>
      </c>
    </row>
    <row r="56" spans="1:27" x14ac:dyDescent="0.2">
      <c r="A56" s="200" t="s">
        <v>449</v>
      </c>
      <c r="B56" s="198" t="s">
        <v>448</v>
      </c>
      <c r="C56" s="198" t="s">
        <v>308</v>
      </c>
      <c r="D56" s="1"/>
      <c r="E56" s="198" t="s">
        <v>448</v>
      </c>
      <c r="F56" s="198" t="s">
        <v>861</v>
      </c>
      <c r="H56" s="42" t="s">
        <v>2064</v>
      </c>
      <c r="I56" s="148" t="s">
        <v>2141</v>
      </c>
      <c r="J56" s="148" t="s">
        <v>2065</v>
      </c>
      <c r="K56" s="148" t="s">
        <v>2066</v>
      </c>
      <c r="L56" s="148" t="s">
        <v>2067</v>
      </c>
      <c r="M56" s="148" t="s">
        <v>2134</v>
      </c>
      <c r="N56" s="43" t="s">
        <v>949</v>
      </c>
      <c r="P56" s="203" t="s">
        <v>1901</v>
      </c>
      <c r="Q56" s="1" t="s">
        <v>93</v>
      </c>
      <c r="R56" s="288"/>
      <c r="S56" s="288"/>
      <c r="U56" s="8" t="s">
        <v>732</v>
      </c>
      <c r="V56" s="9" t="s">
        <v>963</v>
      </c>
      <c r="Y56" s="287" t="s">
        <v>1179</v>
      </c>
      <c r="Z56" s="287"/>
    </row>
    <row r="57" spans="1:27" x14ac:dyDescent="0.2">
      <c r="A57" s="200" t="s">
        <v>2459</v>
      </c>
      <c r="B57" s="198" t="s">
        <v>441</v>
      </c>
      <c r="C57" s="198" t="s">
        <v>308</v>
      </c>
      <c r="D57" s="1"/>
      <c r="E57" s="198" t="s">
        <v>441</v>
      </c>
      <c r="F57" s="198" t="s">
        <v>862</v>
      </c>
      <c r="H57" s="42" t="s">
        <v>432</v>
      </c>
      <c r="I57" s="148" t="s">
        <v>431</v>
      </c>
      <c r="J57" s="148" t="s">
        <v>430</v>
      </c>
      <c r="K57" s="148" t="s">
        <v>429</v>
      </c>
      <c r="L57" s="148" t="s">
        <v>428</v>
      </c>
      <c r="M57" s="148" t="s">
        <v>2134</v>
      </c>
      <c r="N57" s="43" t="s">
        <v>949</v>
      </c>
      <c r="P57" s="203" t="s">
        <v>1902</v>
      </c>
      <c r="Q57" s="1" t="s">
        <v>93</v>
      </c>
      <c r="R57" s="288"/>
      <c r="S57" s="288"/>
      <c r="U57" s="8" t="s">
        <v>720</v>
      </c>
      <c r="V57" s="9" t="s">
        <v>719</v>
      </c>
      <c r="Y57" s="40" t="s">
        <v>1027</v>
      </c>
      <c r="Z57" s="41" t="s">
        <v>2156</v>
      </c>
      <c r="AA57" s="164" t="s">
        <v>2385</v>
      </c>
    </row>
    <row r="58" spans="1:27" x14ac:dyDescent="0.2">
      <c r="A58" s="200" t="s">
        <v>161</v>
      </c>
      <c r="B58" s="198" t="s">
        <v>160</v>
      </c>
      <c r="C58" s="198" t="s">
        <v>308</v>
      </c>
      <c r="D58" s="1"/>
      <c r="E58" s="198" t="s">
        <v>160</v>
      </c>
      <c r="F58" s="198" t="s">
        <v>926</v>
      </c>
      <c r="H58" s="42" t="s">
        <v>2068</v>
      </c>
      <c r="I58" s="148" t="s">
        <v>2142</v>
      </c>
      <c r="J58" s="148" t="s">
        <v>2069</v>
      </c>
      <c r="K58" s="148" t="s">
        <v>2070</v>
      </c>
      <c r="L58" s="148" t="s">
        <v>2071</v>
      </c>
      <c r="M58" s="148" t="s">
        <v>2134</v>
      </c>
      <c r="N58" s="43" t="s">
        <v>949</v>
      </c>
      <c r="P58" s="203" t="s">
        <v>1903</v>
      </c>
      <c r="Q58" s="1" t="s">
        <v>93</v>
      </c>
      <c r="R58" s="288"/>
      <c r="S58" s="288"/>
      <c r="U58" s="8" t="s">
        <v>709</v>
      </c>
      <c r="V58" s="9" t="s">
        <v>708</v>
      </c>
      <c r="Y58" s="42" t="s">
        <v>2157</v>
      </c>
      <c r="Z58" s="43" t="s">
        <v>2158</v>
      </c>
      <c r="AA58" s="164" t="s">
        <v>2386</v>
      </c>
    </row>
    <row r="59" spans="1:27" x14ac:dyDescent="0.2">
      <c r="A59" s="200" t="s">
        <v>434</v>
      </c>
      <c r="B59" s="198" t="s">
        <v>433</v>
      </c>
      <c r="C59" s="198" t="s">
        <v>308</v>
      </c>
      <c r="D59" s="1"/>
      <c r="E59" s="198" t="s">
        <v>433</v>
      </c>
      <c r="F59" s="198" t="s">
        <v>863</v>
      </c>
      <c r="H59" s="42" t="s">
        <v>1245</v>
      </c>
      <c r="I59" s="148" t="s">
        <v>1246</v>
      </c>
      <c r="J59" s="148" t="s">
        <v>1247</v>
      </c>
      <c r="K59" s="148" t="s">
        <v>1248</v>
      </c>
      <c r="L59" s="148" t="s">
        <v>1249</v>
      </c>
      <c r="M59" s="148" t="s">
        <v>2134</v>
      </c>
      <c r="N59" s="43" t="s">
        <v>949</v>
      </c>
      <c r="P59" s="203" t="s">
        <v>1904</v>
      </c>
      <c r="Q59" s="204" t="s">
        <v>91</v>
      </c>
      <c r="R59" s="288"/>
      <c r="S59" s="288"/>
      <c r="U59" s="8" t="s">
        <v>697</v>
      </c>
      <c r="V59" s="9" t="s">
        <v>696</v>
      </c>
      <c r="Y59" s="42" t="s">
        <v>2159</v>
      </c>
      <c r="Z59" s="43" t="s">
        <v>2160</v>
      </c>
      <c r="AA59" s="164" t="s">
        <v>2387</v>
      </c>
    </row>
    <row r="60" spans="1:27" x14ac:dyDescent="0.2">
      <c r="A60" s="200" t="s">
        <v>426</v>
      </c>
      <c r="B60" s="198" t="s">
        <v>425</v>
      </c>
      <c r="C60" s="198" t="s">
        <v>308</v>
      </c>
      <c r="D60" s="1" t="s">
        <v>427</v>
      </c>
      <c r="E60" s="198" t="s">
        <v>425</v>
      </c>
      <c r="F60" s="198" t="s">
        <v>864</v>
      </c>
      <c r="H60" s="42" t="s">
        <v>363</v>
      </c>
      <c r="I60" s="148" t="s">
        <v>362</v>
      </c>
      <c r="J60" s="148" t="s">
        <v>361</v>
      </c>
      <c r="K60" s="148" t="s">
        <v>360</v>
      </c>
      <c r="L60" s="148" t="s">
        <v>359</v>
      </c>
      <c r="M60" s="148" t="s">
        <v>2134</v>
      </c>
      <c r="N60" s="43" t="s">
        <v>949</v>
      </c>
      <c r="P60" s="203" t="s">
        <v>1905</v>
      </c>
      <c r="Q60" s="1" t="s">
        <v>93</v>
      </c>
      <c r="R60" s="288" t="s">
        <v>243</v>
      </c>
      <c r="S60" s="288"/>
      <c r="U60" s="8" t="s">
        <v>687</v>
      </c>
      <c r="V60" s="9" t="s">
        <v>686</v>
      </c>
      <c r="Y60" s="42" t="s">
        <v>1028</v>
      </c>
      <c r="Z60" s="43" t="s">
        <v>2161</v>
      </c>
      <c r="AA60" s="164" t="s">
        <v>2388</v>
      </c>
    </row>
    <row r="61" spans="1:27" x14ac:dyDescent="0.2">
      <c r="A61" s="200" t="s">
        <v>423</v>
      </c>
      <c r="B61" s="198" t="s">
        <v>422</v>
      </c>
      <c r="C61" s="198" t="s">
        <v>308</v>
      </c>
      <c r="D61" s="1"/>
      <c r="E61" s="198" t="s">
        <v>422</v>
      </c>
      <c r="F61" s="198" t="s">
        <v>865</v>
      </c>
      <c r="H61" s="42" t="s">
        <v>152</v>
      </c>
      <c r="I61" s="148" t="s">
        <v>151</v>
      </c>
      <c r="J61" s="148" t="s">
        <v>150</v>
      </c>
      <c r="K61" s="148" t="s">
        <v>149</v>
      </c>
      <c r="L61" s="148" t="s">
        <v>148</v>
      </c>
      <c r="M61" s="148" t="s">
        <v>2134</v>
      </c>
      <c r="N61" s="43" t="s">
        <v>949</v>
      </c>
      <c r="P61" s="203" t="s">
        <v>1906</v>
      </c>
      <c r="Q61" s="1" t="s">
        <v>93</v>
      </c>
      <c r="R61" s="288"/>
      <c r="S61" s="288"/>
      <c r="U61" s="8" t="s">
        <v>679</v>
      </c>
      <c r="V61" s="9" t="s">
        <v>678</v>
      </c>
      <c r="Y61" s="44" t="s">
        <v>961</v>
      </c>
      <c r="Z61" s="45" t="s">
        <v>2162</v>
      </c>
      <c r="AA61" s="164" t="s">
        <v>2389</v>
      </c>
    </row>
    <row r="62" spans="1:27" x14ac:dyDescent="0.2">
      <c r="A62" s="200" t="s">
        <v>416</v>
      </c>
      <c r="B62" s="198" t="s">
        <v>415</v>
      </c>
      <c r="C62" s="198" t="s">
        <v>308</v>
      </c>
      <c r="D62" s="1"/>
      <c r="E62" s="198" t="s">
        <v>415</v>
      </c>
      <c r="F62" s="198" t="s">
        <v>866</v>
      </c>
      <c r="H62" s="42" t="s">
        <v>159</v>
      </c>
      <c r="I62" s="148" t="s">
        <v>158</v>
      </c>
      <c r="J62" s="148" t="s">
        <v>157</v>
      </c>
      <c r="K62" s="148" t="s">
        <v>156</v>
      </c>
      <c r="L62" s="148" t="s">
        <v>155</v>
      </c>
      <c r="M62" s="148" t="s">
        <v>2134</v>
      </c>
      <c r="N62" s="43" t="s">
        <v>949</v>
      </c>
      <c r="P62" s="203" t="s">
        <v>1907</v>
      </c>
      <c r="Q62" s="1" t="s">
        <v>93</v>
      </c>
      <c r="R62" s="288"/>
      <c r="S62" s="288"/>
      <c r="U62" s="8" t="s">
        <v>671</v>
      </c>
      <c r="V62" s="9" t="s">
        <v>670</v>
      </c>
    </row>
    <row r="63" spans="1:27" x14ac:dyDescent="0.2">
      <c r="A63" s="200" t="s">
        <v>408</v>
      </c>
      <c r="B63" s="198" t="s">
        <v>407</v>
      </c>
      <c r="C63" s="198" t="s">
        <v>308</v>
      </c>
      <c r="D63" s="1"/>
      <c r="E63" s="198" t="s">
        <v>407</v>
      </c>
      <c r="F63" s="198" t="s">
        <v>867</v>
      </c>
      <c r="H63" s="42" t="s">
        <v>1250</v>
      </c>
      <c r="I63" s="148" t="s">
        <v>1251</v>
      </c>
      <c r="J63" s="148" t="s">
        <v>1252</v>
      </c>
      <c r="K63" s="148" t="s">
        <v>1253</v>
      </c>
      <c r="L63" s="148" t="s">
        <v>1254</v>
      </c>
      <c r="M63" s="148" t="s">
        <v>2134</v>
      </c>
      <c r="N63" s="43" t="s">
        <v>949</v>
      </c>
      <c r="P63" s="203" t="s">
        <v>1908</v>
      </c>
      <c r="Q63" s="1" t="s">
        <v>93</v>
      </c>
      <c r="R63" s="288"/>
      <c r="S63" s="288"/>
      <c r="U63" s="13" t="s">
        <v>200</v>
      </c>
      <c r="V63" s="14" t="s">
        <v>336</v>
      </c>
    </row>
    <row r="64" spans="1:27" x14ac:dyDescent="0.2">
      <c r="A64" s="200" t="s">
        <v>404</v>
      </c>
      <c r="B64" s="198" t="s">
        <v>403</v>
      </c>
      <c r="C64" s="198" t="s">
        <v>308</v>
      </c>
      <c r="D64" s="1"/>
      <c r="E64" s="198" t="s">
        <v>403</v>
      </c>
      <c r="F64" s="198" t="s">
        <v>868</v>
      </c>
      <c r="H64" s="42" t="s">
        <v>1230</v>
      </c>
      <c r="I64" s="148" t="s">
        <v>1231</v>
      </c>
      <c r="J64" s="148" t="s">
        <v>1232</v>
      </c>
      <c r="K64" s="148" t="s">
        <v>1233</v>
      </c>
      <c r="L64" s="148" t="s">
        <v>1234</v>
      </c>
      <c r="M64" s="148" t="s">
        <v>2134</v>
      </c>
      <c r="N64" s="43" t="s">
        <v>949</v>
      </c>
      <c r="P64" s="203" t="s">
        <v>1909</v>
      </c>
      <c r="Q64" s="1" t="s">
        <v>93</v>
      </c>
      <c r="R64" s="288"/>
      <c r="S64" s="288"/>
      <c r="U64" s="15"/>
      <c r="V64" s="15"/>
    </row>
    <row r="65" spans="1:22" x14ac:dyDescent="0.2">
      <c r="A65" s="200" t="s">
        <v>399</v>
      </c>
      <c r="B65" s="198" t="s">
        <v>398</v>
      </c>
      <c r="C65" s="198" t="s">
        <v>308</v>
      </c>
      <c r="D65" s="1"/>
      <c r="E65" s="198" t="s">
        <v>398</v>
      </c>
      <c r="F65" s="198" t="s">
        <v>869</v>
      </c>
      <c r="H65" s="42" t="s">
        <v>2072</v>
      </c>
      <c r="I65" s="148" t="s">
        <v>2143</v>
      </c>
      <c r="J65" s="148" t="s">
        <v>2373</v>
      </c>
      <c r="K65" s="148"/>
      <c r="L65" s="148"/>
      <c r="M65" s="148" t="s">
        <v>2134</v>
      </c>
      <c r="N65" s="43" t="s">
        <v>949</v>
      </c>
      <c r="P65" s="203" t="s">
        <v>1910</v>
      </c>
      <c r="Q65" s="1" t="s">
        <v>93</v>
      </c>
      <c r="R65" s="288"/>
      <c r="S65" s="288"/>
    </row>
    <row r="66" spans="1:22" x14ac:dyDescent="0.2">
      <c r="A66" s="200" t="s">
        <v>2460</v>
      </c>
      <c r="B66" s="198" t="s">
        <v>2461</v>
      </c>
      <c r="C66" s="198" t="s">
        <v>308</v>
      </c>
      <c r="D66" s="198"/>
      <c r="E66" s="198" t="s">
        <v>2462</v>
      </c>
      <c r="F66" s="198" t="s">
        <v>852</v>
      </c>
      <c r="H66" s="42" t="s">
        <v>145</v>
      </c>
      <c r="I66" s="148" t="s">
        <v>144</v>
      </c>
      <c r="J66" s="148" t="s">
        <v>143</v>
      </c>
      <c r="K66" s="148" t="s">
        <v>142</v>
      </c>
      <c r="L66" s="148" t="s">
        <v>141</v>
      </c>
      <c r="M66" s="148" t="s">
        <v>2134</v>
      </c>
      <c r="N66" s="43" t="s">
        <v>949</v>
      </c>
      <c r="P66" s="203" t="s">
        <v>1911</v>
      </c>
      <c r="Q66" s="1" t="s">
        <v>93</v>
      </c>
      <c r="R66" s="288"/>
      <c r="S66" s="288"/>
      <c r="U66" s="285" t="s">
        <v>1172</v>
      </c>
      <c r="V66" s="285"/>
    </row>
    <row r="67" spans="1:22" x14ac:dyDescent="0.2">
      <c r="A67" s="200" t="s">
        <v>395</v>
      </c>
      <c r="B67" s="198" t="s">
        <v>394</v>
      </c>
      <c r="C67" s="198" t="s">
        <v>308</v>
      </c>
      <c r="D67" s="1"/>
      <c r="E67" s="198" t="s">
        <v>394</v>
      </c>
      <c r="F67" s="198" t="s">
        <v>793</v>
      </c>
      <c r="H67" s="42" t="s">
        <v>1255</v>
      </c>
      <c r="I67" s="148" t="s">
        <v>1256</v>
      </c>
      <c r="J67" s="148" t="s">
        <v>1257</v>
      </c>
      <c r="K67" s="148" t="s">
        <v>1258</v>
      </c>
      <c r="L67" s="148" t="s">
        <v>1259</v>
      </c>
      <c r="M67" s="148" t="s">
        <v>2134</v>
      </c>
      <c r="N67" s="43" t="s">
        <v>949</v>
      </c>
      <c r="P67" s="203" t="s">
        <v>1912</v>
      </c>
      <c r="Q67" s="1" t="s">
        <v>93</v>
      </c>
      <c r="R67" s="288"/>
      <c r="S67" s="288"/>
      <c r="U67" s="59" t="s">
        <v>2377</v>
      </c>
      <c r="V67" s="60" t="s">
        <v>636</v>
      </c>
    </row>
    <row r="68" spans="1:22" x14ac:dyDescent="0.2">
      <c r="A68" s="200" t="s">
        <v>389</v>
      </c>
      <c r="B68" s="198" t="s">
        <v>388</v>
      </c>
      <c r="C68" s="198" t="s">
        <v>308</v>
      </c>
      <c r="D68" s="1" t="s">
        <v>288</v>
      </c>
      <c r="E68" s="198" t="s">
        <v>388</v>
      </c>
      <c r="F68" s="198" t="s">
        <v>870</v>
      </c>
      <c r="H68" s="42" t="s">
        <v>1260</v>
      </c>
      <c r="I68" s="148" t="s">
        <v>2374</v>
      </c>
      <c r="J68" s="148" t="s">
        <v>1261</v>
      </c>
      <c r="K68" s="148"/>
      <c r="L68" s="148"/>
      <c r="M68" s="148" t="s">
        <v>2134</v>
      </c>
      <c r="N68" s="43" t="s">
        <v>949</v>
      </c>
      <c r="P68" s="203" t="s">
        <v>98</v>
      </c>
      <c r="Q68" s="1" t="s">
        <v>93</v>
      </c>
      <c r="R68" s="288" t="s">
        <v>189</v>
      </c>
      <c r="S68" s="289" t="s">
        <v>188</v>
      </c>
      <c r="U68" s="16" t="s">
        <v>630</v>
      </c>
      <c r="V68" s="17" t="s">
        <v>629</v>
      </c>
    </row>
    <row r="69" spans="1:22" x14ac:dyDescent="0.2">
      <c r="A69" s="200" t="s">
        <v>386</v>
      </c>
      <c r="B69" s="198" t="s">
        <v>385</v>
      </c>
      <c r="C69" s="198" t="s">
        <v>308</v>
      </c>
      <c r="D69" s="1"/>
      <c r="E69" s="198" t="s">
        <v>385</v>
      </c>
      <c r="F69" s="198" t="s">
        <v>871</v>
      </c>
      <c r="H69" s="42" t="s">
        <v>1262</v>
      </c>
      <c r="I69" s="148" t="s">
        <v>1263</v>
      </c>
      <c r="J69" s="148" t="s">
        <v>1264</v>
      </c>
      <c r="K69" s="148" t="s">
        <v>1265</v>
      </c>
      <c r="L69" s="148" t="s">
        <v>1266</v>
      </c>
      <c r="M69" s="148" t="s">
        <v>2134</v>
      </c>
      <c r="N69" s="43" t="s">
        <v>949</v>
      </c>
      <c r="P69" s="203" t="s">
        <v>96</v>
      </c>
      <c r="Q69" s="1" t="s">
        <v>93</v>
      </c>
      <c r="R69" s="288"/>
      <c r="S69" s="289"/>
      <c r="U69" s="16" t="s">
        <v>622</v>
      </c>
      <c r="V69" s="17" t="s">
        <v>621</v>
      </c>
    </row>
    <row r="70" spans="1:22" x14ac:dyDescent="0.2">
      <c r="A70" s="200" t="s">
        <v>383</v>
      </c>
      <c r="B70" s="198" t="s">
        <v>382</v>
      </c>
      <c r="C70" s="198" t="s">
        <v>308</v>
      </c>
      <c r="D70" s="1"/>
      <c r="E70" s="198" t="s">
        <v>382</v>
      </c>
      <c r="F70" s="198" t="s">
        <v>872</v>
      </c>
      <c r="H70" s="42" t="s">
        <v>1275</v>
      </c>
      <c r="I70" s="148" t="s">
        <v>1276</v>
      </c>
      <c r="J70" s="148" t="s">
        <v>1277</v>
      </c>
      <c r="K70" s="148" t="s">
        <v>1278</v>
      </c>
      <c r="L70" s="148" t="s">
        <v>1279</v>
      </c>
      <c r="M70" s="148" t="s">
        <v>2134</v>
      </c>
      <c r="N70" s="43" t="s">
        <v>949</v>
      </c>
      <c r="P70" s="203" t="s">
        <v>95</v>
      </c>
      <c r="Q70" s="1" t="s">
        <v>93</v>
      </c>
      <c r="R70" s="288"/>
      <c r="S70" s="289"/>
      <c r="U70" s="16" t="s">
        <v>615</v>
      </c>
      <c r="V70" s="17" t="s">
        <v>614</v>
      </c>
    </row>
    <row r="71" spans="1:22" x14ac:dyDescent="0.2">
      <c r="A71" s="200" t="s">
        <v>2463</v>
      </c>
      <c r="B71" s="198" t="s">
        <v>379</v>
      </c>
      <c r="C71" s="198" t="s">
        <v>308</v>
      </c>
      <c r="D71" s="1" t="s">
        <v>380</v>
      </c>
      <c r="E71" s="198" t="s">
        <v>379</v>
      </c>
      <c r="F71" s="198" t="s">
        <v>873</v>
      </c>
      <c r="H71" s="42" t="s">
        <v>1267</v>
      </c>
      <c r="I71" s="148" t="s">
        <v>1268</v>
      </c>
      <c r="J71" s="148" t="s">
        <v>1269</v>
      </c>
      <c r="K71" s="148" t="s">
        <v>1270</v>
      </c>
      <c r="L71" s="148" t="s">
        <v>1271</v>
      </c>
      <c r="M71" s="148" t="s">
        <v>2134</v>
      </c>
      <c r="N71" s="43" t="s">
        <v>949</v>
      </c>
      <c r="P71" s="203" t="s">
        <v>94</v>
      </c>
      <c r="Q71" s="1" t="s">
        <v>93</v>
      </c>
      <c r="R71" s="288"/>
      <c r="S71" s="289"/>
      <c r="U71" s="16" t="s">
        <v>608</v>
      </c>
      <c r="V71" s="17" t="s">
        <v>607</v>
      </c>
    </row>
    <row r="72" spans="1:22" x14ac:dyDescent="0.2">
      <c r="A72" s="200" t="s">
        <v>2464</v>
      </c>
      <c r="B72" s="198" t="s">
        <v>2465</v>
      </c>
      <c r="C72" s="198" t="s">
        <v>308</v>
      </c>
      <c r="D72" s="198"/>
      <c r="E72" s="198" t="s">
        <v>2466</v>
      </c>
      <c r="F72" s="198" t="s">
        <v>852</v>
      </c>
      <c r="H72" s="42" t="s">
        <v>1272</v>
      </c>
      <c r="I72" s="148" t="s">
        <v>1273</v>
      </c>
      <c r="J72" s="148" t="s">
        <v>1274</v>
      </c>
      <c r="K72" s="148"/>
      <c r="L72" s="148"/>
      <c r="M72" s="148" t="s">
        <v>2134</v>
      </c>
      <c r="N72" s="43" t="s">
        <v>949</v>
      </c>
      <c r="P72" s="203" t="s">
        <v>105</v>
      </c>
      <c r="Q72" s="1" t="s">
        <v>93</v>
      </c>
      <c r="R72" s="288"/>
      <c r="S72" s="289"/>
      <c r="U72" s="16" t="s">
        <v>599</v>
      </c>
      <c r="V72" s="17" t="s">
        <v>598</v>
      </c>
    </row>
    <row r="73" spans="1:22" x14ac:dyDescent="0.2">
      <c r="A73" s="200" t="s">
        <v>377</v>
      </c>
      <c r="B73" s="198" t="s">
        <v>376</v>
      </c>
      <c r="C73" s="198" t="s">
        <v>308</v>
      </c>
      <c r="D73" s="1" t="s">
        <v>1946</v>
      </c>
      <c r="E73" s="198" t="s">
        <v>376</v>
      </c>
      <c r="F73" s="198" t="s">
        <v>874</v>
      </c>
      <c r="H73" s="42" t="s">
        <v>2073</v>
      </c>
      <c r="I73" s="148" t="s">
        <v>2074</v>
      </c>
      <c r="J73" s="148" t="s">
        <v>2075</v>
      </c>
      <c r="K73" s="148" t="s">
        <v>2076</v>
      </c>
      <c r="L73" s="148" t="s">
        <v>2077</v>
      </c>
      <c r="M73" s="148" t="s">
        <v>2134</v>
      </c>
      <c r="N73" s="43" t="s">
        <v>949</v>
      </c>
      <c r="P73" s="203" t="s">
        <v>103</v>
      </c>
      <c r="Q73" s="1" t="s">
        <v>93</v>
      </c>
      <c r="R73" s="288"/>
      <c r="S73" s="289"/>
      <c r="U73" s="16" t="s">
        <v>597</v>
      </c>
      <c r="V73" s="17" t="s">
        <v>596</v>
      </c>
    </row>
    <row r="74" spans="1:22" x14ac:dyDescent="0.2">
      <c r="A74" s="200" t="s">
        <v>373</v>
      </c>
      <c r="B74" s="198" t="s">
        <v>372</v>
      </c>
      <c r="C74" s="198" t="s">
        <v>308</v>
      </c>
      <c r="D74" s="1"/>
      <c r="E74" s="198" t="s">
        <v>372</v>
      </c>
      <c r="F74" s="198" t="s">
        <v>875</v>
      </c>
      <c r="H74" s="42" t="s">
        <v>2078</v>
      </c>
      <c r="I74" s="148" t="s">
        <v>2144</v>
      </c>
      <c r="J74" s="148" t="s">
        <v>2079</v>
      </c>
      <c r="K74" s="148" t="s">
        <v>2080</v>
      </c>
      <c r="L74" s="148" t="s">
        <v>2081</v>
      </c>
      <c r="M74" s="148" t="s">
        <v>2134</v>
      </c>
      <c r="N74" s="43" t="s">
        <v>949</v>
      </c>
      <c r="P74" s="203" t="s">
        <v>100</v>
      </c>
      <c r="Q74" s="1" t="s">
        <v>93</v>
      </c>
      <c r="R74" s="288" t="s">
        <v>176</v>
      </c>
      <c r="S74" s="289"/>
      <c r="U74" s="18" t="s">
        <v>200</v>
      </c>
      <c r="V74" s="19" t="s">
        <v>336</v>
      </c>
    </row>
    <row r="75" spans="1:22" x14ac:dyDescent="0.2">
      <c r="A75" s="200" t="s">
        <v>368</v>
      </c>
      <c r="B75" s="198" t="s">
        <v>367</v>
      </c>
      <c r="C75" s="198" t="s">
        <v>308</v>
      </c>
      <c r="D75" s="148" t="s">
        <v>1941</v>
      </c>
      <c r="E75" s="198" t="s">
        <v>367</v>
      </c>
      <c r="F75" s="198" t="s">
        <v>876</v>
      </c>
      <c r="H75" s="42" t="s">
        <v>269</v>
      </c>
      <c r="I75" s="148" t="s">
        <v>268</v>
      </c>
      <c r="J75" s="148" t="s">
        <v>267</v>
      </c>
      <c r="K75" s="148" t="s">
        <v>266</v>
      </c>
      <c r="L75" s="148" t="s">
        <v>265</v>
      </c>
      <c r="M75" s="148" t="s">
        <v>2134</v>
      </c>
      <c r="N75" s="43" t="s">
        <v>949</v>
      </c>
      <c r="P75" s="203" t="s">
        <v>102</v>
      </c>
      <c r="Q75" s="1" t="s">
        <v>93</v>
      </c>
      <c r="R75" s="288"/>
      <c r="S75" s="289"/>
      <c r="U75" s="15"/>
      <c r="V75" s="15"/>
    </row>
    <row r="76" spans="1:22" x14ac:dyDescent="0.2">
      <c r="A76" s="200" t="s">
        <v>2467</v>
      </c>
      <c r="B76" s="198" t="s">
        <v>364</v>
      </c>
      <c r="C76" s="198" t="s">
        <v>308</v>
      </c>
      <c r="D76" s="148"/>
      <c r="E76" s="198" t="s">
        <v>364</v>
      </c>
      <c r="F76" s="198" t="s">
        <v>877</v>
      </c>
      <c r="H76" s="42" t="s">
        <v>285</v>
      </c>
      <c r="I76" s="148" t="s">
        <v>284</v>
      </c>
      <c r="J76" s="148" t="s">
        <v>283</v>
      </c>
      <c r="K76" s="148" t="s">
        <v>282</v>
      </c>
      <c r="L76" s="148" t="s">
        <v>281</v>
      </c>
      <c r="M76" s="148" t="s">
        <v>2134</v>
      </c>
      <c r="N76" s="43" t="s">
        <v>949</v>
      </c>
      <c r="P76" s="203" t="s">
        <v>92</v>
      </c>
      <c r="Q76" s="204" t="s">
        <v>91</v>
      </c>
      <c r="R76" s="205" t="s">
        <v>171</v>
      </c>
      <c r="S76" s="289"/>
      <c r="U76" s="15"/>
      <c r="V76" s="15"/>
    </row>
    <row r="77" spans="1:22" x14ac:dyDescent="0.2">
      <c r="A77" s="200" t="s">
        <v>356</v>
      </c>
      <c r="B77" s="198" t="s">
        <v>181</v>
      </c>
      <c r="C77" s="198" t="s">
        <v>308</v>
      </c>
      <c r="D77" s="1"/>
      <c r="E77" s="198" t="s">
        <v>181</v>
      </c>
      <c r="F77" s="198" t="s">
        <v>878</v>
      </c>
      <c r="H77" s="42" t="s">
        <v>295</v>
      </c>
      <c r="I77" s="148" t="s">
        <v>294</v>
      </c>
      <c r="J77" s="148" t="s">
        <v>293</v>
      </c>
      <c r="K77" s="148" t="s">
        <v>292</v>
      </c>
      <c r="L77" s="148" t="s">
        <v>291</v>
      </c>
      <c r="M77" s="148" t="s">
        <v>2134</v>
      </c>
      <c r="N77" s="43" t="s">
        <v>949</v>
      </c>
      <c r="P77" s="203" t="s">
        <v>98</v>
      </c>
      <c r="Q77" s="1" t="s">
        <v>93</v>
      </c>
      <c r="R77" s="288" t="s">
        <v>1913</v>
      </c>
      <c r="S77" s="289" t="s">
        <v>168</v>
      </c>
      <c r="U77" s="285" t="s">
        <v>1173</v>
      </c>
      <c r="V77" s="285"/>
    </row>
    <row r="78" spans="1:22" x14ac:dyDescent="0.2">
      <c r="A78" s="200" t="s">
        <v>351</v>
      </c>
      <c r="B78" s="198" t="s">
        <v>350</v>
      </c>
      <c r="C78" s="198" t="s">
        <v>308</v>
      </c>
      <c r="D78" s="1" t="s">
        <v>352</v>
      </c>
      <c r="E78" s="198" t="s">
        <v>350</v>
      </c>
      <c r="F78" s="198" t="s">
        <v>879</v>
      </c>
      <c r="H78" s="42" t="s">
        <v>421</v>
      </c>
      <c r="I78" s="148" t="s">
        <v>420</v>
      </c>
      <c r="J78" s="148" t="s">
        <v>419</v>
      </c>
      <c r="K78" s="148" t="s">
        <v>418</v>
      </c>
      <c r="L78" s="148" t="s">
        <v>417</v>
      </c>
      <c r="M78" s="148" t="s">
        <v>2134</v>
      </c>
      <c r="N78" s="43" t="s">
        <v>949</v>
      </c>
      <c r="P78" s="203" t="s">
        <v>96</v>
      </c>
      <c r="Q78" s="1" t="s">
        <v>93</v>
      </c>
      <c r="R78" s="288"/>
      <c r="S78" s="289"/>
      <c r="U78" s="59" t="s">
        <v>2378</v>
      </c>
      <c r="V78" s="60" t="s">
        <v>565</v>
      </c>
    </row>
    <row r="79" spans="1:22" x14ac:dyDescent="0.2">
      <c r="A79" s="200" t="s">
        <v>346</v>
      </c>
      <c r="B79" s="198" t="s">
        <v>345</v>
      </c>
      <c r="C79" s="198" t="s">
        <v>308</v>
      </c>
      <c r="D79" s="1"/>
      <c r="E79" s="198" t="s">
        <v>345</v>
      </c>
      <c r="F79" s="198" t="s">
        <v>233</v>
      </c>
      <c r="H79" s="42" t="s">
        <v>258</v>
      </c>
      <c r="I79" s="148" t="s">
        <v>257</v>
      </c>
      <c r="J79" s="148" t="s">
        <v>256</v>
      </c>
      <c r="K79" s="148" t="s">
        <v>255</v>
      </c>
      <c r="L79" s="148" t="s">
        <v>254</v>
      </c>
      <c r="M79" s="148" t="s">
        <v>2134</v>
      </c>
      <c r="N79" s="149" t="s">
        <v>951</v>
      </c>
      <c r="P79" s="203" t="s">
        <v>95</v>
      </c>
      <c r="Q79" s="1" t="s">
        <v>93</v>
      </c>
      <c r="R79" s="288"/>
      <c r="S79" s="289"/>
      <c r="U79" s="16" t="s">
        <v>559</v>
      </c>
      <c r="V79" s="17" t="s">
        <v>558</v>
      </c>
    </row>
    <row r="80" spans="1:22" x14ac:dyDescent="0.2">
      <c r="A80" s="200" t="s">
        <v>2509</v>
      </c>
      <c r="B80" s="198" t="s">
        <v>335</v>
      </c>
      <c r="C80" s="198" t="s">
        <v>308</v>
      </c>
      <c r="D80" s="1"/>
      <c r="E80" s="198" t="s">
        <v>335</v>
      </c>
      <c r="F80" s="198" t="s">
        <v>289</v>
      </c>
      <c r="H80" s="42" t="s">
        <v>440</v>
      </c>
      <c r="I80" s="148" t="s">
        <v>439</v>
      </c>
      <c r="J80" s="148" t="s">
        <v>438</v>
      </c>
      <c r="K80" s="148" t="s">
        <v>437</v>
      </c>
      <c r="L80" s="148" t="s">
        <v>436</v>
      </c>
      <c r="M80" s="148" t="s">
        <v>2134</v>
      </c>
      <c r="N80" s="149" t="s">
        <v>951</v>
      </c>
      <c r="P80" s="203" t="s">
        <v>94</v>
      </c>
      <c r="Q80" s="1" t="s">
        <v>93</v>
      </c>
      <c r="R80" s="288"/>
      <c r="S80" s="289"/>
      <c r="U80" s="16" t="s">
        <v>552</v>
      </c>
      <c r="V80" s="17" t="s">
        <v>551</v>
      </c>
    </row>
    <row r="81" spans="1:22" x14ac:dyDescent="0.2">
      <c r="A81" s="200" t="s">
        <v>2468</v>
      </c>
      <c r="B81" s="198" t="s">
        <v>2469</v>
      </c>
      <c r="C81" s="198" t="s">
        <v>308</v>
      </c>
      <c r="D81" s="1"/>
      <c r="E81" s="198" t="s">
        <v>881</v>
      </c>
      <c r="F81" s="198" t="s">
        <v>347</v>
      </c>
      <c r="H81" s="42" t="s">
        <v>1280</v>
      </c>
      <c r="I81" s="148" t="s">
        <v>1281</v>
      </c>
      <c r="J81" s="148" t="s">
        <v>1282</v>
      </c>
      <c r="K81" s="148" t="s">
        <v>1283</v>
      </c>
      <c r="L81" s="148" t="s">
        <v>1284</v>
      </c>
      <c r="M81" s="148" t="s">
        <v>2134</v>
      </c>
      <c r="N81" s="149" t="s">
        <v>950</v>
      </c>
      <c r="P81" s="203" t="s">
        <v>105</v>
      </c>
      <c r="Q81" s="1" t="s">
        <v>93</v>
      </c>
      <c r="R81" s="288"/>
      <c r="S81" s="289"/>
      <c r="U81" s="16" t="s">
        <v>545</v>
      </c>
      <c r="V81" s="17" t="s">
        <v>544</v>
      </c>
    </row>
    <row r="82" spans="1:22" x14ac:dyDescent="0.2">
      <c r="A82" s="200" t="s">
        <v>2470</v>
      </c>
      <c r="B82" s="198" t="s">
        <v>2471</v>
      </c>
      <c r="C82" s="198" t="s">
        <v>308</v>
      </c>
      <c r="D82" s="1"/>
      <c r="E82" s="198" t="s">
        <v>882</v>
      </c>
      <c r="F82" s="198" t="s">
        <v>883</v>
      </c>
      <c r="H82" s="42" t="s">
        <v>414</v>
      </c>
      <c r="I82" s="148" t="s">
        <v>413</v>
      </c>
      <c r="J82" s="148" t="s">
        <v>412</v>
      </c>
      <c r="K82" s="148" t="s">
        <v>411</v>
      </c>
      <c r="L82" s="148" t="s">
        <v>410</v>
      </c>
      <c r="M82" s="148" t="s">
        <v>2134</v>
      </c>
      <c r="N82" s="149" t="s">
        <v>950</v>
      </c>
      <c r="P82" s="203" t="s">
        <v>103</v>
      </c>
      <c r="Q82" s="1" t="s">
        <v>93</v>
      </c>
      <c r="R82" s="288"/>
      <c r="S82" s="289"/>
      <c r="U82" s="16" t="s">
        <v>541</v>
      </c>
      <c r="V82" s="17" t="s">
        <v>540</v>
      </c>
    </row>
    <row r="83" spans="1:22" x14ac:dyDescent="0.2">
      <c r="A83" s="200" t="s">
        <v>2472</v>
      </c>
      <c r="B83" s="198" t="s">
        <v>2473</v>
      </c>
      <c r="C83" s="198" t="s">
        <v>308</v>
      </c>
      <c r="D83" s="1"/>
      <c r="E83" s="198" t="s">
        <v>884</v>
      </c>
      <c r="F83" s="198" t="s">
        <v>885</v>
      </c>
      <c r="H83" s="42" t="s">
        <v>303</v>
      </c>
      <c r="I83" s="148" t="s">
        <v>302</v>
      </c>
      <c r="J83" s="148" t="s">
        <v>301</v>
      </c>
      <c r="K83" s="148" t="s">
        <v>300</v>
      </c>
      <c r="L83" s="148" t="s">
        <v>299</v>
      </c>
      <c r="M83" s="148" t="s">
        <v>2134</v>
      </c>
      <c r="N83" s="149" t="s">
        <v>950</v>
      </c>
      <c r="P83" s="203" t="s">
        <v>92</v>
      </c>
      <c r="Q83" s="204" t="s">
        <v>91</v>
      </c>
      <c r="R83" s="288"/>
      <c r="S83" s="289"/>
      <c r="U83" s="16" t="s">
        <v>533</v>
      </c>
      <c r="V83" s="17" t="s">
        <v>532</v>
      </c>
    </row>
    <row r="84" spans="1:22" x14ac:dyDescent="0.2">
      <c r="A84" s="200" t="s">
        <v>2474</v>
      </c>
      <c r="B84" s="198" t="s">
        <v>2475</v>
      </c>
      <c r="C84" s="198" t="s">
        <v>308</v>
      </c>
      <c r="D84" s="1" t="s">
        <v>1943</v>
      </c>
      <c r="E84" s="198" t="s">
        <v>886</v>
      </c>
      <c r="F84" s="198" t="s">
        <v>887</v>
      </c>
      <c r="H84" s="42" t="s">
        <v>248</v>
      </c>
      <c r="I84" s="148" t="s">
        <v>247</v>
      </c>
      <c r="J84" s="148" t="s">
        <v>246</v>
      </c>
      <c r="K84" s="148" t="s">
        <v>245</v>
      </c>
      <c r="L84" s="148" t="s">
        <v>244</v>
      </c>
      <c r="M84" s="148" t="s">
        <v>2134</v>
      </c>
      <c r="N84" s="149" t="s">
        <v>950</v>
      </c>
      <c r="P84" s="203" t="s">
        <v>100</v>
      </c>
      <c r="Q84" s="1" t="s">
        <v>93</v>
      </c>
      <c r="R84" s="288"/>
      <c r="S84" s="289"/>
      <c r="U84" s="20" t="s">
        <v>200</v>
      </c>
      <c r="V84" s="19" t="s">
        <v>336</v>
      </c>
    </row>
    <row r="85" spans="1:22" x14ac:dyDescent="0.2">
      <c r="A85" s="200" t="s">
        <v>331</v>
      </c>
      <c r="B85" s="198" t="s">
        <v>331</v>
      </c>
      <c r="C85" s="198" t="s">
        <v>308</v>
      </c>
      <c r="D85" s="1" t="s">
        <v>332</v>
      </c>
      <c r="E85" s="198" t="s">
        <v>331</v>
      </c>
      <c r="F85" s="198" t="s">
        <v>880</v>
      </c>
      <c r="H85" s="42" t="s">
        <v>1285</v>
      </c>
      <c r="I85" s="148" t="s">
        <v>1286</v>
      </c>
      <c r="J85" s="148" t="s">
        <v>1287</v>
      </c>
      <c r="K85" s="148" t="s">
        <v>1288</v>
      </c>
      <c r="L85" s="148" t="s">
        <v>1289</v>
      </c>
      <c r="M85" s="148" t="s">
        <v>2134</v>
      </c>
      <c r="N85" s="149" t="s">
        <v>950</v>
      </c>
      <c r="P85" s="203" t="s">
        <v>102</v>
      </c>
      <c r="Q85" s="1" t="s">
        <v>93</v>
      </c>
      <c r="R85" s="288"/>
      <c r="S85" s="289"/>
    </row>
    <row r="86" spans="1:22" x14ac:dyDescent="0.2">
      <c r="A86" s="200" t="s">
        <v>317</v>
      </c>
      <c r="B86" s="198" t="s">
        <v>316</v>
      </c>
      <c r="C86" s="198" t="s">
        <v>308</v>
      </c>
      <c r="D86" s="1"/>
      <c r="E86" s="198" t="s">
        <v>316</v>
      </c>
      <c r="F86" s="198" t="s">
        <v>888</v>
      </c>
      <c r="H86" s="172" t="s">
        <v>2145</v>
      </c>
      <c r="I86" s="1" t="s">
        <v>2146</v>
      </c>
      <c r="J86" s="1" t="s">
        <v>2147</v>
      </c>
      <c r="K86" s="1" t="s">
        <v>2148</v>
      </c>
      <c r="L86" s="1" t="s">
        <v>2149</v>
      </c>
      <c r="M86" s="184" t="s">
        <v>2134</v>
      </c>
      <c r="N86" s="185" t="s">
        <v>2150</v>
      </c>
      <c r="P86" s="203" t="s">
        <v>98</v>
      </c>
      <c r="Q86" s="1" t="s">
        <v>93</v>
      </c>
      <c r="R86" s="288" t="s">
        <v>1914</v>
      </c>
      <c r="S86" s="289" t="s">
        <v>136</v>
      </c>
    </row>
    <row r="87" spans="1:22" x14ac:dyDescent="0.2">
      <c r="A87" s="200" t="s">
        <v>307</v>
      </c>
      <c r="B87" s="198" t="s">
        <v>306</v>
      </c>
      <c r="C87" s="198" t="s">
        <v>308</v>
      </c>
      <c r="D87" s="1" t="s">
        <v>380</v>
      </c>
      <c r="E87" s="198" t="s">
        <v>306</v>
      </c>
      <c r="F87" s="198" t="s">
        <v>890</v>
      </c>
      <c r="H87" s="42" t="s">
        <v>1195</v>
      </c>
      <c r="I87" s="148" t="s">
        <v>1196</v>
      </c>
      <c r="J87" s="148" t="s">
        <v>1197</v>
      </c>
      <c r="K87" s="148" t="s">
        <v>1198</v>
      </c>
      <c r="L87" s="148" t="s">
        <v>1199</v>
      </c>
      <c r="M87" s="148" t="s">
        <v>2151</v>
      </c>
      <c r="N87" s="43" t="s">
        <v>949</v>
      </c>
      <c r="P87" s="203" t="s">
        <v>96</v>
      </c>
      <c r="Q87" s="1" t="s">
        <v>93</v>
      </c>
      <c r="R87" s="288"/>
      <c r="S87" s="289"/>
    </row>
    <row r="88" spans="1:22" ht="12.75" thickBot="1" x14ac:dyDescent="0.25">
      <c r="A88" s="200" t="s">
        <v>2476</v>
      </c>
      <c r="B88" s="198" t="s">
        <v>2477</v>
      </c>
      <c r="C88" s="202" t="s">
        <v>308</v>
      </c>
      <c r="D88" s="198"/>
      <c r="E88" s="198" t="s">
        <v>2478</v>
      </c>
      <c r="F88" s="198" t="s">
        <v>852</v>
      </c>
      <c r="H88" s="42" t="s">
        <v>1205</v>
      </c>
      <c r="I88" s="148" t="s">
        <v>1206</v>
      </c>
      <c r="J88" s="148" t="s">
        <v>1207</v>
      </c>
      <c r="K88" s="148" t="s">
        <v>1208</v>
      </c>
      <c r="L88" s="148" t="s">
        <v>1209</v>
      </c>
      <c r="M88" s="148" t="s">
        <v>2151</v>
      </c>
      <c r="N88" s="43" t="s">
        <v>949</v>
      </c>
      <c r="P88" s="203" t="s">
        <v>95</v>
      </c>
      <c r="Q88" s="1" t="s">
        <v>93</v>
      </c>
      <c r="R88" s="288"/>
      <c r="S88" s="289"/>
    </row>
    <row r="89" spans="1:22" x14ac:dyDescent="0.2">
      <c r="A89" s="200" t="s">
        <v>305</v>
      </c>
      <c r="B89" s="198" t="s">
        <v>304</v>
      </c>
      <c r="C89" s="198" t="s">
        <v>272</v>
      </c>
      <c r="D89" s="1"/>
      <c r="E89" s="198" t="s">
        <v>304</v>
      </c>
      <c r="F89" s="198" t="s">
        <v>891</v>
      </c>
      <c r="H89" s="42" t="s">
        <v>1290</v>
      </c>
      <c r="I89" s="148" t="s">
        <v>1291</v>
      </c>
      <c r="J89" s="148" t="s">
        <v>1292</v>
      </c>
      <c r="K89" s="148" t="s">
        <v>1293</v>
      </c>
      <c r="L89" s="148" t="s">
        <v>1294</v>
      </c>
      <c r="M89" s="148" t="s">
        <v>2151</v>
      </c>
      <c r="N89" s="43" t="s">
        <v>949</v>
      </c>
      <c r="P89" s="203" t="s">
        <v>94</v>
      </c>
      <c r="Q89" s="1" t="s">
        <v>93</v>
      </c>
      <c r="R89" s="288"/>
      <c r="S89" s="289"/>
    </row>
    <row r="90" spans="1:22" x14ac:dyDescent="0.2">
      <c r="A90" s="200" t="s">
        <v>297</v>
      </c>
      <c r="B90" s="198" t="s">
        <v>296</v>
      </c>
      <c r="C90" s="198" t="s">
        <v>272</v>
      </c>
      <c r="D90" s="1"/>
      <c r="E90" s="198" t="s">
        <v>892</v>
      </c>
      <c r="F90" s="198" t="s">
        <v>298</v>
      </c>
      <c r="H90" s="42" t="s">
        <v>1295</v>
      </c>
      <c r="I90" s="148" t="s">
        <v>1296</v>
      </c>
      <c r="J90" s="148" t="s">
        <v>1297</v>
      </c>
      <c r="K90" s="148" t="s">
        <v>1298</v>
      </c>
      <c r="L90" s="148" t="s">
        <v>1299</v>
      </c>
      <c r="M90" s="148" t="s">
        <v>2151</v>
      </c>
      <c r="N90" s="43" t="s">
        <v>949</v>
      </c>
      <c r="P90" s="203" t="s">
        <v>105</v>
      </c>
      <c r="Q90" s="1" t="s">
        <v>93</v>
      </c>
      <c r="R90" s="288"/>
      <c r="S90" s="289"/>
    </row>
    <row r="91" spans="1:22" x14ac:dyDescent="0.2">
      <c r="A91" s="200" t="s">
        <v>202</v>
      </c>
      <c r="B91" s="198" t="s">
        <v>201</v>
      </c>
      <c r="C91" s="198" t="s">
        <v>272</v>
      </c>
      <c r="D91" s="1"/>
      <c r="E91" s="198" t="s">
        <v>201</v>
      </c>
      <c r="F91" s="198" t="s">
        <v>909</v>
      </c>
      <c r="H91" s="42" t="s">
        <v>1300</v>
      </c>
      <c r="I91" s="148" t="s">
        <v>1301</v>
      </c>
      <c r="J91" s="148" t="s">
        <v>1302</v>
      </c>
      <c r="K91" s="148" t="s">
        <v>1303</v>
      </c>
      <c r="L91" s="148" t="s">
        <v>1304</v>
      </c>
      <c r="M91" s="148" t="s">
        <v>2151</v>
      </c>
      <c r="N91" s="43" t="s">
        <v>949</v>
      </c>
      <c r="P91" s="203" t="s">
        <v>103</v>
      </c>
      <c r="Q91" s="1" t="s">
        <v>93</v>
      </c>
      <c r="R91" s="288"/>
      <c r="S91" s="289"/>
    </row>
    <row r="92" spans="1:22" x14ac:dyDescent="0.2">
      <c r="A92" s="200" t="s">
        <v>175</v>
      </c>
      <c r="B92" s="198" t="s">
        <v>174</v>
      </c>
      <c r="C92" s="198" t="s">
        <v>272</v>
      </c>
      <c r="D92" s="1"/>
      <c r="E92" s="198" t="s">
        <v>174</v>
      </c>
      <c r="F92" s="198" t="s">
        <v>920</v>
      </c>
      <c r="H92" s="42" t="s">
        <v>1305</v>
      </c>
      <c r="I92" s="148" t="s">
        <v>1306</v>
      </c>
      <c r="J92" s="148" t="s">
        <v>1307</v>
      </c>
      <c r="K92" s="148" t="s">
        <v>1308</v>
      </c>
      <c r="L92" s="148" t="s">
        <v>1309</v>
      </c>
      <c r="M92" s="148" t="s">
        <v>2151</v>
      </c>
      <c r="N92" s="43" t="s">
        <v>949</v>
      </c>
      <c r="P92" s="203" t="s">
        <v>92</v>
      </c>
      <c r="Q92" s="204" t="s">
        <v>91</v>
      </c>
      <c r="R92" s="288"/>
      <c r="S92" s="289"/>
    </row>
    <row r="93" spans="1:22" ht="12.75" thickBot="1" x14ac:dyDescent="0.25">
      <c r="A93" s="200" t="s">
        <v>271</v>
      </c>
      <c r="B93" s="198" t="s">
        <v>270</v>
      </c>
      <c r="C93" s="202" t="s">
        <v>272</v>
      </c>
      <c r="D93" s="1"/>
      <c r="E93" s="198" t="s">
        <v>270</v>
      </c>
      <c r="F93" s="198" t="s">
        <v>895</v>
      </c>
      <c r="H93" s="42" t="s">
        <v>1310</v>
      </c>
      <c r="I93" s="148" t="s">
        <v>1311</v>
      </c>
      <c r="J93" s="148" t="s">
        <v>1312</v>
      </c>
      <c r="K93" s="148" t="s">
        <v>1313</v>
      </c>
      <c r="L93" s="148" t="s">
        <v>1314</v>
      </c>
      <c r="M93" s="148" t="s">
        <v>2151</v>
      </c>
      <c r="N93" s="43" t="s">
        <v>949</v>
      </c>
      <c r="P93" s="203" t="s">
        <v>100</v>
      </c>
      <c r="Q93" s="1" t="s">
        <v>93</v>
      </c>
      <c r="R93" s="288"/>
      <c r="S93" s="289"/>
    </row>
    <row r="94" spans="1:22" x14ac:dyDescent="0.2">
      <c r="A94" s="200" t="s">
        <v>1950</v>
      </c>
      <c r="B94" s="198" t="s">
        <v>1951</v>
      </c>
      <c r="C94" s="198" t="s">
        <v>112</v>
      </c>
      <c r="D94" s="1"/>
      <c r="E94" s="198" t="s">
        <v>1951</v>
      </c>
      <c r="F94" s="198" t="s">
        <v>1952</v>
      </c>
      <c r="H94" s="42" t="s">
        <v>1315</v>
      </c>
      <c r="I94" s="148" t="s">
        <v>1316</v>
      </c>
      <c r="J94" s="148" t="s">
        <v>1317</v>
      </c>
      <c r="K94" s="148" t="s">
        <v>1318</v>
      </c>
      <c r="L94" s="148" t="s">
        <v>1319</v>
      </c>
      <c r="M94" s="148" t="s">
        <v>2151</v>
      </c>
      <c r="N94" s="43" t="s">
        <v>949</v>
      </c>
      <c r="P94" s="203" t="s">
        <v>102</v>
      </c>
      <c r="Q94" s="1" t="s">
        <v>93</v>
      </c>
      <c r="R94" s="288"/>
      <c r="S94" s="289"/>
    </row>
    <row r="95" spans="1:22" x14ac:dyDescent="0.2">
      <c r="A95" s="200" t="s">
        <v>260</v>
      </c>
      <c r="B95" s="198" t="s">
        <v>259</v>
      </c>
      <c r="C95" s="198" t="s">
        <v>112</v>
      </c>
      <c r="D95" s="1"/>
      <c r="E95" s="198" t="s">
        <v>259</v>
      </c>
      <c r="F95" s="198" t="s">
        <v>896</v>
      </c>
      <c r="H95" s="42" t="s">
        <v>1320</v>
      </c>
      <c r="I95" s="148" t="s">
        <v>1321</v>
      </c>
      <c r="J95" s="148" t="s">
        <v>1322</v>
      </c>
      <c r="K95" s="148" t="s">
        <v>1323</v>
      </c>
      <c r="L95" s="148" t="s">
        <v>1324</v>
      </c>
      <c r="M95" s="148" t="s">
        <v>2151</v>
      </c>
      <c r="N95" s="43" t="s">
        <v>949</v>
      </c>
      <c r="P95" s="203" t="s">
        <v>105</v>
      </c>
      <c r="Q95" s="1" t="s">
        <v>93</v>
      </c>
      <c r="R95" s="288" t="s">
        <v>120</v>
      </c>
      <c r="S95" s="289" t="s">
        <v>119</v>
      </c>
    </row>
    <row r="96" spans="1:22" x14ac:dyDescent="0.2">
      <c r="A96" s="200" t="s">
        <v>250</v>
      </c>
      <c r="B96" s="198" t="s">
        <v>249</v>
      </c>
      <c r="C96" s="198" t="s">
        <v>112</v>
      </c>
      <c r="D96" s="1"/>
      <c r="E96" s="198" t="s">
        <v>249</v>
      </c>
      <c r="F96" s="198" t="s">
        <v>897</v>
      </c>
      <c r="H96" s="42" t="s">
        <v>1325</v>
      </c>
      <c r="I96" s="148" t="s">
        <v>1326</v>
      </c>
      <c r="J96" s="148" t="s">
        <v>1327</v>
      </c>
      <c r="K96" s="148" t="s">
        <v>1328</v>
      </c>
      <c r="L96" s="148" t="s">
        <v>1329</v>
      </c>
      <c r="M96" s="148" t="s">
        <v>2151</v>
      </c>
      <c r="N96" s="43" t="s">
        <v>949</v>
      </c>
      <c r="P96" s="203" t="s">
        <v>103</v>
      </c>
      <c r="Q96" s="1" t="s">
        <v>93</v>
      </c>
      <c r="R96" s="288"/>
      <c r="S96" s="289"/>
    </row>
    <row r="97" spans="1:19" x14ac:dyDescent="0.2">
      <c r="A97" s="200" t="s">
        <v>240</v>
      </c>
      <c r="B97" s="198" t="s">
        <v>239</v>
      </c>
      <c r="C97" s="198" t="s">
        <v>112</v>
      </c>
      <c r="D97" s="1"/>
      <c r="E97" s="198" t="s">
        <v>239</v>
      </c>
      <c r="F97" s="198" t="s">
        <v>898</v>
      </c>
      <c r="H97" s="42" t="s">
        <v>1330</v>
      </c>
      <c r="I97" s="148" t="s">
        <v>1331</v>
      </c>
      <c r="J97" s="148" t="s">
        <v>1332</v>
      </c>
      <c r="K97" s="148" t="s">
        <v>1333</v>
      </c>
      <c r="L97" s="148" t="s">
        <v>1334</v>
      </c>
      <c r="M97" s="148" t="s">
        <v>2151</v>
      </c>
      <c r="N97" s="43" t="s">
        <v>949</v>
      </c>
      <c r="P97" s="203" t="s">
        <v>92</v>
      </c>
      <c r="Q97" s="204" t="s">
        <v>91</v>
      </c>
      <c r="R97" s="288"/>
      <c r="S97" s="289"/>
    </row>
    <row r="98" spans="1:19" x14ac:dyDescent="0.2">
      <c r="A98" s="200" t="s">
        <v>235</v>
      </c>
      <c r="B98" s="198" t="s">
        <v>234</v>
      </c>
      <c r="C98" s="198" t="s">
        <v>112</v>
      </c>
      <c r="D98" s="1"/>
      <c r="E98" s="198" t="s">
        <v>234</v>
      </c>
      <c r="F98" s="198" t="s">
        <v>899</v>
      </c>
      <c r="H98" s="42" t="s">
        <v>1335</v>
      </c>
      <c r="I98" s="148" t="s">
        <v>1336</v>
      </c>
      <c r="J98" s="148" t="s">
        <v>1337</v>
      </c>
      <c r="K98" s="148" t="s">
        <v>1338</v>
      </c>
      <c r="L98" s="148" t="s">
        <v>1339</v>
      </c>
      <c r="M98" s="148" t="s">
        <v>2151</v>
      </c>
      <c r="N98" s="43" t="s">
        <v>949</v>
      </c>
      <c r="P98" s="203" t="s">
        <v>102</v>
      </c>
      <c r="Q98" s="1" t="s">
        <v>93</v>
      </c>
      <c r="R98" s="288"/>
      <c r="S98" s="289"/>
    </row>
    <row r="99" spans="1:19" x14ac:dyDescent="0.2">
      <c r="A99" s="200" t="s">
        <v>1953</v>
      </c>
      <c r="B99" s="198" t="s">
        <v>1954</v>
      </c>
      <c r="C99" s="198" t="s">
        <v>112</v>
      </c>
      <c r="D99" s="1"/>
      <c r="E99" s="198" t="s">
        <v>1954</v>
      </c>
      <c r="F99" s="198" t="s">
        <v>1955</v>
      </c>
      <c r="H99" s="42" t="s">
        <v>1340</v>
      </c>
      <c r="I99" s="148" t="s">
        <v>1341</v>
      </c>
      <c r="J99" s="148" t="s">
        <v>1342</v>
      </c>
      <c r="K99" s="148" t="s">
        <v>1343</v>
      </c>
      <c r="L99" s="148" t="s">
        <v>1344</v>
      </c>
      <c r="M99" s="148" t="s">
        <v>2151</v>
      </c>
      <c r="N99" s="43" t="s">
        <v>949</v>
      </c>
      <c r="P99" s="203" t="s">
        <v>98</v>
      </c>
      <c r="Q99" s="1" t="s">
        <v>93</v>
      </c>
      <c r="R99" s="288" t="s">
        <v>109</v>
      </c>
      <c r="S99" s="289"/>
    </row>
    <row r="100" spans="1:19" x14ac:dyDescent="0.2">
      <c r="A100" s="200" t="s">
        <v>232</v>
      </c>
      <c r="B100" s="198" t="s">
        <v>231</v>
      </c>
      <c r="C100" s="198" t="s">
        <v>112</v>
      </c>
      <c r="D100" s="1"/>
      <c r="E100" s="198" t="s">
        <v>231</v>
      </c>
      <c r="F100" s="198" t="s">
        <v>900</v>
      </c>
      <c r="H100" s="42" t="s">
        <v>1345</v>
      </c>
      <c r="I100" s="148" t="s">
        <v>1346</v>
      </c>
      <c r="J100" s="148" t="s">
        <v>1347</v>
      </c>
      <c r="K100" s="148" t="s">
        <v>1348</v>
      </c>
      <c r="L100" s="148" t="s">
        <v>1347</v>
      </c>
      <c r="M100" s="148" t="s">
        <v>2151</v>
      </c>
      <c r="N100" s="43" t="s">
        <v>949</v>
      </c>
      <c r="P100" s="203" t="s">
        <v>96</v>
      </c>
      <c r="Q100" s="1" t="s">
        <v>93</v>
      </c>
      <c r="R100" s="288"/>
      <c r="S100" s="289"/>
    </row>
    <row r="101" spans="1:19" x14ac:dyDescent="0.2">
      <c r="A101" s="200" t="s">
        <v>229</v>
      </c>
      <c r="B101" s="198" t="s">
        <v>228</v>
      </c>
      <c r="C101" s="198" t="s">
        <v>112</v>
      </c>
      <c r="D101" s="1"/>
      <c r="E101" s="198" t="s">
        <v>228</v>
      </c>
      <c r="F101" s="198" t="s">
        <v>901</v>
      </c>
      <c r="H101" s="42" t="s">
        <v>1349</v>
      </c>
      <c r="I101" s="148" t="s">
        <v>1350</v>
      </c>
      <c r="J101" s="148" t="s">
        <v>1351</v>
      </c>
      <c r="K101" s="148" t="s">
        <v>1352</v>
      </c>
      <c r="L101" s="148" t="s">
        <v>1353</v>
      </c>
      <c r="M101" s="148" t="s">
        <v>2151</v>
      </c>
      <c r="N101" s="43" t="s">
        <v>949</v>
      </c>
      <c r="P101" s="203" t="s">
        <v>95</v>
      </c>
      <c r="Q101" s="1" t="s">
        <v>93</v>
      </c>
      <c r="R101" s="288"/>
      <c r="S101" s="289"/>
    </row>
    <row r="102" spans="1:19" x14ac:dyDescent="0.2">
      <c r="A102" s="200" t="s">
        <v>225</v>
      </c>
      <c r="B102" s="198" t="s">
        <v>224</v>
      </c>
      <c r="C102" s="198" t="s">
        <v>112</v>
      </c>
      <c r="D102" s="1"/>
      <c r="E102" s="198" t="s">
        <v>224</v>
      </c>
      <c r="F102" s="198" t="s">
        <v>902</v>
      </c>
      <c r="H102" s="42" t="s">
        <v>1354</v>
      </c>
      <c r="I102" s="148" t="s">
        <v>1355</v>
      </c>
      <c r="J102" s="148" t="s">
        <v>1356</v>
      </c>
      <c r="K102" s="148" t="s">
        <v>1357</v>
      </c>
      <c r="L102" s="148" t="s">
        <v>1358</v>
      </c>
      <c r="M102" s="148" t="s">
        <v>2151</v>
      </c>
      <c r="N102" s="43" t="s">
        <v>949</v>
      </c>
      <c r="P102" s="203" t="s">
        <v>94</v>
      </c>
      <c r="Q102" s="1" t="s">
        <v>93</v>
      </c>
      <c r="R102" s="288"/>
      <c r="S102" s="289"/>
    </row>
    <row r="103" spans="1:19" x14ac:dyDescent="0.2">
      <c r="A103" s="200" t="s">
        <v>2360</v>
      </c>
      <c r="B103" s="198" t="s">
        <v>2361</v>
      </c>
      <c r="C103" s="198" t="s">
        <v>112</v>
      </c>
      <c r="D103" s="200"/>
      <c r="E103" s="198" t="s">
        <v>2361</v>
      </c>
      <c r="F103" s="198" t="s">
        <v>2362</v>
      </c>
      <c r="H103" s="42" t="s">
        <v>1359</v>
      </c>
      <c r="I103" s="148" t="s">
        <v>1360</v>
      </c>
      <c r="J103" s="148" t="s">
        <v>1361</v>
      </c>
      <c r="K103" s="148" t="s">
        <v>1362</v>
      </c>
      <c r="L103" s="148" t="s">
        <v>1363</v>
      </c>
      <c r="M103" s="148" t="s">
        <v>2151</v>
      </c>
      <c r="N103" s="43" t="s">
        <v>949</v>
      </c>
      <c r="P103" s="203" t="s">
        <v>100</v>
      </c>
      <c r="Q103" s="1" t="s">
        <v>93</v>
      </c>
      <c r="R103" s="288"/>
      <c r="S103" s="289"/>
    </row>
    <row r="104" spans="1:19" x14ac:dyDescent="0.2">
      <c r="A104" s="200" t="s">
        <v>1956</v>
      </c>
      <c r="B104" s="198" t="s">
        <v>1957</v>
      </c>
      <c r="C104" s="198" t="s">
        <v>112</v>
      </c>
      <c r="D104" s="1"/>
      <c r="E104" s="198" t="s">
        <v>1957</v>
      </c>
      <c r="F104" s="198" t="s">
        <v>1958</v>
      </c>
      <c r="H104" s="42" t="s">
        <v>1364</v>
      </c>
      <c r="I104" s="148" t="s">
        <v>1365</v>
      </c>
      <c r="J104" s="148" t="s">
        <v>1366</v>
      </c>
      <c r="K104" s="148" t="s">
        <v>1367</v>
      </c>
      <c r="L104" s="148" t="s">
        <v>1368</v>
      </c>
      <c r="M104" s="148" t="s">
        <v>2151</v>
      </c>
      <c r="N104" s="43" t="s">
        <v>949</v>
      </c>
      <c r="P104" s="203" t="s">
        <v>105</v>
      </c>
      <c r="Q104" s="1" t="s">
        <v>93</v>
      </c>
      <c r="R104" s="288" t="s">
        <v>108</v>
      </c>
      <c r="S104" s="289" t="s">
        <v>107</v>
      </c>
    </row>
    <row r="105" spans="1:19" x14ac:dyDescent="0.2">
      <c r="A105" s="200" t="s">
        <v>2110</v>
      </c>
      <c r="B105" s="198" t="s">
        <v>2111</v>
      </c>
      <c r="C105" s="198" t="s">
        <v>112</v>
      </c>
      <c r="D105" s="198"/>
      <c r="E105" s="198" t="s">
        <v>2111</v>
      </c>
      <c r="F105" s="198" t="s">
        <v>2112</v>
      </c>
      <c r="H105" s="42" t="s">
        <v>1369</v>
      </c>
      <c r="I105" s="148" t="s">
        <v>1370</v>
      </c>
      <c r="J105" s="148" t="s">
        <v>1371</v>
      </c>
      <c r="K105" s="148" t="s">
        <v>1372</v>
      </c>
      <c r="L105" s="148" t="s">
        <v>1373</v>
      </c>
      <c r="M105" s="148" t="s">
        <v>2151</v>
      </c>
      <c r="N105" s="43" t="s">
        <v>949</v>
      </c>
      <c r="P105" s="203" t="s">
        <v>103</v>
      </c>
      <c r="Q105" s="1" t="s">
        <v>93</v>
      </c>
      <c r="R105" s="288"/>
      <c r="S105" s="289"/>
    </row>
    <row r="106" spans="1:19" x14ac:dyDescent="0.2">
      <c r="A106" s="200" t="s">
        <v>222</v>
      </c>
      <c r="B106" s="198" t="s">
        <v>221</v>
      </c>
      <c r="C106" s="198" t="s">
        <v>112</v>
      </c>
      <c r="D106" s="1"/>
      <c r="E106" s="198" t="s">
        <v>221</v>
      </c>
      <c r="F106" s="198" t="s">
        <v>903</v>
      </c>
      <c r="H106" s="42" t="s">
        <v>1374</v>
      </c>
      <c r="I106" s="148" t="s">
        <v>1375</v>
      </c>
      <c r="J106" s="148" t="s">
        <v>1376</v>
      </c>
      <c r="K106" s="148" t="s">
        <v>1377</v>
      </c>
      <c r="L106" s="148" t="s">
        <v>1378</v>
      </c>
      <c r="M106" s="148" t="s">
        <v>2151</v>
      </c>
      <c r="N106" s="43" t="s">
        <v>949</v>
      </c>
      <c r="P106" s="203" t="s">
        <v>92</v>
      </c>
      <c r="Q106" s="204" t="s">
        <v>91</v>
      </c>
      <c r="R106" s="288"/>
      <c r="S106" s="289"/>
    </row>
    <row r="107" spans="1:19" x14ac:dyDescent="0.2">
      <c r="A107" s="200" t="s">
        <v>220</v>
      </c>
      <c r="B107" s="198" t="s">
        <v>219</v>
      </c>
      <c r="C107" s="198" t="s">
        <v>112</v>
      </c>
      <c r="D107" s="1"/>
      <c r="E107" s="198" t="s">
        <v>219</v>
      </c>
      <c r="F107" s="198" t="s">
        <v>904</v>
      </c>
      <c r="H107" s="42" t="s">
        <v>1379</v>
      </c>
      <c r="I107" s="148" t="s">
        <v>1380</v>
      </c>
      <c r="J107" s="148" t="s">
        <v>1381</v>
      </c>
      <c r="K107" s="148" t="s">
        <v>1382</v>
      </c>
      <c r="L107" s="148" t="s">
        <v>1383</v>
      </c>
      <c r="M107" s="148" t="s">
        <v>2151</v>
      </c>
      <c r="N107" s="43" t="s">
        <v>949</v>
      </c>
      <c r="P107" s="203" t="s">
        <v>102</v>
      </c>
      <c r="Q107" s="1" t="s">
        <v>93</v>
      </c>
      <c r="R107" s="288"/>
      <c r="S107" s="289"/>
    </row>
    <row r="108" spans="1:19" x14ac:dyDescent="0.2">
      <c r="A108" s="200" t="s">
        <v>216</v>
      </c>
      <c r="B108" s="198" t="s">
        <v>215</v>
      </c>
      <c r="C108" s="198" t="s">
        <v>112</v>
      </c>
      <c r="D108" s="1"/>
      <c r="E108" s="198" t="s">
        <v>215</v>
      </c>
      <c r="F108" s="198" t="s">
        <v>905</v>
      </c>
      <c r="H108" s="42" t="s">
        <v>1384</v>
      </c>
      <c r="I108" s="148" t="s">
        <v>1385</v>
      </c>
      <c r="J108" s="148" t="s">
        <v>1386</v>
      </c>
      <c r="K108" s="148" t="s">
        <v>1387</v>
      </c>
      <c r="L108" s="148" t="s">
        <v>1385</v>
      </c>
      <c r="M108" s="148" t="s">
        <v>2151</v>
      </c>
      <c r="N108" s="43" t="s">
        <v>949</v>
      </c>
      <c r="P108" s="203" t="s">
        <v>98</v>
      </c>
      <c r="Q108" s="1" t="s">
        <v>93</v>
      </c>
      <c r="R108" s="288" t="s">
        <v>106</v>
      </c>
      <c r="S108" s="289"/>
    </row>
    <row r="109" spans="1:19" x14ac:dyDescent="0.2">
      <c r="A109" s="200" t="s">
        <v>212</v>
      </c>
      <c r="B109" s="198" t="s">
        <v>211</v>
      </c>
      <c r="C109" s="198" t="s">
        <v>112</v>
      </c>
      <c r="D109" s="1"/>
      <c r="E109" s="198" t="s">
        <v>211</v>
      </c>
      <c r="F109" s="198" t="s">
        <v>906</v>
      </c>
      <c r="H109" s="42" t="s">
        <v>1388</v>
      </c>
      <c r="I109" s="148" t="s">
        <v>1389</v>
      </c>
      <c r="J109" s="148" t="s">
        <v>1390</v>
      </c>
      <c r="K109" s="148" t="s">
        <v>1391</v>
      </c>
      <c r="L109" s="148" t="s">
        <v>1392</v>
      </c>
      <c r="M109" s="148" t="s">
        <v>2151</v>
      </c>
      <c r="N109" s="43" t="s">
        <v>949</v>
      </c>
      <c r="P109" s="203" t="s">
        <v>96</v>
      </c>
      <c r="Q109" s="1" t="s">
        <v>93</v>
      </c>
      <c r="R109" s="288"/>
      <c r="S109" s="289"/>
    </row>
    <row r="110" spans="1:19" x14ac:dyDescent="0.2">
      <c r="A110" s="200" t="s">
        <v>208</v>
      </c>
      <c r="B110" s="198" t="s">
        <v>207</v>
      </c>
      <c r="C110" s="198" t="s">
        <v>272</v>
      </c>
      <c r="D110" s="1"/>
      <c r="E110" s="198" t="s">
        <v>207</v>
      </c>
      <c r="F110" s="198" t="s">
        <v>907</v>
      </c>
      <c r="H110" s="42" t="s">
        <v>1393</v>
      </c>
      <c r="I110" s="148" t="s">
        <v>1394</v>
      </c>
      <c r="J110" s="148" t="s">
        <v>1395</v>
      </c>
      <c r="K110" s="148" t="s">
        <v>1396</v>
      </c>
      <c r="L110" s="148" t="s">
        <v>1397</v>
      </c>
      <c r="M110" s="148" t="s">
        <v>2151</v>
      </c>
      <c r="N110" s="43" t="s">
        <v>949</v>
      </c>
      <c r="P110" s="203" t="s">
        <v>95</v>
      </c>
      <c r="Q110" s="1" t="s">
        <v>93</v>
      </c>
      <c r="R110" s="288"/>
      <c r="S110" s="289"/>
    </row>
    <row r="111" spans="1:19" x14ac:dyDescent="0.2">
      <c r="A111" s="200" t="s">
        <v>206</v>
      </c>
      <c r="B111" s="198" t="s">
        <v>205</v>
      </c>
      <c r="C111" s="198" t="s">
        <v>112</v>
      </c>
      <c r="D111" s="1"/>
      <c r="E111" s="198" t="s">
        <v>205</v>
      </c>
      <c r="F111" s="198" t="s">
        <v>908</v>
      </c>
      <c r="H111" s="42" t="s">
        <v>1398</v>
      </c>
      <c r="I111" s="148" t="s">
        <v>1399</v>
      </c>
      <c r="J111" s="148" t="s">
        <v>1400</v>
      </c>
      <c r="K111" s="148" t="s">
        <v>1401</v>
      </c>
      <c r="L111" s="148" t="s">
        <v>1402</v>
      </c>
      <c r="M111" s="148" t="s">
        <v>2151</v>
      </c>
      <c r="N111" s="43" t="s">
        <v>949</v>
      </c>
      <c r="P111" s="203" t="s">
        <v>94</v>
      </c>
      <c r="Q111" s="1" t="s">
        <v>93</v>
      </c>
      <c r="R111" s="288"/>
      <c r="S111" s="289"/>
    </row>
    <row r="112" spans="1:19" x14ac:dyDescent="0.2">
      <c r="A112" s="200" t="s">
        <v>1959</v>
      </c>
      <c r="B112" s="198" t="s">
        <v>1960</v>
      </c>
      <c r="C112" s="198" t="s">
        <v>112</v>
      </c>
      <c r="D112" s="1"/>
      <c r="E112" s="198" t="s">
        <v>1960</v>
      </c>
      <c r="F112" s="198" t="s">
        <v>1961</v>
      </c>
      <c r="H112" s="42" t="s">
        <v>1403</v>
      </c>
      <c r="I112" s="148" t="s">
        <v>1404</v>
      </c>
      <c r="J112" s="148" t="s">
        <v>1405</v>
      </c>
      <c r="K112" s="148" t="s">
        <v>1406</v>
      </c>
      <c r="L112" s="148" t="s">
        <v>1406</v>
      </c>
      <c r="M112" s="148" t="s">
        <v>2151</v>
      </c>
      <c r="N112" s="43" t="s">
        <v>949</v>
      </c>
      <c r="P112" s="203" t="s">
        <v>100</v>
      </c>
      <c r="Q112" s="1" t="s">
        <v>93</v>
      </c>
      <c r="R112" s="288"/>
      <c r="S112" s="289"/>
    </row>
    <row r="113" spans="1:19" x14ac:dyDescent="0.2">
      <c r="A113" s="200" t="s">
        <v>199</v>
      </c>
      <c r="B113" s="198" t="s">
        <v>198</v>
      </c>
      <c r="C113" s="198" t="s">
        <v>112</v>
      </c>
      <c r="D113" s="1"/>
      <c r="E113" s="198" t="s">
        <v>198</v>
      </c>
      <c r="F113" s="198" t="s">
        <v>910</v>
      </c>
      <c r="H113" s="42" t="s">
        <v>1407</v>
      </c>
      <c r="I113" s="148" t="s">
        <v>1408</v>
      </c>
      <c r="J113" s="148" t="s">
        <v>1409</v>
      </c>
      <c r="K113" s="148" t="s">
        <v>1410</v>
      </c>
      <c r="L113" s="148" t="s">
        <v>1411</v>
      </c>
      <c r="M113" s="148" t="s">
        <v>2151</v>
      </c>
      <c r="N113" s="43" t="s">
        <v>949</v>
      </c>
      <c r="P113" s="203" t="s">
        <v>105</v>
      </c>
      <c r="Q113" s="1" t="s">
        <v>93</v>
      </c>
      <c r="R113" s="288" t="s">
        <v>104</v>
      </c>
      <c r="S113" s="291" t="s">
        <v>1915</v>
      </c>
    </row>
    <row r="114" spans="1:19" x14ac:dyDescent="0.2">
      <c r="A114" s="200" t="s">
        <v>2128</v>
      </c>
      <c r="B114" s="198" t="s">
        <v>2129</v>
      </c>
      <c r="C114" s="198" t="s">
        <v>112</v>
      </c>
      <c r="D114" s="1"/>
      <c r="E114" s="198" t="s">
        <v>2129</v>
      </c>
      <c r="F114" s="198" t="s">
        <v>2130</v>
      </c>
      <c r="H114" s="42" t="s">
        <v>1412</v>
      </c>
      <c r="I114" s="148" t="s">
        <v>1413</v>
      </c>
      <c r="J114" s="148" t="s">
        <v>1414</v>
      </c>
      <c r="K114" s="148" t="s">
        <v>1413</v>
      </c>
      <c r="L114" s="148" t="s">
        <v>1413</v>
      </c>
      <c r="M114" s="148" t="s">
        <v>2151</v>
      </c>
      <c r="N114" s="43" t="s">
        <v>949</v>
      </c>
      <c r="P114" s="203" t="s">
        <v>103</v>
      </c>
      <c r="Q114" s="1" t="s">
        <v>93</v>
      </c>
      <c r="R114" s="288"/>
      <c r="S114" s="291"/>
    </row>
    <row r="115" spans="1:19" x14ac:dyDescent="0.2">
      <c r="A115" s="200" t="s">
        <v>197</v>
      </c>
      <c r="B115" s="198" t="s">
        <v>196</v>
      </c>
      <c r="C115" s="198" t="s">
        <v>112</v>
      </c>
      <c r="D115" s="1"/>
      <c r="E115" s="198" t="s">
        <v>196</v>
      </c>
      <c r="F115" s="198" t="s">
        <v>911</v>
      </c>
      <c r="H115" s="42" t="s">
        <v>1415</v>
      </c>
      <c r="I115" s="148" t="s">
        <v>1416</v>
      </c>
      <c r="J115" s="148" t="s">
        <v>1417</v>
      </c>
      <c r="K115" s="148"/>
      <c r="L115" s="148"/>
      <c r="M115" s="148" t="s">
        <v>2151</v>
      </c>
      <c r="N115" s="43" t="s">
        <v>949</v>
      </c>
      <c r="P115" s="203" t="s">
        <v>98</v>
      </c>
      <c r="Q115" s="1" t="s">
        <v>93</v>
      </c>
      <c r="R115" s="288" t="s">
        <v>97</v>
      </c>
      <c r="S115" s="291"/>
    </row>
    <row r="116" spans="1:19" x14ac:dyDescent="0.2">
      <c r="A116" s="200" t="s">
        <v>195</v>
      </c>
      <c r="B116" s="198" t="s">
        <v>194</v>
      </c>
      <c r="C116" s="198" t="s">
        <v>112</v>
      </c>
      <c r="D116" s="1"/>
      <c r="E116" s="198" t="s">
        <v>194</v>
      </c>
      <c r="F116" s="198" t="s">
        <v>912</v>
      </c>
      <c r="H116" s="42" t="s">
        <v>1418</v>
      </c>
      <c r="I116" s="148" t="s">
        <v>1419</v>
      </c>
      <c r="J116" s="148" t="s">
        <v>1420</v>
      </c>
      <c r="K116" s="148" t="s">
        <v>1421</v>
      </c>
      <c r="L116" s="148" t="s">
        <v>1422</v>
      </c>
      <c r="M116" s="148" t="s">
        <v>2151</v>
      </c>
      <c r="N116" s="43" t="s">
        <v>949</v>
      </c>
      <c r="P116" s="203" t="s">
        <v>96</v>
      </c>
      <c r="Q116" s="1" t="s">
        <v>93</v>
      </c>
      <c r="R116" s="288"/>
      <c r="S116" s="291"/>
    </row>
    <row r="117" spans="1:19" x14ac:dyDescent="0.2">
      <c r="A117" s="200" t="s">
        <v>193</v>
      </c>
      <c r="B117" s="198" t="s">
        <v>192</v>
      </c>
      <c r="C117" s="198" t="s">
        <v>112</v>
      </c>
      <c r="D117" s="1"/>
      <c r="E117" s="198" t="s">
        <v>192</v>
      </c>
      <c r="F117" s="198" t="s">
        <v>913</v>
      </c>
      <c r="H117" s="42" t="s">
        <v>1423</v>
      </c>
      <c r="I117" s="148" t="s">
        <v>1424</v>
      </c>
      <c r="J117" s="148" t="s">
        <v>1425</v>
      </c>
      <c r="K117" s="148"/>
      <c r="L117" s="148" t="s">
        <v>1426</v>
      </c>
      <c r="M117" s="148" t="s">
        <v>2151</v>
      </c>
      <c r="N117" s="43" t="s">
        <v>949</v>
      </c>
      <c r="P117" s="203" t="s">
        <v>95</v>
      </c>
      <c r="Q117" s="1" t="s">
        <v>93</v>
      </c>
      <c r="R117" s="288"/>
      <c r="S117" s="291"/>
    </row>
    <row r="118" spans="1:19" x14ac:dyDescent="0.2">
      <c r="A118" s="200" t="s">
        <v>191</v>
      </c>
      <c r="B118" s="198" t="s">
        <v>190</v>
      </c>
      <c r="C118" s="198" t="s">
        <v>112</v>
      </c>
      <c r="D118" s="1"/>
      <c r="E118" s="198" t="s">
        <v>190</v>
      </c>
      <c r="F118" s="198" t="s">
        <v>914</v>
      </c>
      <c r="H118" s="42" t="s">
        <v>1427</v>
      </c>
      <c r="I118" s="148" t="s">
        <v>1428</v>
      </c>
      <c r="J118" s="148" t="s">
        <v>1429</v>
      </c>
      <c r="K118" s="148" t="s">
        <v>1430</v>
      </c>
      <c r="L118" s="148" t="s">
        <v>1431</v>
      </c>
      <c r="M118" s="148" t="s">
        <v>2151</v>
      </c>
      <c r="N118" s="43" t="s">
        <v>949</v>
      </c>
      <c r="P118" s="203" t="s">
        <v>94</v>
      </c>
      <c r="Q118" s="1" t="s">
        <v>93</v>
      </c>
      <c r="R118" s="288"/>
      <c r="S118" s="291"/>
    </row>
    <row r="119" spans="1:19" x14ac:dyDescent="0.2">
      <c r="A119" s="200" t="s">
        <v>187</v>
      </c>
      <c r="B119" s="198" t="s">
        <v>186</v>
      </c>
      <c r="C119" s="198" t="s">
        <v>112</v>
      </c>
      <c r="D119" s="1"/>
      <c r="E119" s="198" t="s">
        <v>186</v>
      </c>
      <c r="F119" s="198" t="s">
        <v>915</v>
      </c>
      <c r="H119" s="42" t="s">
        <v>1432</v>
      </c>
      <c r="I119" s="148" t="s">
        <v>1433</v>
      </c>
      <c r="J119" s="148" t="s">
        <v>1434</v>
      </c>
      <c r="K119" s="148" t="s">
        <v>1435</v>
      </c>
      <c r="L119" s="148" t="s">
        <v>1436</v>
      </c>
      <c r="M119" s="148" t="s">
        <v>2151</v>
      </c>
      <c r="N119" s="43" t="s">
        <v>949</v>
      </c>
      <c r="P119" s="203" t="s">
        <v>102</v>
      </c>
      <c r="Q119" s="1" t="s">
        <v>93</v>
      </c>
      <c r="R119" s="205" t="s">
        <v>101</v>
      </c>
      <c r="S119" s="291"/>
    </row>
    <row r="120" spans="1:19" x14ac:dyDescent="0.2">
      <c r="A120" s="200" t="s">
        <v>1962</v>
      </c>
      <c r="B120" s="198" t="s">
        <v>1963</v>
      </c>
      <c r="C120" s="198" t="s">
        <v>112</v>
      </c>
      <c r="D120" s="1"/>
      <c r="E120" s="198" t="s">
        <v>1963</v>
      </c>
      <c r="F120" s="198" t="s">
        <v>1964</v>
      </c>
      <c r="H120" s="42" t="s">
        <v>1437</v>
      </c>
      <c r="I120" s="148" t="s">
        <v>1438</v>
      </c>
      <c r="J120" s="148" t="s">
        <v>1439</v>
      </c>
      <c r="K120" s="148" t="s">
        <v>1440</v>
      </c>
      <c r="L120" s="148" t="s">
        <v>1441</v>
      </c>
      <c r="M120" s="148" t="s">
        <v>2151</v>
      </c>
      <c r="N120" s="43" t="s">
        <v>949</v>
      </c>
      <c r="P120" s="203" t="s">
        <v>100</v>
      </c>
      <c r="Q120" s="1" t="s">
        <v>93</v>
      </c>
      <c r="R120" s="205" t="s">
        <v>99</v>
      </c>
      <c r="S120" s="291"/>
    </row>
    <row r="121" spans="1:19" x14ac:dyDescent="0.2">
      <c r="A121" s="200" t="s">
        <v>183</v>
      </c>
      <c r="B121" s="198" t="s">
        <v>182</v>
      </c>
      <c r="C121" s="198" t="s">
        <v>112</v>
      </c>
      <c r="D121" s="1"/>
      <c r="E121" s="198" t="s">
        <v>182</v>
      </c>
      <c r="F121" s="198" t="s">
        <v>917</v>
      </c>
      <c r="H121" s="42" t="s">
        <v>1442</v>
      </c>
      <c r="I121" s="148" t="s">
        <v>1443</v>
      </c>
      <c r="J121" s="148" t="s">
        <v>1444</v>
      </c>
      <c r="K121" s="148" t="s">
        <v>1445</v>
      </c>
      <c r="L121" s="148" t="s">
        <v>1446</v>
      </c>
      <c r="M121" s="148" t="s">
        <v>2151</v>
      </c>
      <c r="N121" s="149" t="s">
        <v>950</v>
      </c>
      <c r="P121" s="203" t="s">
        <v>92</v>
      </c>
      <c r="Q121" s="204" t="s">
        <v>91</v>
      </c>
      <c r="R121" s="205" t="s">
        <v>91</v>
      </c>
      <c r="S121" s="291"/>
    </row>
    <row r="122" spans="1:19" x14ac:dyDescent="0.2">
      <c r="A122" s="200" t="s">
        <v>2479</v>
      </c>
      <c r="B122" s="198" t="s">
        <v>2480</v>
      </c>
      <c r="C122" s="198" t="s">
        <v>112</v>
      </c>
      <c r="D122" s="198"/>
      <c r="E122" s="198" t="s">
        <v>2480</v>
      </c>
      <c r="F122" s="198" t="s">
        <v>2481</v>
      </c>
      <c r="H122" s="42" t="s">
        <v>1447</v>
      </c>
      <c r="I122" s="148" t="s">
        <v>1448</v>
      </c>
      <c r="J122" s="148" t="s">
        <v>1449</v>
      </c>
      <c r="K122" s="148" t="s">
        <v>1450</v>
      </c>
      <c r="L122" s="148" t="s">
        <v>1451</v>
      </c>
      <c r="M122" s="148" t="s">
        <v>2151</v>
      </c>
      <c r="N122" s="149" t="s">
        <v>950</v>
      </c>
    </row>
    <row r="123" spans="1:19" x14ac:dyDescent="0.2">
      <c r="A123" s="200" t="s">
        <v>1965</v>
      </c>
      <c r="B123" s="198" t="s">
        <v>1966</v>
      </c>
      <c r="C123" s="198" t="s">
        <v>112</v>
      </c>
      <c r="D123" s="1"/>
      <c r="E123" s="198" t="s">
        <v>1966</v>
      </c>
      <c r="F123" s="198" t="s">
        <v>1967</v>
      </c>
      <c r="H123" s="42" t="s">
        <v>1452</v>
      </c>
      <c r="I123" s="148" t="s">
        <v>1453</v>
      </c>
      <c r="J123" s="148" t="s">
        <v>1454</v>
      </c>
      <c r="K123" s="148" t="s">
        <v>1455</v>
      </c>
      <c r="L123" s="148" t="s">
        <v>1456</v>
      </c>
      <c r="M123" s="144" t="s">
        <v>2151</v>
      </c>
      <c r="N123" s="150" t="s">
        <v>950</v>
      </c>
    </row>
    <row r="124" spans="1:19" x14ac:dyDescent="0.2">
      <c r="A124" s="200" t="s">
        <v>1968</v>
      </c>
      <c r="B124" s="198" t="s">
        <v>1969</v>
      </c>
      <c r="C124" s="198" t="s">
        <v>112</v>
      </c>
      <c r="D124" s="1"/>
      <c r="E124" s="198" t="s">
        <v>1969</v>
      </c>
      <c r="F124" s="198" t="s">
        <v>1970</v>
      </c>
      <c r="H124" s="42" t="s">
        <v>1824</v>
      </c>
      <c r="I124" s="148" t="s">
        <v>1825</v>
      </c>
      <c r="J124" s="148" t="s">
        <v>1826</v>
      </c>
      <c r="K124" s="148" t="s">
        <v>1827</v>
      </c>
      <c r="L124" s="148" t="s">
        <v>1828</v>
      </c>
      <c r="M124" s="148" t="s">
        <v>2152</v>
      </c>
      <c r="N124" s="43" t="s">
        <v>949</v>
      </c>
    </row>
    <row r="125" spans="1:19" x14ac:dyDescent="0.2">
      <c r="A125" s="200" t="s">
        <v>173</v>
      </c>
      <c r="B125" s="198" t="s">
        <v>172</v>
      </c>
      <c r="C125" s="198" t="s">
        <v>112</v>
      </c>
      <c r="D125" s="1"/>
      <c r="E125" s="198" t="s">
        <v>172</v>
      </c>
      <c r="F125" s="198" t="s">
        <v>921</v>
      </c>
      <c r="H125" s="42" t="s">
        <v>1829</v>
      </c>
      <c r="I125" s="148" t="s">
        <v>1830</v>
      </c>
      <c r="J125" s="148" t="s">
        <v>1831</v>
      </c>
      <c r="K125" s="148" t="s">
        <v>1832</v>
      </c>
      <c r="L125" s="148" t="s">
        <v>1833</v>
      </c>
      <c r="M125" s="148" t="s">
        <v>2152</v>
      </c>
      <c r="N125" s="43" t="s">
        <v>949</v>
      </c>
    </row>
    <row r="126" spans="1:19" x14ac:dyDescent="0.2">
      <c r="A126" s="200" t="s">
        <v>1971</v>
      </c>
      <c r="B126" s="198" t="s">
        <v>1972</v>
      </c>
      <c r="C126" s="198" t="s">
        <v>112</v>
      </c>
      <c r="D126" s="1"/>
      <c r="E126" s="198" t="s">
        <v>1972</v>
      </c>
      <c r="F126" s="198" t="s">
        <v>1973</v>
      </c>
      <c r="H126" s="42" t="s">
        <v>1834</v>
      </c>
      <c r="I126" s="148" t="s">
        <v>1835</v>
      </c>
      <c r="J126" s="148" t="s">
        <v>1836</v>
      </c>
      <c r="K126" s="148" t="s">
        <v>1837</v>
      </c>
      <c r="L126" s="148" t="s">
        <v>1838</v>
      </c>
      <c r="M126" s="148" t="s">
        <v>2152</v>
      </c>
      <c r="N126" s="43" t="s">
        <v>949</v>
      </c>
    </row>
    <row r="127" spans="1:19" x14ac:dyDescent="0.2">
      <c r="A127" s="200" t="s">
        <v>170</v>
      </c>
      <c r="B127" s="198" t="s">
        <v>169</v>
      </c>
      <c r="C127" s="198" t="s">
        <v>112</v>
      </c>
      <c r="D127" s="1"/>
      <c r="E127" s="198" t="s">
        <v>169</v>
      </c>
      <c r="F127" s="198" t="s">
        <v>922</v>
      </c>
      <c r="H127" s="42" t="s">
        <v>1839</v>
      </c>
      <c r="I127" s="148" t="s">
        <v>1840</v>
      </c>
      <c r="J127" s="148" t="s">
        <v>1841</v>
      </c>
      <c r="K127" s="148" t="s">
        <v>1842</v>
      </c>
      <c r="L127" s="148" t="s">
        <v>1843</v>
      </c>
      <c r="M127" s="148" t="s">
        <v>2152</v>
      </c>
      <c r="N127" s="43" t="s">
        <v>949</v>
      </c>
    </row>
    <row r="128" spans="1:19" x14ac:dyDescent="0.2">
      <c r="A128" s="200" t="s">
        <v>2363</v>
      </c>
      <c r="B128" s="198" t="s">
        <v>2364</v>
      </c>
      <c r="C128" s="198" t="s">
        <v>112</v>
      </c>
      <c r="D128" s="200"/>
      <c r="E128" s="198" t="s">
        <v>2364</v>
      </c>
      <c r="F128" s="198" t="s">
        <v>2365</v>
      </c>
      <c r="H128" s="42" t="s">
        <v>1844</v>
      </c>
      <c r="I128" s="148" t="s">
        <v>1845</v>
      </c>
      <c r="J128" s="148" t="s">
        <v>1846</v>
      </c>
      <c r="K128" s="148" t="s">
        <v>1847</v>
      </c>
      <c r="L128" s="148" t="s">
        <v>1848</v>
      </c>
      <c r="M128" s="148" t="s">
        <v>2152</v>
      </c>
      <c r="N128" s="43" t="s">
        <v>949</v>
      </c>
    </row>
    <row r="129" spans="1:14" x14ac:dyDescent="0.2">
      <c r="A129" s="200" t="s">
        <v>167</v>
      </c>
      <c r="B129" s="198" t="s">
        <v>166</v>
      </c>
      <c r="C129" s="198" t="s">
        <v>112</v>
      </c>
      <c r="D129" s="1"/>
      <c r="E129" s="198" t="s">
        <v>166</v>
      </c>
      <c r="F129" s="198" t="s">
        <v>923</v>
      </c>
      <c r="H129" s="42" t="s">
        <v>1849</v>
      </c>
      <c r="I129" s="148" t="s">
        <v>1850</v>
      </c>
      <c r="J129" s="148" t="s">
        <v>1851</v>
      </c>
      <c r="K129" s="148" t="s">
        <v>1852</v>
      </c>
      <c r="L129" s="148" t="s">
        <v>1853</v>
      </c>
      <c r="M129" s="148" t="s">
        <v>2152</v>
      </c>
      <c r="N129" s="43" t="s">
        <v>949</v>
      </c>
    </row>
    <row r="130" spans="1:14" x14ac:dyDescent="0.2">
      <c r="A130" s="200" t="s">
        <v>165</v>
      </c>
      <c r="B130" s="198" t="s">
        <v>164</v>
      </c>
      <c r="C130" s="198" t="s">
        <v>112</v>
      </c>
      <c r="D130" s="1"/>
      <c r="E130" s="198" t="s">
        <v>164</v>
      </c>
      <c r="F130" s="198" t="s">
        <v>924</v>
      </c>
      <c r="H130" s="42" t="s">
        <v>1854</v>
      </c>
      <c r="I130" s="148" t="s">
        <v>1855</v>
      </c>
      <c r="J130" s="148" t="s">
        <v>1856</v>
      </c>
      <c r="K130" s="148" t="s">
        <v>1857</v>
      </c>
      <c r="L130" s="148" t="s">
        <v>1858</v>
      </c>
      <c r="M130" s="144" t="s">
        <v>2152</v>
      </c>
      <c r="N130" s="150" t="s">
        <v>950</v>
      </c>
    </row>
    <row r="131" spans="1:14" x14ac:dyDescent="0.2">
      <c r="A131" s="200" t="s">
        <v>1974</v>
      </c>
      <c r="B131" s="198" t="s">
        <v>1975</v>
      </c>
      <c r="C131" s="198" t="s">
        <v>112</v>
      </c>
      <c r="D131" s="1"/>
      <c r="E131" s="198" t="s">
        <v>1975</v>
      </c>
      <c r="F131" s="198" t="s">
        <v>1976</v>
      </c>
      <c r="H131" s="42" t="s">
        <v>1689</v>
      </c>
      <c r="I131" s="148" t="s">
        <v>1690</v>
      </c>
      <c r="J131" s="148" t="s">
        <v>1691</v>
      </c>
      <c r="K131" s="148" t="s">
        <v>1692</v>
      </c>
      <c r="L131" s="148" t="s">
        <v>1693</v>
      </c>
      <c r="M131" s="148" t="s">
        <v>2153</v>
      </c>
      <c r="N131" s="43" t="s">
        <v>949</v>
      </c>
    </row>
    <row r="132" spans="1:14" x14ac:dyDescent="0.2">
      <c r="A132" s="200" t="s">
        <v>1977</v>
      </c>
      <c r="B132" s="198" t="s">
        <v>1978</v>
      </c>
      <c r="C132" s="198" t="s">
        <v>112</v>
      </c>
      <c r="D132" s="1"/>
      <c r="E132" s="198" t="s">
        <v>1978</v>
      </c>
      <c r="F132" s="198" t="s">
        <v>1979</v>
      </c>
      <c r="H132" s="42" t="s">
        <v>1600</v>
      </c>
      <c r="I132" s="148" t="s">
        <v>1601</v>
      </c>
      <c r="J132" s="148" t="s">
        <v>1602</v>
      </c>
      <c r="K132" s="148" t="s">
        <v>1603</v>
      </c>
      <c r="L132" s="148" t="s">
        <v>1604</v>
      </c>
      <c r="M132" s="148" t="s">
        <v>2153</v>
      </c>
      <c r="N132" s="43" t="s">
        <v>949</v>
      </c>
    </row>
    <row r="133" spans="1:14" x14ac:dyDescent="0.2">
      <c r="A133" s="200" t="s">
        <v>1980</v>
      </c>
      <c r="B133" s="198" t="s">
        <v>1981</v>
      </c>
      <c r="C133" s="198" t="s">
        <v>112</v>
      </c>
      <c r="D133" s="1"/>
      <c r="E133" s="198" t="s">
        <v>1981</v>
      </c>
      <c r="F133" s="198" t="s">
        <v>1982</v>
      </c>
      <c r="H133" s="42" t="s">
        <v>1699</v>
      </c>
      <c r="I133" s="148" t="s">
        <v>1700</v>
      </c>
      <c r="J133" s="148" t="s">
        <v>1701</v>
      </c>
      <c r="K133" s="148" t="s">
        <v>1702</v>
      </c>
      <c r="L133" s="148" t="s">
        <v>1703</v>
      </c>
      <c r="M133" s="148" t="s">
        <v>2153</v>
      </c>
      <c r="N133" s="43" t="s">
        <v>949</v>
      </c>
    </row>
    <row r="134" spans="1:14" x14ac:dyDescent="0.2">
      <c r="A134" s="200" t="s">
        <v>163</v>
      </c>
      <c r="B134" s="198" t="s">
        <v>162</v>
      </c>
      <c r="C134" s="198" t="s">
        <v>112</v>
      </c>
      <c r="D134" s="1"/>
      <c r="E134" s="198" t="s">
        <v>162</v>
      </c>
      <c r="F134" s="198" t="s">
        <v>925</v>
      </c>
      <c r="H134" s="42" t="s">
        <v>1704</v>
      </c>
      <c r="I134" s="148" t="s">
        <v>1705</v>
      </c>
      <c r="J134" s="148" t="s">
        <v>1706</v>
      </c>
      <c r="K134" s="148" t="s">
        <v>1707</v>
      </c>
      <c r="L134" s="148" t="s">
        <v>1708</v>
      </c>
      <c r="M134" s="148" t="s">
        <v>2153</v>
      </c>
      <c r="N134" s="43" t="s">
        <v>949</v>
      </c>
    </row>
    <row r="135" spans="1:14" x14ac:dyDescent="0.2">
      <c r="A135" s="200" t="s">
        <v>1983</v>
      </c>
      <c r="B135" s="198" t="s">
        <v>1984</v>
      </c>
      <c r="C135" s="198" t="s">
        <v>112</v>
      </c>
      <c r="D135" s="1"/>
      <c r="E135" s="198" t="s">
        <v>1984</v>
      </c>
      <c r="F135" s="198" t="s">
        <v>1985</v>
      </c>
      <c r="H135" s="42" t="s">
        <v>1729</v>
      </c>
      <c r="I135" s="148" t="s">
        <v>1730</v>
      </c>
      <c r="J135" s="148" t="s">
        <v>1731</v>
      </c>
      <c r="K135" s="148" t="s">
        <v>1732</v>
      </c>
      <c r="L135" s="148" t="s">
        <v>1733</v>
      </c>
      <c r="M135" s="148" t="s">
        <v>2153</v>
      </c>
      <c r="N135" s="43" t="s">
        <v>949</v>
      </c>
    </row>
    <row r="136" spans="1:14" x14ac:dyDescent="0.2">
      <c r="A136" s="200" t="s">
        <v>154</v>
      </c>
      <c r="B136" s="198" t="s">
        <v>153</v>
      </c>
      <c r="C136" s="198" t="s">
        <v>112</v>
      </c>
      <c r="D136" s="1"/>
      <c r="E136" s="198" t="s">
        <v>153</v>
      </c>
      <c r="F136" s="198" t="s">
        <v>927</v>
      </c>
      <c r="H136" s="42" t="s">
        <v>1739</v>
      </c>
      <c r="I136" s="148" t="s">
        <v>1740</v>
      </c>
      <c r="J136" s="148" t="s">
        <v>1741</v>
      </c>
      <c r="K136" s="148" t="s">
        <v>1742</v>
      </c>
      <c r="L136" s="148" t="s">
        <v>1743</v>
      </c>
      <c r="M136" s="148" t="s">
        <v>2153</v>
      </c>
      <c r="N136" s="43" t="s">
        <v>949</v>
      </c>
    </row>
    <row r="137" spans="1:14" x14ac:dyDescent="0.2">
      <c r="A137" s="200" t="s">
        <v>1986</v>
      </c>
      <c r="B137" s="198" t="s">
        <v>1987</v>
      </c>
      <c r="C137" s="198" t="s">
        <v>112</v>
      </c>
      <c r="D137" s="1"/>
      <c r="E137" s="198" t="s">
        <v>1987</v>
      </c>
      <c r="F137" s="198" t="s">
        <v>1988</v>
      </c>
      <c r="H137" s="42" t="s">
        <v>1734</v>
      </c>
      <c r="I137" s="148" t="s">
        <v>1735</v>
      </c>
      <c r="J137" s="148" t="s">
        <v>1736</v>
      </c>
      <c r="K137" s="148" t="s">
        <v>1737</v>
      </c>
      <c r="L137" s="148" t="s">
        <v>1738</v>
      </c>
      <c r="M137" s="148" t="s">
        <v>2153</v>
      </c>
      <c r="N137" s="43" t="s">
        <v>949</v>
      </c>
    </row>
    <row r="138" spans="1:14" x14ac:dyDescent="0.2">
      <c r="A138" s="200" t="s">
        <v>1989</v>
      </c>
      <c r="B138" s="198" t="s">
        <v>1990</v>
      </c>
      <c r="C138" s="198" t="s">
        <v>112</v>
      </c>
      <c r="D138" s="1"/>
      <c r="E138" s="198" t="s">
        <v>1990</v>
      </c>
      <c r="F138" s="198" t="s">
        <v>1991</v>
      </c>
      <c r="H138" s="42" t="s">
        <v>1605</v>
      </c>
      <c r="I138" s="148" t="s">
        <v>1606</v>
      </c>
      <c r="J138" s="148" t="s">
        <v>1607</v>
      </c>
      <c r="K138" s="148" t="s">
        <v>1608</v>
      </c>
      <c r="L138" s="148" t="s">
        <v>1609</v>
      </c>
      <c r="M138" s="148" t="s">
        <v>2153</v>
      </c>
      <c r="N138" s="43" t="s">
        <v>949</v>
      </c>
    </row>
    <row r="139" spans="1:14" x14ac:dyDescent="0.2">
      <c r="A139" s="200" t="s">
        <v>147</v>
      </c>
      <c r="B139" s="198" t="s">
        <v>146</v>
      </c>
      <c r="C139" s="198" t="s">
        <v>112</v>
      </c>
      <c r="D139" s="1"/>
      <c r="E139" s="198" t="s">
        <v>146</v>
      </c>
      <c r="F139" s="198" t="s">
        <v>928</v>
      </c>
      <c r="H139" s="42" t="s">
        <v>1610</v>
      </c>
      <c r="I139" s="148" t="s">
        <v>1611</v>
      </c>
      <c r="J139" s="148" t="s">
        <v>1612</v>
      </c>
      <c r="K139" s="148" t="s">
        <v>1613</v>
      </c>
      <c r="L139" s="148" t="s">
        <v>1614</v>
      </c>
      <c r="M139" s="148" t="s">
        <v>2153</v>
      </c>
      <c r="N139" s="43" t="s">
        <v>949</v>
      </c>
    </row>
    <row r="140" spans="1:14" x14ac:dyDescent="0.2">
      <c r="A140" s="200" t="s">
        <v>1992</v>
      </c>
      <c r="B140" s="198" t="s">
        <v>1993</v>
      </c>
      <c r="C140" s="198" t="s">
        <v>112</v>
      </c>
      <c r="D140" s="198"/>
      <c r="E140" s="198" t="s">
        <v>1993</v>
      </c>
      <c r="F140" s="198" t="s">
        <v>1994</v>
      </c>
      <c r="H140" s="42" t="s">
        <v>1749</v>
      </c>
      <c r="I140" s="148" t="s">
        <v>1750</v>
      </c>
      <c r="J140" s="148" t="s">
        <v>1751</v>
      </c>
      <c r="K140" s="148" t="s">
        <v>1752</v>
      </c>
      <c r="L140" s="148" t="s">
        <v>1753</v>
      </c>
      <c r="M140" s="148" t="s">
        <v>2153</v>
      </c>
      <c r="N140" s="43" t="s">
        <v>949</v>
      </c>
    </row>
    <row r="141" spans="1:14" x14ac:dyDescent="0.2">
      <c r="A141" s="200" t="s">
        <v>2366</v>
      </c>
      <c r="B141" s="198" t="s">
        <v>2367</v>
      </c>
      <c r="C141" s="198" t="s">
        <v>112</v>
      </c>
      <c r="D141" s="200"/>
      <c r="E141" s="198" t="s">
        <v>2367</v>
      </c>
      <c r="F141" s="198" t="s">
        <v>2368</v>
      </c>
      <c r="H141" s="42" t="s">
        <v>1615</v>
      </c>
      <c r="I141" s="148" t="s">
        <v>1616</v>
      </c>
      <c r="J141" s="148" t="s">
        <v>1617</v>
      </c>
      <c r="K141" s="148" t="s">
        <v>1618</v>
      </c>
      <c r="L141" s="148" t="s">
        <v>1619</v>
      </c>
      <c r="M141" s="148" t="s">
        <v>2153</v>
      </c>
      <c r="N141" s="43" t="s">
        <v>949</v>
      </c>
    </row>
    <row r="142" spans="1:14" x14ac:dyDescent="0.2">
      <c r="A142" s="200" t="s">
        <v>140</v>
      </c>
      <c r="B142" s="198" t="s">
        <v>139</v>
      </c>
      <c r="C142" s="198" t="s">
        <v>112</v>
      </c>
      <c r="D142" s="198"/>
      <c r="E142" s="198" t="s">
        <v>139</v>
      </c>
      <c r="F142" s="198" t="s">
        <v>929</v>
      </c>
      <c r="H142" s="42" t="s">
        <v>836</v>
      </c>
      <c r="I142" s="148" t="s">
        <v>1620</v>
      </c>
      <c r="J142" s="148" t="s">
        <v>1621</v>
      </c>
      <c r="K142" s="148" t="s">
        <v>1622</v>
      </c>
      <c r="L142" s="148" t="s">
        <v>1623</v>
      </c>
      <c r="M142" s="148" t="s">
        <v>2153</v>
      </c>
      <c r="N142" s="43" t="s">
        <v>949</v>
      </c>
    </row>
    <row r="143" spans="1:14" x14ac:dyDescent="0.2">
      <c r="A143" s="200" t="s">
        <v>1995</v>
      </c>
      <c r="B143" s="198" t="s">
        <v>1996</v>
      </c>
      <c r="C143" s="198" t="s">
        <v>112</v>
      </c>
      <c r="D143" s="198"/>
      <c r="E143" s="198" t="s">
        <v>1996</v>
      </c>
      <c r="F143" s="198" t="s">
        <v>1997</v>
      </c>
      <c r="H143" s="42" t="s">
        <v>1624</v>
      </c>
      <c r="I143" s="148" t="s">
        <v>1625</v>
      </c>
      <c r="J143" s="148" t="s">
        <v>1626</v>
      </c>
      <c r="K143" s="148" t="s">
        <v>1627</v>
      </c>
      <c r="L143" s="148" t="s">
        <v>1628</v>
      </c>
      <c r="M143" s="148" t="s">
        <v>2153</v>
      </c>
      <c r="N143" s="43" t="s">
        <v>949</v>
      </c>
    </row>
    <row r="144" spans="1:14" x14ac:dyDescent="0.2">
      <c r="A144" s="200" t="s">
        <v>1998</v>
      </c>
      <c r="B144" s="198" t="s">
        <v>1999</v>
      </c>
      <c r="C144" s="198" t="s">
        <v>112</v>
      </c>
      <c r="D144" s="198"/>
      <c r="E144" s="198" t="s">
        <v>1999</v>
      </c>
      <c r="F144" s="198" t="s">
        <v>2000</v>
      </c>
      <c r="H144" s="42" t="s">
        <v>1629</v>
      </c>
      <c r="I144" s="148" t="s">
        <v>1630</v>
      </c>
      <c r="J144" s="148" t="s">
        <v>1631</v>
      </c>
      <c r="K144" s="148" t="s">
        <v>1632</v>
      </c>
      <c r="L144" s="148" t="s">
        <v>1633</v>
      </c>
      <c r="M144" s="148" t="s">
        <v>2153</v>
      </c>
      <c r="N144" s="43" t="s">
        <v>949</v>
      </c>
    </row>
    <row r="145" spans="1:14" x14ac:dyDescent="0.2">
      <c r="A145" s="200" t="s">
        <v>2001</v>
      </c>
      <c r="B145" s="198" t="s">
        <v>2002</v>
      </c>
      <c r="C145" s="198" t="s">
        <v>112</v>
      </c>
      <c r="D145" s="198"/>
      <c r="E145" s="198" t="s">
        <v>2002</v>
      </c>
      <c r="F145" s="198" t="s">
        <v>2003</v>
      </c>
      <c r="H145" s="42" t="s">
        <v>1634</v>
      </c>
      <c r="I145" s="148" t="s">
        <v>1635</v>
      </c>
      <c r="J145" s="148" t="s">
        <v>1636</v>
      </c>
      <c r="K145" s="148" t="s">
        <v>1637</v>
      </c>
      <c r="L145" s="148" t="s">
        <v>1638</v>
      </c>
      <c r="M145" s="148" t="s">
        <v>2153</v>
      </c>
      <c r="N145" s="43" t="s">
        <v>949</v>
      </c>
    </row>
    <row r="146" spans="1:14" x14ac:dyDescent="0.2">
      <c r="A146" s="200" t="s">
        <v>2482</v>
      </c>
      <c r="B146" s="198" t="s">
        <v>2369</v>
      </c>
      <c r="C146" s="198" t="s">
        <v>112</v>
      </c>
      <c r="D146" s="200"/>
      <c r="E146" s="198" t="s">
        <v>2369</v>
      </c>
      <c r="F146" s="198" t="s">
        <v>2370</v>
      </c>
      <c r="H146" s="42" t="s">
        <v>1759</v>
      </c>
      <c r="I146" s="148" t="s">
        <v>1760</v>
      </c>
      <c r="J146" s="148" t="s">
        <v>1761</v>
      </c>
      <c r="K146" s="148" t="s">
        <v>1762</v>
      </c>
      <c r="L146" s="148" t="s">
        <v>1763</v>
      </c>
      <c r="M146" s="148" t="s">
        <v>2153</v>
      </c>
      <c r="N146" s="43" t="s">
        <v>949</v>
      </c>
    </row>
    <row r="147" spans="1:14" x14ac:dyDescent="0.2">
      <c r="A147" s="200" t="s">
        <v>2004</v>
      </c>
      <c r="B147" s="198" t="s">
        <v>2005</v>
      </c>
      <c r="C147" s="198" t="s">
        <v>112</v>
      </c>
      <c r="D147" s="198"/>
      <c r="E147" s="198" t="s">
        <v>2005</v>
      </c>
      <c r="F147" s="198" t="s">
        <v>2006</v>
      </c>
      <c r="H147" s="42" t="s">
        <v>1754</v>
      </c>
      <c r="I147" s="148" t="s">
        <v>1755</v>
      </c>
      <c r="J147" s="148" t="s">
        <v>1756</v>
      </c>
      <c r="K147" s="148" t="s">
        <v>1757</v>
      </c>
      <c r="L147" s="148" t="s">
        <v>1758</v>
      </c>
      <c r="M147" s="148" t="s">
        <v>2153</v>
      </c>
      <c r="N147" s="43" t="s">
        <v>949</v>
      </c>
    </row>
    <row r="148" spans="1:14" x14ac:dyDescent="0.2">
      <c r="A148" s="200" t="s">
        <v>2007</v>
      </c>
      <c r="B148" s="198" t="s">
        <v>2008</v>
      </c>
      <c r="C148" s="198" t="s">
        <v>112</v>
      </c>
      <c r="D148" s="198"/>
      <c r="E148" s="198" t="s">
        <v>2008</v>
      </c>
      <c r="F148" s="198" t="s">
        <v>2009</v>
      </c>
      <c r="H148" s="42" t="s">
        <v>1639</v>
      </c>
      <c r="I148" s="148" t="s">
        <v>1640</v>
      </c>
      <c r="J148" s="148" t="s">
        <v>1641</v>
      </c>
      <c r="K148" s="148" t="s">
        <v>1642</v>
      </c>
      <c r="L148" s="148" t="s">
        <v>1643</v>
      </c>
      <c r="M148" s="148" t="s">
        <v>2153</v>
      </c>
      <c r="N148" s="43" t="s">
        <v>949</v>
      </c>
    </row>
    <row r="149" spans="1:14" x14ac:dyDescent="0.2">
      <c r="A149" s="200" t="s">
        <v>138</v>
      </c>
      <c r="B149" s="198" t="s">
        <v>137</v>
      </c>
      <c r="C149" s="198" t="s">
        <v>112</v>
      </c>
      <c r="D149" s="198"/>
      <c r="E149" s="198" t="s">
        <v>137</v>
      </c>
      <c r="F149" s="198" t="s">
        <v>338</v>
      </c>
      <c r="H149" s="42" t="s">
        <v>1644</v>
      </c>
      <c r="I149" s="148" t="s">
        <v>1645</v>
      </c>
      <c r="J149" s="148" t="s">
        <v>1646</v>
      </c>
      <c r="K149" s="148" t="s">
        <v>1647</v>
      </c>
      <c r="L149" s="148" t="s">
        <v>1648</v>
      </c>
      <c r="M149" s="148" t="s">
        <v>2153</v>
      </c>
      <c r="N149" s="43" t="s">
        <v>949</v>
      </c>
    </row>
    <row r="150" spans="1:14" x14ac:dyDescent="0.2">
      <c r="A150" s="200" t="s">
        <v>2010</v>
      </c>
      <c r="B150" s="198" t="s">
        <v>2011</v>
      </c>
      <c r="C150" s="198" t="s">
        <v>112</v>
      </c>
      <c r="D150" s="198"/>
      <c r="E150" s="198" t="s">
        <v>2011</v>
      </c>
      <c r="F150" s="198" t="s">
        <v>2012</v>
      </c>
      <c r="H150" s="42" t="s">
        <v>1649</v>
      </c>
      <c r="I150" s="148" t="s">
        <v>1650</v>
      </c>
      <c r="J150" s="148" t="s">
        <v>1651</v>
      </c>
      <c r="K150" s="148" t="s">
        <v>1652</v>
      </c>
      <c r="L150" s="148" t="s">
        <v>1653</v>
      </c>
      <c r="M150" s="148" t="s">
        <v>2153</v>
      </c>
      <c r="N150" s="43" t="s">
        <v>949</v>
      </c>
    </row>
    <row r="151" spans="1:14" x14ac:dyDescent="0.2">
      <c r="A151" s="200" t="s">
        <v>2013</v>
      </c>
      <c r="B151" s="198" t="s">
        <v>2014</v>
      </c>
      <c r="C151" s="198" t="s">
        <v>112</v>
      </c>
      <c r="D151" s="198"/>
      <c r="E151" s="198" t="s">
        <v>2014</v>
      </c>
      <c r="F151" s="198" t="s">
        <v>2015</v>
      </c>
      <c r="H151" s="42" t="s">
        <v>1744</v>
      </c>
      <c r="I151" s="148" t="s">
        <v>1745</v>
      </c>
      <c r="J151" s="148" t="s">
        <v>1746</v>
      </c>
      <c r="K151" s="148" t="s">
        <v>1747</v>
      </c>
      <c r="L151" s="148" t="s">
        <v>1748</v>
      </c>
      <c r="M151" s="148" t="s">
        <v>2153</v>
      </c>
      <c r="N151" s="43" t="s">
        <v>949</v>
      </c>
    </row>
    <row r="152" spans="1:14" x14ac:dyDescent="0.2">
      <c r="A152" s="200" t="s">
        <v>2016</v>
      </c>
      <c r="B152" s="198" t="s">
        <v>2017</v>
      </c>
      <c r="C152" s="198" t="s">
        <v>112</v>
      </c>
      <c r="D152" s="198"/>
      <c r="E152" s="198" t="s">
        <v>2017</v>
      </c>
      <c r="F152" s="198" t="s">
        <v>2018</v>
      </c>
      <c r="H152" s="42" t="s">
        <v>1794</v>
      </c>
      <c r="I152" s="148" t="s">
        <v>1795</v>
      </c>
      <c r="J152" s="148" t="s">
        <v>1796</v>
      </c>
      <c r="K152" s="148" t="s">
        <v>1797</v>
      </c>
      <c r="L152" s="148" t="s">
        <v>1798</v>
      </c>
      <c r="M152" s="148" t="s">
        <v>2153</v>
      </c>
      <c r="N152" s="43" t="s">
        <v>949</v>
      </c>
    </row>
    <row r="153" spans="1:14" x14ac:dyDescent="0.2">
      <c r="A153" s="200" t="s">
        <v>135</v>
      </c>
      <c r="B153" s="198" t="s">
        <v>134</v>
      </c>
      <c r="C153" s="198" t="s">
        <v>112</v>
      </c>
      <c r="D153" s="198"/>
      <c r="E153" s="198" t="s">
        <v>134</v>
      </c>
      <c r="F153" s="198" t="s">
        <v>930</v>
      </c>
      <c r="H153" s="42" t="s">
        <v>1789</v>
      </c>
      <c r="I153" s="148" t="s">
        <v>1790</v>
      </c>
      <c r="J153" s="148" t="s">
        <v>1791</v>
      </c>
      <c r="K153" s="148" t="s">
        <v>1792</v>
      </c>
      <c r="L153" s="148" t="s">
        <v>1793</v>
      </c>
      <c r="M153" s="148" t="s">
        <v>2153</v>
      </c>
      <c r="N153" s="43" t="s">
        <v>949</v>
      </c>
    </row>
    <row r="154" spans="1:14" x14ac:dyDescent="0.2">
      <c r="A154" s="200" t="s">
        <v>2391</v>
      </c>
      <c r="B154" s="198" t="s">
        <v>2392</v>
      </c>
      <c r="C154" s="198" t="s">
        <v>112</v>
      </c>
      <c r="D154" s="198"/>
      <c r="E154" s="198" t="s">
        <v>2392</v>
      </c>
      <c r="F154" s="198" t="s">
        <v>2393</v>
      </c>
      <c r="H154" s="42" t="s">
        <v>1799</v>
      </c>
      <c r="I154" s="148" t="s">
        <v>1800</v>
      </c>
      <c r="J154" s="148" t="s">
        <v>1801</v>
      </c>
      <c r="K154" s="148" t="s">
        <v>1802</v>
      </c>
      <c r="L154" s="148" t="s">
        <v>1803</v>
      </c>
      <c r="M154" s="148" t="s">
        <v>2153</v>
      </c>
      <c r="N154" s="43" t="s">
        <v>949</v>
      </c>
    </row>
    <row r="155" spans="1:14" x14ac:dyDescent="0.2">
      <c r="A155" s="200" t="s">
        <v>131</v>
      </c>
      <c r="B155" s="198" t="s">
        <v>130</v>
      </c>
      <c r="C155" s="198" t="s">
        <v>112</v>
      </c>
      <c r="D155" s="198" t="s">
        <v>132</v>
      </c>
      <c r="E155" s="198" t="s">
        <v>130</v>
      </c>
      <c r="F155" s="198" t="s">
        <v>932</v>
      </c>
      <c r="H155" s="42" t="s">
        <v>1764</v>
      </c>
      <c r="I155" s="148" t="s">
        <v>1765</v>
      </c>
      <c r="J155" s="148" t="s">
        <v>1766</v>
      </c>
      <c r="K155" s="148" t="s">
        <v>1767</v>
      </c>
      <c r="L155" s="148" t="s">
        <v>1768</v>
      </c>
      <c r="M155" s="148" t="s">
        <v>2153</v>
      </c>
      <c r="N155" s="43" t="s">
        <v>949</v>
      </c>
    </row>
    <row r="156" spans="1:14" x14ac:dyDescent="0.2">
      <c r="A156" s="200" t="s">
        <v>2019</v>
      </c>
      <c r="B156" s="198" t="s">
        <v>2020</v>
      </c>
      <c r="C156" s="198" t="s">
        <v>112</v>
      </c>
      <c r="D156" s="198"/>
      <c r="E156" s="198" t="s">
        <v>2020</v>
      </c>
      <c r="F156" s="198" t="s">
        <v>2021</v>
      </c>
      <c r="H156" s="42" t="s">
        <v>1769</v>
      </c>
      <c r="I156" s="148" t="s">
        <v>1770</v>
      </c>
      <c r="J156" s="148" t="s">
        <v>1771</v>
      </c>
      <c r="K156" s="148" t="s">
        <v>1772</v>
      </c>
      <c r="L156" s="148" t="s">
        <v>1773</v>
      </c>
      <c r="M156" s="148" t="s">
        <v>2153</v>
      </c>
      <c r="N156" s="43" t="s">
        <v>949</v>
      </c>
    </row>
    <row r="157" spans="1:14" x14ac:dyDescent="0.2">
      <c r="A157" s="200" t="s">
        <v>2483</v>
      </c>
      <c r="B157" s="198" t="s">
        <v>2484</v>
      </c>
      <c r="C157" s="198" t="s">
        <v>112</v>
      </c>
      <c r="D157" s="198"/>
      <c r="E157" s="198" t="s">
        <v>2484</v>
      </c>
      <c r="F157" s="198" t="s">
        <v>2485</v>
      </c>
      <c r="H157" s="42" t="s">
        <v>1654</v>
      </c>
      <c r="I157" s="148" t="s">
        <v>1655</v>
      </c>
      <c r="J157" s="148" t="s">
        <v>1656</v>
      </c>
      <c r="K157" s="148" t="s">
        <v>1657</v>
      </c>
      <c r="L157" s="148" t="s">
        <v>1658</v>
      </c>
      <c r="M157" s="148" t="s">
        <v>2153</v>
      </c>
      <c r="N157" s="43" t="s">
        <v>949</v>
      </c>
    </row>
    <row r="158" spans="1:14" x14ac:dyDescent="0.2">
      <c r="A158" s="200" t="s">
        <v>2022</v>
      </c>
      <c r="B158" s="198" t="s">
        <v>1305</v>
      </c>
      <c r="C158" s="198" t="s">
        <v>112</v>
      </c>
      <c r="D158" s="198"/>
      <c r="E158" s="198" t="s">
        <v>1305</v>
      </c>
      <c r="F158" s="198" t="s">
        <v>2023</v>
      </c>
      <c r="H158" s="42" t="s">
        <v>1659</v>
      </c>
      <c r="I158" s="148" t="s">
        <v>1660</v>
      </c>
      <c r="J158" s="148" t="s">
        <v>1661</v>
      </c>
      <c r="K158" s="148" t="s">
        <v>1662</v>
      </c>
      <c r="L158" s="148" t="s">
        <v>1663</v>
      </c>
      <c r="M158" s="148" t="s">
        <v>2153</v>
      </c>
      <c r="N158" s="43" t="s">
        <v>949</v>
      </c>
    </row>
    <row r="159" spans="1:14" x14ac:dyDescent="0.2">
      <c r="A159" s="200" t="s">
        <v>129</v>
      </c>
      <c r="B159" s="198" t="s">
        <v>128</v>
      </c>
      <c r="C159" s="198" t="s">
        <v>112</v>
      </c>
      <c r="D159" s="198"/>
      <c r="E159" s="198" t="s">
        <v>128</v>
      </c>
      <c r="F159" s="198" t="s">
        <v>933</v>
      </c>
      <c r="H159" s="42" t="s">
        <v>1664</v>
      </c>
      <c r="I159" s="148" t="s">
        <v>1665</v>
      </c>
      <c r="J159" s="148" t="s">
        <v>1666</v>
      </c>
      <c r="K159" s="148" t="s">
        <v>1667</v>
      </c>
      <c r="L159" s="148" t="s">
        <v>1668</v>
      </c>
      <c r="M159" s="148" t="s">
        <v>2153</v>
      </c>
      <c r="N159" s="43" t="s">
        <v>949</v>
      </c>
    </row>
    <row r="160" spans="1:14" x14ac:dyDescent="0.2">
      <c r="A160" s="200" t="s">
        <v>127</v>
      </c>
      <c r="B160" s="198" t="s">
        <v>126</v>
      </c>
      <c r="C160" s="198" t="s">
        <v>112</v>
      </c>
      <c r="D160" s="198"/>
      <c r="E160" s="198" t="s">
        <v>126</v>
      </c>
      <c r="F160" s="198" t="s">
        <v>934</v>
      </c>
      <c r="H160" s="42" t="s">
        <v>1774</v>
      </c>
      <c r="I160" s="148" t="s">
        <v>1775</v>
      </c>
      <c r="J160" s="148" t="s">
        <v>1776</v>
      </c>
      <c r="K160" s="148" t="s">
        <v>1777</v>
      </c>
      <c r="L160" s="148" t="s">
        <v>1778</v>
      </c>
      <c r="M160" s="148" t="s">
        <v>2153</v>
      </c>
      <c r="N160" s="43" t="s">
        <v>949</v>
      </c>
    </row>
    <row r="161" spans="1:14" x14ac:dyDescent="0.2">
      <c r="A161" s="200" t="s">
        <v>125</v>
      </c>
      <c r="B161" s="198" t="s">
        <v>124</v>
      </c>
      <c r="C161" s="198" t="s">
        <v>112</v>
      </c>
      <c r="D161" s="198"/>
      <c r="E161" s="198" t="s">
        <v>124</v>
      </c>
      <c r="F161" s="198" t="s">
        <v>935</v>
      </c>
      <c r="H161" s="42" t="s">
        <v>1779</v>
      </c>
      <c r="I161" s="148" t="s">
        <v>1780</v>
      </c>
      <c r="J161" s="148" t="s">
        <v>1781</v>
      </c>
      <c r="K161" s="148" t="s">
        <v>1782</v>
      </c>
      <c r="L161" s="148" t="s">
        <v>1783</v>
      </c>
      <c r="M161" s="148" t="s">
        <v>2153</v>
      </c>
      <c r="N161" s="43" t="s">
        <v>949</v>
      </c>
    </row>
    <row r="162" spans="1:14" x14ac:dyDescent="0.2">
      <c r="A162" s="200" t="s">
        <v>2024</v>
      </c>
      <c r="B162" s="198" t="s">
        <v>2025</v>
      </c>
      <c r="C162" s="198" t="s">
        <v>112</v>
      </c>
      <c r="D162" s="198"/>
      <c r="E162" s="198" t="s">
        <v>2025</v>
      </c>
      <c r="F162" s="198" t="s">
        <v>2026</v>
      </c>
      <c r="H162" s="42" t="s">
        <v>1804</v>
      </c>
      <c r="I162" s="148" t="s">
        <v>1805</v>
      </c>
      <c r="J162" s="148" t="s">
        <v>1806</v>
      </c>
      <c r="K162" s="148" t="s">
        <v>1807</v>
      </c>
      <c r="L162" s="148" t="s">
        <v>1808</v>
      </c>
      <c r="M162" s="148" t="s">
        <v>2153</v>
      </c>
      <c r="N162" s="43" t="s">
        <v>949</v>
      </c>
    </row>
    <row r="163" spans="1:14" x14ac:dyDescent="0.2">
      <c r="A163" s="200" t="s">
        <v>2027</v>
      </c>
      <c r="B163" s="198" t="s">
        <v>2028</v>
      </c>
      <c r="C163" s="198" t="s">
        <v>112</v>
      </c>
      <c r="D163" s="198"/>
      <c r="E163" s="198" t="s">
        <v>2028</v>
      </c>
      <c r="F163" s="198" t="s">
        <v>2029</v>
      </c>
      <c r="H163" s="42" t="s">
        <v>1784</v>
      </c>
      <c r="I163" s="148" t="s">
        <v>1785</v>
      </c>
      <c r="J163" s="148" t="s">
        <v>1786</v>
      </c>
      <c r="K163" s="148" t="s">
        <v>1787</v>
      </c>
      <c r="L163" s="148" t="s">
        <v>1788</v>
      </c>
      <c r="M163" s="148" t="s">
        <v>2153</v>
      </c>
      <c r="N163" s="43" t="s">
        <v>949</v>
      </c>
    </row>
    <row r="164" spans="1:14" x14ac:dyDescent="0.2">
      <c r="A164" s="200" t="s">
        <v>2486</v>
      </c>
      <c r="B164" s="198" t="s">
        <v>123</v>
      </c>
      <c r="C164" s="198" t="s">
        <v>112</v>
      </c>
      <c r="D164" s="198"/>
      <c r="E164" s="198" t="s">
        <v>123</v>
      </c>
      <c r="F164" s="198" t="s">
        <v>936</v>
      </c>
      <c r="H164" s="42" t="s">
        <v>1669</v>
      </c>
      <c r="I164" s="148" t="s">
        <v>1670</v>
      </c>
      <c r="J164" s="148" t="s">
        <v>1671</v>
      </c>
      <c r="K164" s="148" t="s">
        <v>1672</v>
      </c>
      <c r="L164" s="148" t="s">
        <v>1673</v>
      </c>
      <c r="M164" s="148" t="s">
        <v>2153</v>
      </c>
      <c r="N164" s="43" t="s">
        <v>949</v>
      </c>
    </row>
    <row r="165" spans="1:14" x14ac:dyDescent="0.2">
      <c r="A165" s="200" t="s">
        <v>122</v>
      </c>
      <c r="B165" s="198" t="s">
        <v>121</v>
      </c>
      <c r="C165" s="198" t="s">
        <v>112</v>
      </c>
      <c r="D165" s="198"/>
      <c r="E165" s="198" t="s">
        <v>121</v>
      </c>
      <c r="F165" s="198" t="s">
        <v>937</v>
      </c>
      <c r="H165" s="42" t="s">
        <v>1674</v>
      </c>
      <c r="I165" s="148" t="s">
        <v>1675</v>
      </c>
      <c r="J165" s="148" t="s">
        <v>1676</v>
      </c>
      <c r="K165" s="148" t="s">
        <v>1677</v>
      </c>
      <c r="L165" s="148" t="s">
        <v>1678</v>
      </c>
      <c r="M165" s="148" t="s">
        <v>2153</v>
      </c>
      <c r="N165" s="43" t="s">
        <v>949</v>
      </c>
    </row>
    <row r="166" spans="1:14" x14ac:dyDescent="0.2">
      <c r="A166" s="200" t="s">
        <v>2030</v>
      </c>
      <c r="B166" s="198" t="s">
        <v>2031</v>
      </c>
      <c r="C166" s="198" t="s">
        <v>112</v>
      </c>
      <c r="D166" s="198"/>
      <c r="E166" s="198" t="s">
        <v>2031</v>
      </c>
      <c r="F166" s="198" t="s">
        <v>2032</v>
      </c>
      <c r="H166" s="42" t="s">
        <v>1679</v>
      </c>
      <c r="I166" s="148" t="s">
        <v>1680</v>
      </c>
      <c r="J166" s="148" t="s">
        <v>1681</v>
      </c>
      <c r="K166" s="148" t="s">
        <v>1682</v>
      </c>
      <c r="L166" s="148" t="s">
        <v>1683</v>
      </c>
      <c r="M166" s="148" t="s">
        <v>2153</v>
      </c>
      <c r="N166" s="43" t="s">
        <v>949</v>
      </c>
    </row>
    <row r="167" spans="1:14" x14ac:dyDescent="0.2">
      <c r="A167" s="200" t="s">
        <v>118</v>
      </c>
      <c r="B167" s="198" t="s">
        <v>117</v>
      </c>
      <c r="C167" s="198" t="s">
        <v>112</v>
      </c>
      <c r="D167" s="198"/>
      <c r="E167" s="198" t="s">
        <v>117</v>
      </c>
      <c r="F167" s="198" t="s">
        <v>938</v>
      </c>
      <c r="H167" s="42" t="s">
        <v>1684</v>
      </c>
      <c r="I167" s="148" t="s">
        <v>1685</v>
      </c>
      <c r="J167" s="148" t="s">
        <v>1686</v>
      </c>
      <c r="K167" s="148" t="s">
        <v>1687</v>
      </c>
      <c r="L167" s="148" t="s">
        <v>1688</v>
      </c>
      <c r="M167" s="148" t="s">
        <v>2153</v>
      </c>
      <c r="N167" s="43" t="s">
        <v>949</v>
      </c>
    </row>
    <row r="168" spans="1:14" x14ac:dyDescent="0.2">
      <c r="A168" s="200" t="s">
        <v>116</v>
      </c>
      <c r="B168" s="198" t="s">
        <v>115</v>
      </c>
      <c r="C168" s="198" t="s">
        <v>112</v>
      </c>
      <c r="D168" s="198"/>
      <c r="E168" s="198" t="s">
        <v>115</v>
      </c>
      <c r="F168" s="198" t="s">
        <v>939</v>
      </c>
      <c r="H168" s="42" t="s">
        <v>1694</v>
      </c>
      <c r="I168" s="148" t="s">
        <v>1695</v>
      </c>
      <c r="J168" s="148" t="s">
        <v>1696</v>
      </c>
      <c r="K168" s="148" t="s">
        <v>1697</v>
      </c>
      <c r="L168" s="148" t="s">
        <v>1698</v>
      </c>
      <c r="M168" s="148" t="s">
        <v>2153</v>
      </c>
      <c r="N168" s="43" t="s">
        <v>949</v>
      </c>
    </row>
    <row r="169" spans="1:14" x14ac:dyDescent="0.2">
      <c r="A169" s="200" t="s">
        <v>2033</v>
      </c>
      <c r="B169" s="198" t="s">
        <v>2034</v>
      </c>
      <c r="C169" s="198" t="s">
        <v>112</v>
      </c>
      <c r="D169" s="198"/>
      <c r="E169" s="198" t="s">
        <v>2034</v>
      </c>
      <c r="F169" s="198" t="s">
        <v>2035</v>
      </c>
      <c r="H169" s="42" t="s">
        <v>1809</v>
      </c>
      <c r="I169" s="148" t="s">
        <v>1810</v>
      </c>
      <c r="J169" s="148" t="s">
        <v>1811</v>
      </c>
      <c r="K169" s="148" t="s">
        <v>1812</v>
      </c>
      <c r="L169" s="148" t="s">
        <v>1813</v>
      </c>
      <c r="M169" s="148" t="s">
        <v>2153</v>
      </c>
      <c r="N169" s="43" t="s">
        <v>949</v>
      </c>
    </row>
    <row r="170" spans="1:14" x14ac:dyDescent="0.2">
      <c r="A170" s="200" t="s">
        <v>2036</v>
      </c>
      <c r="B170" s="198" t="s">
        <v>2037</v>
      </c>
      <c r="C170" s="198" t="s">
        <v>112</v>
      </c>
      <c r="D170" s="198"/>
      <c r="E170" s="198" t="s">
        <v>2037</v>
      </c>
      <c r="F170" s="198" t="s">
        <v>2038</v>
      </c>
      <c r="H170" s="42" t="s">
        <v>1714</v>
      </c>
      <c r="I170" s="148" t="s">
        <v>1715</v>
      </c>
      <c r="J170" s="148" t="s">
        <v>1716</v>
      </c>
      <c r="K170" s="148" t="s">
        <v>1717</v>
      </c>
      <c r="L170" s="148" t="s">
        <v>1718</v>
      </c>
      <c r="M170" s="148" t="s">
        <v>2153</v>
      </c>
      <c r="N170" s="43" t="s">
        <v>949</v>
      </c>
    </row>
    <row r="171" spans="1:14" x14ac:dyDescent="0.2">
      <c r="A171" s="200" t="s">
        <v>111</v>
      </c>
      <c r="B171" s="198" t="s">
        <v>110</v>
      </c>
      <c r="C171" s="198" t="s">
        <v>112</v>
      </c>
      <c r="D171" s="198"/>
      <c r="E171" s="198" t="s">
        <v>110</v>
      </c>
      <c r="F171" s="198" t="s">
        <v>941</v>
      </c>
      <c r="H171" s="42" t="s">
        <v>1709</v>
      </c>
      <c r="I171" s="148" t="s">
        <v>1710</v>
      </c>
      <c r="J171" s="148" t="s">
        <v>1711</v>
      </c>
      <c r="K171" s="148" t="s">
        <v>1712</v>
      </c>
      <c r="L171" s="148" t="s">
        <v>1713</v>
      </c>
      <c r="M171" s="148" t="s">
        <v>2153</v>
      </c>
      <c r="N171" s="43" t="s">
        <v>949</v>
      </c>
    </row>
    <row r="172" spans="1:14" x14ac:dyDescent="0.2">
      <c r="A172" s="200" t="s">
        <v>114</v>
      </c>
      <c r="B172" s="198" t="s">
        <v>113</v>
      </c>
      <c r="C172" s="198" t="s">
        <v>112</v>
      </c>
      <c r="D172" s="198"/>
      <c r="E172" s="198" t="s">
        <v>113</v>
      </c>
      <c r="F172" s="198" t="s">
        <v>940</v>
      </c>
      <c r="H172" s="42" t="s">
        <v>1719</v>
      </c>
      <c r="I172" s="148" t="s">
        <v>1720</v>
      </c>
      <c r="J172" s="148" t="s">
        <v>1721</v>
      </c>
      <c r="K172" s="148" t="s">
        <v>1722</v>
      </c>
      <c r="L172" s="148" t="s">
        <v>1723</v>
      </c>
      <c r="M172" s="148" t="s">
        <v>2153</v>
      </c>
      <c r="N172" s="43" t="s">
        <v>949</v>
      </c>
    </row>
    <row r="173" spans="1:14" x14ac:dyDescent="0.2">
      <c r="A173" s="200" t="s">
        <v>2039</v>
      </c>
      <c r="B173" s="198" t="s">
        <v>2040</v>
      </c>
      <c r="C173" s="198" t="s">
        <v>112</v>
      </c>
      <c r="D173" s="198"/>
      <c r="E173" s="198" t="s">
        <v>2040</v>
      </c>
      <c r="F173" s="198" t="s">
        <v>2041</v>
      </c>
      <c r="H173" s="42" t="s">
        <v>1724</v>
      </c>
      <c r="I173" s="148" t="s">
        <v>1725</v>
      </c>
      <c r="J173" s="148" t="s">
        <v>1726</v>
      </c>
      <c r="K173" s="148" t="s">
        <v>1727</v>
      </c>
      <c r="L173" s="148" t="s">
        <v>1728</v>
      </c>
      <c r="M173" s="148" t="s">
        <v>2153</v>
      </c>
      <c r="N173" s="43" t="s">
        <v>949</v>
      </c>
    </row>
    <row r="174" spans="1:14" x14ac:dyDescent="0.2">
      <c r="A174" s="200" t="s">
        <v>312</v>
      </c>
      <c r="B174" s="198" t="s">
        <v>311</v>
      </c>
      <c r="C174" s="198" t="s">
        <v>112</v>
      </c>
      <c r="D174" s="1"/>
      <c r="E174" s="198" t="s">
        <v>311</v>
      </c>
      <c r="F174" s="198" t="s">
        <v>889</v>
      </c>
      <c r="H174" s="42" t="s">
        <v>1814</v>
      </c>
      <c r="I174" s="148" t="s">
        <v>1815</v>
      </c>
      <c r="J174" s="148" t="s">
        <v>1816</v>
      </c>
      <c r="K174" s="148" t="s">
        <v>1817</v>
      </c>
      <c r="L174" s="148" t="s">
        <v>1818</v>
      </c>
      <c r="M174" s="148" t="s">
        <v>2153</v>
      </c>
      <c r="N174" s="43" t="s">
        <v>949</v>
      </c>
    </row>
    <row r="175" spans="1:14" x14ac:dyDescent="0.2">
      <c r="A175" s="200" t="s">
        <v>2042</v>
      </c>
      <c r="B175" s="198" t="s">
        <v>2043</v>
      </c>
      <c r="C175" s="198" t="s">
        <v>112</v>
      </c>
      <c r="D175" s="198"/>
      <c r="E175" s="198" t="s">
        <v>2043</v>
      </c>
      <c r="F175" s="198" t="s">
        <v>2044</v>
      </c>
      <c r="H175" s="42" t="s">
        <v>1819</v>
      </c>
      <c r="I175" s="148" t="s">
        <v>1820</v>
      </c>
      <c r="J175" s="148" t="s">
        <v>1821</v>
      </c>
      <c r="K175" s="148" t="s">
        <v>1822</v>
      </c>
      <c r="L175" s="148" t="s">
        <v>1823</v>
      </c>
      <c r="M175" s="144" t="s">
        <v>2153</v>
      </c>
      <c r="N175" s="150" t="s">
        <v>950</v>
      </c>
    </row>
    <row r="176" spans="1:14" x14ac:dyDescent="0.2">
      <c r="H176" s="42" t="s">
        <v>1457</v>
      </c>
      <c r="I176" s="148" t="s">
        <v>1458</v>
      </c>
      <c r="J176" s="148" t="s">
        <v>1459</v>
      </c>
      <c r="K176" s="148" t="s">
        <v>1460</v>
      </c>
      <c r="L176" s="148" t="s">
        <v>1461</v>
      </c>
      <c r="M176" s="148" t="s">
        <v>2154</v>
      </c>
      <c r="N176" s="43" t="s">
        <v>949</v>
      </c>
    </row>
    <row r="177" spans="8:14" x14ac:dyDescent="0.2">
      <c r="H177" s="42" t="s">
        <v>1462</v>
      </c>
      <c r="I177" s="148" t="s">
        <v>1463</v>
      </c>
      <c r="J177" s="148" t="s">
        <v>1464</v>
      </c>
      <c r="K177" s="148" t="s">
        <v>1465</v>
      </c>
      <c r="L177" s="148" t="s">
        <v>1466</v>
      </c>
      <c r="M177" s="148" t="s">
        <v>2154</v>
      </c>
      <c r="N177" s="43" t="s">
        <v>949</v>
      </c>
    </row>
    <row r="178" spans="8:14" x14ac:dyDescent="0.2">
      <c r="H178" s="42" t="s">
        <v>1467</v>
      </c>
      <c r="I178" s="148" t="s">
        <v>1468</v>
      </c>
      <c r="J178" s="148" t="s">
        <v>1469</v>
      </c>
      <c r="K178" s="148" t="s">
        <v>1470</v>
      </c>
      <c r="L178" s="148" t="s">
        <v>1471</v>
      </c>
      <c r="M178" s="148" t="s">
        <v>2154</v>
      </c>
      <c r="N178" s="43" t="s">
        <v>949</v>
      </c>
    </row>
    <row r="179" spans="8:14" x14ac:dyDescent="0.2">
      <c r="H179" s="42" t="s">
        <v>1472</v>
      </c>
      <c r="I179" s="148" t="s">
        <v>1473</v>
      </c>
      <c r="J179" s="148" t="s">
        <v>1474</v>
      </c>
      <c r="K179" s="148" t="s">
        <v>1475</v>
      </c>
      <c r="L179" s="148" t="s">
        <v>1476</v>
      </c>
      <c r="M179" s="148" t="s">
        <v>2154</v>
      </c>
      <c r="N179" s="43" t="s">
        <v>949</v>
      </c>
    </row>
    <row r="180" spans="8:14" x14ac:dyDescent="0.2">
      <c r="H180" s="42" t="s">
        <v>1477</v>
      </c>
      <c r="I180" s="148" t="s">
        <v>1478</v>
      </c>
      <c r="J180" s="148" t="s">
        <v>1479</v>
      </c>
      <c r="K180" s="148" t="s">
        <v>1480</v>
      </c>
      <c r="L180" s="148" t="s">
        <v>1481</v>
      </c>
      <c r="M180" s="148" t="s">
        <v>2154</v>
      </c>
      <c r="N180" s="43" t="s">
        <v>949</v>
      </c>
    </row>
    <row r="181" spans="8:14" x14ac:dyDescent="0.2">
      <c r="H181" s="42" t="s">
        <v>1482</v>
      </c>
      <c r="I181" s="148" t="s">
        <v>1483</v>
      </c>
      <c r="J181" s="148" t="s">
        <v>1484</v>
      </c>
      <c r="K181" s="148" t="s">
        <v>1485</v>
      </c>
      <c r="L181" s="148" t="s">
        <v>1486</v>
      </c>
      <c r="M181" s="148" t="s">
        <v>2154</v>
      </c>
      <c r="N181" s="43" t="s">
        <v>949</v>
      </c>
    </row>
    <row r="182" spans="8:14" x14ac:dyDescent="0.2">
      <c r="H182" s="42" t="s">
        <v>1487</v>
      </c>
      <c r="I182" s="148" t="s">
        <v>1488</v>
      </c>
      <c r="J182" s="148" t="s">
        <v>1489</v>
      </c>
      <c r="K182" s="148" t="s">
        <v>1490</v>
      </c>
      <c r="L182" s="148" t="s">
        <v>1491</v>
      </c>
      <c r="M182" s="148" t="s">
        <v>2154</v>
      </c>
      <c r="N182" s="43" t="s">
        <v>949</v>
      </c>
    </row>
    <row r="183" spans="8:14" x14ac:dyDescent="0.2">
      <c r="H183" s="42" t="s">
        <v>1492</v>
      </c>
      <c r="I183" s="148" t="s">
        <v>1493</v>
      </c>
      <c r="J183" s="148" t="s">
        <v>1494</v>
      </c>
      <c r="K183" s="148" t="s">
        <v>1495</v>
      </c>
      <c r="L183" s="148" t="s">
        <v>1496</v>
      </c>
      <c r="M183" s="148" t="s">
        <v>2154</v>
      </c>
      <c r="N183" s="43" t="s">
        <v>949</v>
      </c>
    </row>
    <row r="184" spans="8:14" x14ac:dyDescent="0.2">
      <c r="H184" s="42" t="s">
        <v>1497</v>
      </c>
      <c r="I184" s="148" t="s">
        <v>1498</v>
      </c>
      <c r="J184" s="148" t="s">
        <v>1499</v>
      </c>
      <c r="K184" s="148" t="s">
        <v>1500</v>
      </c>
      <c r="L184" s="148" t="s">
        <v>1501</v>
      </c>
      <c r="M184" s="148" t="s">
        <v>2154</v>
      </c>
      <c r="N184" s="43" t="s">
        <v>949</v>
      </c>
    </row>
    <row r="185" spans="8:14" x14ac:dyDescent="0.2">
      <c r="H185" s="42" t="s">
        <v>1502</v>
      </c>
      <c r="I185" s="148" t="s">
        <v>1503</v>
      </c>
      <c r="J185" s="148" t="s">
        <v>1504</v>
      </c>
      <c r="K185" s="148" t="s">
        <v>1505</v>
      </c>
      <c r="L185" s="148" t="s">
        <v>1506</v>
      </c>
      <c r="M185" s="148" t="s">
        <v>2154</v>
      </c>
      <c r="N185" s="43" t="s">
        <v>949</v>
      </c>
    </row>
    <row r="186" spans="8:14" x14ac:dyDescent="0.2">
      <c r="H186" s="42" t="s">
        <v>1507</v>
      </c>
      <c r="I186" s="148" t="s">
        <v>1508</v>
      </c>
      <c r="J186" s="148" t="s">
        <v>1509</v>
      </c>
      <c r="K186" s="148" t="s">
        <v>1510</v>
      </c>
      <c r="L186" s="148" t="s">
        <v>1511</v>
      </c>
      <c r="M186" s="148" t="s">
        <v>2154</v>
      </c>
      <c r="N186" s="43" t="s">
        <v>949</v>
      </c>
    </row>
    <row r="187" spans="8:14" x14ac:dyDescent="0.2">
      <c r="H187" s="42" t="s">
        <v>1512</v>
      </c>
      <c r="I187" s="148" t="s">
        <v>1513</v>
      </c>
      <c r="J187" s="148" t="s">
        <v>1514</v>
      </c>
      <c r="K187" s="148" t="s">
        <v>1515</v>
      </c>
      <c r="L187" s="148" t="s">
        <v>1516</v>
      </c>
      <c r="M187" s="148" t="s">
        <v>2154</v>
      </c>
      <c r="N187" s="43" t="s">
        <v>949</v>
      </c>
    </row>
    <row r="188" spans="8:14" x14ac:dyDescent="0.2">
      <c r="H188" s="42" t="s">
        <v>1517</v>
      </c>
      <c r="I188" s="148" t="s">
        <v>1518</v>
      </c>
      <c r="J188" s="148" t="s">
        <v>1519</v>
      </c>
      <c r="K188" s="148" t="s">
        <v>1520</v>
      </c>
      <c r="L188" s="148" t="s">
        <v>1521</v>
      </c>
      <c r="M188" s="148" t="s">
        <v>2154</v>
      </c>
      <c r="N188" s="43" t="s">
        <v>949</v>
      </c>
    </row>
    <row r="189" spans="8:14" x14ac:dyDescent="0.2">
      <c r="H189" s="42" t="s">
        <v>1522</v>
      </c>
      <c r="I189" s="148" t="s">
        <v>1523</v>
      </c>
      <c r="J189" s="148" t="s">
        <v>1524</v>
      </c>
      <c r="K189" s="148" t="s">
        <v>1525</v>
      </c>
      <c r="L189" s="148" t="s">
        <v>1526</v>
      </c>
      <c r="M189" s="148" t="s">
        <v>2154</v>
      </c>
      <c r="N189" s="43" t="s">
        <v>949</v>
      </c>
    </row>
    <row r="190" spans="8:14" x14ac:dyDescent="0.2">
      <c r="H190" s="42" t="s">
        <v>1527</v>
      </c>
      <c r="I190" s="148" t="s">
        <v>1528</v>
      </c>
      <c r="J190" s="148" t="s">
        <v>1529</v>
      </c>
      <c r="K190" s="148" t="s">
        <v>1530</v>
      </c>
      <c r="L190" s="148" t="s">
        <v>1531</v>
      </c>
      <c r="M190" s="148" t="s">
        <v>2154</v>
      </c>
      <c r="N190" s="43" t="s">
        <v>949</v>
      </c>
    </row>
    <row r="191" spans="8:14" x14ac:dyDescent="0.2">
      <c r="H191" s="42" t="s">
        <v>1532</v>
      </c>
      <c r="I191" s="148" t="s">
        <v>1533</v>
      </c>
      <c r="J191" s="148" t="s">
        <v>1534</v>
      </c>
      <c r="K191" s="148" t="s">
        <v>1535</v>
      </c>
      <c r="L191" s="148" t="s">
        <v>1536</v>
      </c>
      <c r="M191" s="148" t="s">
        <v>2154</v>
      </c>
      <c r="N191" s="43" t="s">
        <v>949</v>
      </c>
    </row>
    <row r="192" spans="8:14" x14ac:dyDescent="0.2">
      <c r="H192" s="42" t="s">
        <v>1537</v>
      </c>
      <c r="I192" s="148" t="s">
        <v>1538</v>
      </c>
      <c r="J192" s="148" t="s">
        <v>1539</v>
      </c>
      <c r="K192" s="148" t="s">
        <v>1540</v>
      </c>
      <c r="L192" s="148" t="s">
        <v>1541</v>
      </c>
      <c r="M192" s="148" t="s">
        <v>2154</v>
      </c>
      <c r="N192" s="43" t="s">
        <v>949</v>
      </c>
    </row>
    <row r="193" spans="8:14" x14ac:dyDescent="0.2">
      <c r="H193" s="42" t="s">
        <v>1542</v>
      </c>
      <c r="I193" s="148" t="s">
        <v>1543</v>
      </c>
      <c r="J193" s="148" t="s">
        <v>1544</v>
      </c>
      <c r="K193" s="148" t="s">
        <v>1545</v>
      </c>
      <c r="L193" s="148" t="s">
        <v>1546</v>
      </c>
      <c r="M193" s="148" t="s">
        <v>2154</v>
      </c>
      <c r="N193" s="43" t="s">
        <v>949</v>
      </c>
    </row>
    <row r="194" spans="8:14" x14ac:dyDescent="0.2">
      <c r="H194" s="42" t="s">
        <v>1547</v>
      </c>
      <c r="I194" s="148" t="s">
        <v>1548</v>
      </c>
      <c r="J194" s="148" t="s">
        <v>1549</v>
      </c>
      <c r="K194" s="148" t="s">
        <v>1550</v>
      </c>
      <c r="L194" s="148" t="s">
        <v>1551</v>
      </c>
      <c r="M194" s="148" t="s">
        <v>2154</v>
      </c>
      <c r="N194" s="43" t="s">
        <v>949</v>
      </c>
    </row>
    <row r="195" spans="8:14" x14ac:dyDescent="0.2">
      <c r="H195" s="42" t="s">
        <v>1552</v>
      </c>
      <c r="I195" s="148" t="s">
        <v>1553</v>
      </c>
      <c r="J195" s="148" t="s">
        <v>1554</v>
      </c>
      <c r="K195" s="148" t="s">
        <v>1555</v>
      </c>
      <c r="L195" s="148" t="s">
        <v>1556</v>
      </c>
      <c r="M195" s="148" t="s">
        <v>2154</v>
      </c>
      <c r="N195" s="43" t="s">
        <v>949</v>
      </c>
    </row>
    <row r="196" spans="8:14" x14ac:dyDescent="0.2">
      <c r="H196" s="42" t="s">
        <v>1557</v>
      </c>
      <c r="I196" s="148" t="s">
        <v>1558</v>
      </c>
      <c r="J196" s="148" t="s">
        <v>1559</v>
      </c>
      <c r="K196" s="148" t="s">
        <v>1560</v>
      </c>
      <c r="L196" s="148" t="s">
        <v>1561</v>
      </c>
      <c r="M196" s="148" t="s">
        <v>2154</v>
      </c>
      <c r="N196" s="43" t="s">
        <v>949</v>
      </c>
    </row>
    <row r="197" spans="8:14" x14ac:dyDescent="0.2">
      <c r="H197" s="42" t="s">
        <v>1562</v>
      </c>
      <c r="I197" s="148" t="s">
        <v>1563</v>
      </c>
      <c r="J197" s="148" t="s">
        <v>1564</v>
      </c>
      <c r="K197" s="148" t="s">
        <v>1565</v>
      </c>
      <c r="L197" s="148" t="s">
        <v>1566</v>
      </c>
      <c r="M197" s="148" t="s">
        <v>2154</v>
      </c>
      <c r="N197" s="43" t="s">
        <v>949</v>
      </c>
    </row>
    <row r="198" spans="8:14" x14ac:dyDescent="0.2">
      <c r="H198" s="42" t="s">
        <v>1567</v>
      </c>
      <c r="I198" s="148" t="s">
        <v>1568</v>
      </c>
      <c r="J198" s="148" t="s">
        <v>1569</v>
      </c>
      <c r="K198" s="148" t="s">
        <v>1570</v>
      </c>
      <c r="L198" s="148" t="s">
        <v>1571</v>
      </c>
      <c r="M198" s="148" t="s">
        <v>2154</v>
      </c>
      <c r="N198" s="43" t="s">
        <v>949</v>
      </c>
    </row>
    <row r="199" spans="8:14" x14ac:dyDescent="0.2">
      <c r="H199" s="42" t="s">
        <v>1572</v>
      </c>
      <c r="I199" s="148" t="s">
        <v>1573</v>
      </c>
      <c r="J199" s="148" t="s">
        <v>1574</v>
      </c>
      <c r="K199" s="148" t="s">
        <v>1575</v>
      </c>
      <c r="L199" s="148" t="s">
        <v>1576</v>
      </c>
      <c r="M199" s="148" t="s">
        <v>2154</v>
      </c>
      <c r="N199" s="43" t="s">
        <v>949</v>
      </c>
    </row>
    <row r="200" spans="8:14" x14ac:dyDescent="0.2">
      <c r="H200" s="42" t="s">
        <v>1577</v>
      </c>
      <c r="I200" s="148" t="s">
        <v>1578</v>
      </c>
      <c r="J200" s="148" t="s">
        <v>1579</v>
      </c>
      <c r="K200" s="148" t="s">
        <v>1580</v>
      </c>
      <c r="L200" s="148" t="s">
        <v>1581</v>
      </c>
      <c r="M200" s="148" t="s">
        <v>2154</v>
      </c>
      <c r="N200" s="43" t="s">
        <v>949</v>
      </c>
    </row>
    <row r="201" spans="8:14" x14ac:dyDescent="0.2">
      <c r="H201" s="42" t="s">
        <v>1582</v>
      </c>
      <c r="I201" s="148" t="s">
        <v>1583</v>
      </c>
      <c r="J201" s="148" t="s">
        <v>1584</v>
      </c>
      <c r="K201" s="148" t="s">
        <v>1585</v>
      </c>
      <c r="L201" s="148" t="s">
        <v>1586</v>
      </c>
      <c r="M201" s="148" t="s">
        <v>2154</v>
      </c>
      <c r="N201" s="43" t="s">
        <v>949</v>
      </c>
    </row>
    <row r="202" spans="8:14" x14ac:dyDescent="0.2">
      <c r="H202" s="42" t="s">
        <v>1587</v>
      </c>
      <c r="I202" s="148" t="s">
        <v>1588</v>
      </c>
      <c r="J202" s="148" t="s">
        <v>1589</v>
      </c>
      <c r="K202" s="148" t="s">
        <v>1590</v>
      </c>
      <c r="L202" s="148" t="s">
        <v>1591</v>
      </c>
      <c r="M202" s="148" t="s">
        <v>2154</v>
      </c>
      <c r="N202" s="149" t="s">
        <v>951</v>
      </c>
    </row>
    <row r="203" spans="8:14" x14ac:dyDescent="0.2">
      <c r="H203" s="42" t="s">
        <v>1592</v>
      </c>
      <c r="I203" s="148" t="s">
        <v>1593</v>
      </c>
      <c r="J203" s="148" t="s">
        <v>1594</v>
      </c>
      <c r="K203" s="148"/>
      <c r="L203" s="148"/>
      <c r="M203" s="148" t="s">
        <v>2154</v>
      </c>
      <c r="N203" s="149" t="s">
        <v>951</v>
      </c>
    </row>
    <row r="204" spans="8:14" x14ac:dyDescent="0.2">
      <c r="H204" s="44" t="s">
        <v>1595</v>
      </c>
      <c r="I204" s="144" t="s">
        <v>1596</v>
      </c>
      <c r="J204" s="144" t="s">
        <v>1597</v>
      </c>
      <c r="K204" s="144" t="s">
        <v>1598</v>
      </c>
      <c r="L204" s="144" t="s">
        <v>1599</v>
      </c>
      <c r="M204" s="144" t="s">
        <v>2154</v>
      </c>
      <c r="N204" s="150" t="s">
        <v>950</v>
      </c>
    </row>
  </sheetData>
  <sheetProtection algorithmName="SHA-512" hashValue="SNM07aNP0DCBJ6HEMvqvhAuYII6agwZVJE05KkC841w2UttOcqCkKJKNk8w+49DK+vBBVayP7qLzhDq/bS59Gg==" saltValue="fl0qiQH7e5GDBwc0pbnzyQ==" spinCount="100000" sheet="1" objects="1" scenarios="1" formatCells="0" autoFilter="0"/>
  <sortState xmlns:xlrd2="http://schemas.microsoft.com/office/spreadsheetml/2017/richdata2" ref="Y44:Z45">
    <sortCondition ref="Y44"/>
  </sortState>
  <mergeCells count="46">
    <mergeCell ref="R113:R114"/>
    <mergeCell ref="S113:S121"/>
    <mergeCell ref="R115:R118"/>
    <mergeCell ref="S52:S67"/>
    <mergeCell ref="R60:R67"/>
    <mergeCell ref="R99:R103"/>
    <mergeCell ref="R95:R98"/>
    <mergeCell ref="S95:S103"/>
    <mergeCell ref="R86:R94"/>
    <mergeCell ref="S86:S94"/>
    <mergeCell ref="R104:R107"/>
    <mergeCell ref="S104:S112"/>
    <mergeCell ref="R108:R112"/>
    <mergeCell ref="R68:R73"/>
    <mergeCell ref="S68:S76"/>
    <mergeCell ref="R74:R75"/>
    <mergeCell ref="R77:R85"/>
    <mergeCell ref="S77:S85"/>
    <mergeCell ref="R52:R59"/>
    <mergeCell ref="R27:R39"/>
    <mergeCell ref="S27:S39"/>
    <mergeCell ref="R40:R46"/>
    <mergeCell ref="S40:S51"/>
    <mergeCell ref="R47:R51"/>
    <mergeCell ref="U53:V53"/>
    <mergeCell ref="U66:V66"/>
    <mergeCell ref="Y10:Z10"/>
    <mergeCell ref="U77:V77"/>
    <mergeCell ref="Y1:Z1"/>
    <mergeCell ref="Y50:Z50"/>
    <mergeCell ref="Y56:Z56"/>
    <mergeCell ref="A1:F1"/>
    <mergeCell ref="H1:N1"/>
    <mergeCell ref="Y41:Z41"/>
    <mergeCell ref="U1:W1"/>
    <mergeCell ref="AB1:AD1"/>
    <mergeCell ref="AB10:AD10"/>
    <mergeCell ref="Y34:Z34"/>
    <mergeCell ref="Y23:Z23"/>
    <mergeCell ref="P1:S1"/>
    <mergeCell ref="R3:R4"/>
    <mergeCell ref="S3:S7"/>
    <mergeCell ref="R5:R6"/>
    <mergeCell ref="R8:R15"/>
    <mergeCell ref="S8:S26"/>
    <mergeCell ref="R16:R26"/>
  </mergeCells>
  <pageMargins left="0.45" right="0.44" top="0.36" bottom="0.4" header="0.23" footer="0.32"/>
  <pageSetup paperSize="9" scale="54" fitToWidth="3" orientation="portrait" r:id="rId1"/>
  <headerFooter alignWithMargins="0"/>
  <colBreaks count="1" manualBreakCount="1">
    <brk id="2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79"/>
  <sheetViews>
    <sheetView showGridLines="0" zoomScale="90" zoomScaleNormal="90" workbookViewId="0">
      <pane ySplit="10" topLeftCell="A29" activePane="bottomLeft" state="frozen"/>
      <selection pane="bottomLeft" activeCell="F57" sqref="F57"/>
    </sheetView>
  </sheetViews>
  <sheetFormatPr defaultColWidth="10.140625" defaultRowHeight="12" x14ac:dyDescent="0.25"/>
  <cols>
    <col min="1" max="1" width="8.42578125" style="23" customWidth="1"/>
    <col min="2" max="3" width="7.7109375" style="23" customWidth="1"/>
    <col min="4" max="4" width="15.7109375" style="23" customWidth="1"/>
    <col min="5" max="5" width="13" style="23" customWidth="1"/>
    <col min="6" max="6" width="25.7109375" style="23" customWidth="1"/>
    <col min="7" max="7" width="16" style="50" bestFit="1" customWidth="1"/>
    <col min="8" max="8" width="91.42578125" style="23" customWidth="1"/>
    <col min="9" max="16384" width="10.140625" style="23"/>
  </cols>
  <sheetData>
    <row r="1" spans="1:8" ht="15.75" x14ac:dyDescent="0.25">
      <c r="A1" s="293" t="str">
        <f>VLOOKUP("G00",tblTrans3Langs[],LangNameID,FALSE) &amp;" ( "&amp;idiom&amp;" )"</f>
        <v>Instructions to complete the form ( ENG )</v>
      </c>
      <c r="B1" s="293"/>
      <c r="C1" s="293"/>
      <c r="D1" s="293"/>
      <c r="E1" s="293"/>
      <c r="F1" s="293"/>
      <c r="G1" s="293"/>
      <c r="H1" s="293"/>
    </row>
    <row r="2" spans="1:8" x14ac:dyDescent="0.25">
      <c r="A2" s="292" t="str">
        <f>VLOOKUP("G01",tblTrans3Langs[],LangFieldID,FALSE)</f>
        <v>General</v>
      </c>
      <c r="B2" s="292"/>
      <c r="C2" s="292"/>
      <c r="D2" s="292"/>
      <c r="E2" s="292"/>
    </row>
    <row r="3" spans="1:8" x14ac:dyDescent="0.25">
      <c r="A3" s="23" t="s">
        <v>772</v>
      </c>
      <c r="B3" s="308" t="str">
        <f>VLOOKUP("G01a",tblTrans3Langs[],LangNameID,FALSE)</f>
        <v>Complete as far as possible the Header and Detail sections (don't leave fields empty when information is known)</v>
      </c>
      <c r="C3" s="308"/>
      <c r="D3" s="308"/>
      <c r="E3" s="308"/>
      <c r="F3" s="308"/>
      <c r="G3" s="308"/>
      <c r="H3" s="308"/>
    </row>
    <row r="4" spans="1:8" x14ac:dyDescent="0.25">
      <c r="A4" s="23" t="s">
        <v>773</v>
      </c>
      <c r="B4" s="308" t="str">
        <f>VLOOKUP("G01b",tblTrans3Langs[],LangNameID,FALSE)</f>
        <v>In Header section, only white cells can be filled (manually or by selecting from the Combo Box the corresponding code)</v>
      </c>
      <c r="C4" s="308"/>
      <c r="D4" s="308"/>
      <c r="E4" s="308"/>
      <c r="F4" s="308"/>
      <c r="G4" s="308"/>
      <c r="H4" s="308"/>
    </row>
    <row r="5" spans="1:8" x14ac:dyDescent="0.25">
      <c r="A5" s="23" t="s">
        <v>774</v>
      </c>
      <c r="B5" s="308" t="str">
        <f>VLOOKUP("G01c",tblTrans3Langs[],LangNameID,FALSE)</f>
        <v>Always use ICCAT standard codes (when element "OTHERS" of various fields is required it must be explicitly described in "Notes")</v>
      </c>
      <c r="C5" s="308"/>
      <c r="D5" s="308"/>
      <c r="E5" s="308"/>
      <c r="F5" s="308"/>
      <c r="G5" s="308"/>
      <c r="H5" s="308"/>
    </row>
    <row r="6" spans="1:8" x14ac:dyDescent="0.25">
      <c r="A6" s="23" t="s">
        <v>775</v>
      </c>
      <c r="B6" s="308" t="str">
        <f>VLOOKUP("G01d",tblTrans3Langs[],LangNameID,FALSE)</f>
        <v>Recommendation for users with databases: To paste an entire dataset into the Detail section (must have the same structure and format) use "Paste special (values)"</v>
      </c>
      <c r="C6" s="308"/>
      <c r="D6" s="308"/>
      <c r="E6" s="308"/>
      <c r="F6" s="308"/>
      <c r="G6" s="308"/>
      <c r="H6" s="308"/>
    </row>
    <row r="7" spans="1:8" x14ac:dyDescent="0.25">
      <c r="A7" s="23" t="s">
        <v>776</v>
      </c>
      <c r="B7" s="308" t="str">
        <f>VLOOKUP("G01e",tblTrans3Langs[],LangNameID,FALSE)</f>
        <v>Leave "blank" the fields for which you don't collect information</v>
      </c>
      <c r="C7" s="308"/>
      <c r="D7" s="308"/>
      <c r="E7" s="308"/>
      <c r="F7" s="308"/>
      <c r="G7" s="308"/>
      <c r="H7" s="308"/>
    </row>
    <row r="8" spans="1:8" x14ac:dyDescent="0.25">
      <c r="B8" s="24"/>
      <c r="C8" s="24"/>
      <c r="D8" s="24"/>
      <c r="E8" s="24"/>
    </row>
    <row r="9" spans="1:8" x14ac:dyDescent="0.25">
      <c r="A9" s="323" t="str">
        <f>VLOOKUP("S00",tblTrans3Langs[],LangFieldID,FALSE)</f>
        <v>Specific (by field)</v>
      </c>
      <c r="B9" s="323"/>
      <c r="C9" s="323"/>
      <c r="D9" s="323"/>
      <c r="E9" s="323"/>
    </row>
    <row r="10" spans="1:8" s="24" customFormat="1" x14ac:dyDescent="0.25">
      <c r="A10" s="46" t="str">
        <f>VLOOKUP("SC01",tblTrans3Langs[],LangFieldID,FALSE)</f>
        <v>Form</v>
      </c>
      <c r="B10" s="47" t="str">
        <f>VLOOKUP("SC02",tblTrans3Langs[],LangFieldID,FALSE)</f>
        <v>Sub-form</v>
      </c>
      <c r="C10" s="47" t="str">
        <f>VLOOKUP("SC03",tblTrans3Langs[],LangFieldID,FALSE)</f>
        <v>Part</v>
      </c>
      <c r="D10" s="48" t="str">
        <f>VLOOKUP("SC04",tblTrans3Langs[],LangFieldID,FALSE)</f>
        <v>Section</v>
      </c>
      <c r="E10" s="49" t="str">
        <f>VLOOKUP("SC05",tblTrans3Langs[],LangFieldID,FALSE)</f>
        <v>Sub-section</v>
      </c>
      <c r="F10" s="51" t="str">
        <f>VLOOKUP("SC06",tblTrans3Langs[],LangFieldID,FALSE)</f>
        <v>Field (name)</v>
      </c>
      <c r="G10" s="51" t="str">
        <f>VLOOKUP("SC07",tblTrans3Langs[],LangFieldID,FALSE)</f>
        <v>Field (format)</v>
      </c>
      <c r="H10" s="47" t="str">
        <f>VLOOKUP("SC08",tblTrans3Langs[],LangFieldID,FALSE)</f>
        <v>Description</v>
      </c>
    </row>
    <row r="11" spans="1:8" s="24" customFormat="1" x14ac:dyDescent="0.25">
      <c r="A11" s="306" t="str">
        <f>VLOOKUP("T00",tblTrans3Langs[],LangFieldID,FALSE)</f>
        <v>ST04-T2SZ</v>
      </c>
      <c r="B11" s="321" t="str">
        <f>VLOOKUP("T03",tblTrans3Langs[],LangFieldID,FALSE)</f>
        <v>ST04A</v>
      </c>
      <c r="C11" s="312" t="str">
        <f>VLOOKUP("T02",tblTrans3Langs[],LangFieldID,FALSE)</f>
        <v>Title</v>
      </c>
      <c r="D11" s="313"/>
      <c r="E11" s="314"/>
      <c r="F11" s="25" t="str">
        <f>VLOOKUP("tVersion",tblTrans3Langs[],LangFieldID,FALSE)</f>
        <v>Version</v>
      </c>
      <c r="G11" s="52" t="str">
        <f>VLOOKUP("tVersion",tblTrans3Langs[],7,FALSE)</f>
        <v>(fixed)</v>
      </c>
      <c r="H11" s="26" t="str">
        <f>VLOOKUP("tVersion",tblTrans3Langs[],LangNameID,FALSE)</f>
        <v>Always use the lastest version of this form</v>
      </c>
    </row>
    <row r="12" spans="1:8" s="24" customFormat="1" x14ac:dyDescent="0.25">
      <c r="A12" s="306"/>
      <c r="B12" s="321"/>
      <c r="C12" s="315"/>
      <c r="D12" s="316"/>
      <c r="E12" s="317"/>
      <c r="F12" s="25" t="str">
        <f>VLOOKUP("tLang",tblTrans3Langs[],LangFieldID,FALSE)</f>
        <v>Language</v>
      </c>
      <c r="G12" s="52" t="str">
        <f>VLOOKUP("tLang",tblTrans3Langs[],7,FALSE)</f>
        <v>ICCAT code</v>
      </c>
      <c r="H12" s="27" t="str">
        <f>VLOOKUP("tLang",tblTrans3Langs[],LangNameID,FALSE)</f>
        <v>Choose the language (ENG, FRA, ESP) for form translation</v>
      </c>
    </row>
    <row r="13" spans="1:8" ht="12.4" customHeight="1" x14ac:dyDescent="0.25">
      <c r="A13" s="306"/>
      <c r="B13" s="321"/>
      <c r="C13" s="309" t="str">
        <f>VLOOKUP("H00",tblTrans3Langs[],LangFieldID,FALSE)</f>
        <v>Header</v>
      </c>
      <c r="D13" s="302" t="str">
        <f>VLOOKUP("H10",tblTrans3Langs[],LangFieldID,FALSE)</f>
        <v>Statistical Correspondent</v>
      </c>
      <c r="E13" s="302" t="str">
        <f>VLOOKUP("H11",tblTrans3Langs[],LangFieldID,FALSE)</f>
        <v>Identification</v>
      </c>
      <c r="F13" s="28" t="str">
        <f>VLOOKUP("hName",tblTrans3Langs[],LangFieldID,FALSE)</f>
        <v>Name</v>
      </c>
      <c r="G13" s="167" t="str">
        <f>VLOOKUP("hName",tblTrans3Langs[],7,FALSE)</f>
        <v>string</v>
      </c>
      <c r="H13" s="29" t="str">
        <f>VLOOKUP("hName",tblTrans3Langs[],LangNameID,FALSE)</f>
        <v>Name (full OR Name &amp; Surname) of the Statistical Correspondent (officially nominated by the CPC)</v>
      </c>
    </row>
    <row r="14" spans="1:8" x14ac:dyDescent="0.25">
      <c r="A14" s="306"/>
      <c r="B14" s="321"/>
      <c r="C14" s="310"/>
      <c r="D14" s="302"/>
      <c r="E14" s="302"/>
      <c r="F14" s="28" t="str">
        <f>VLOOKUP("hEmail",tblTrans3Langs[],LangFieldID,FALSE)</f>
        <v>E-mail</v>
      </c>
      <c r="G14" s="167" t="str">
        <f>VLOOKUP("hEmail",tblTrans3Langs[],7,FALSE)</f>
        <v>string</v>
      </c>
      <c r="H14" s="30" t="str">
        <f>VLOOKUP("hEmail",tblTrans3Langs[],LangNameID,FALSE)</f>
        <v>Email address of the Statistical Correspondent</v>
      </c>
    </row>
    <row r="15" spans="1:8" x14ac:dyDescent="0.25">
      <c r="A15" s="306"/>
      <c r="B15" s="321"/>
      <c r="C15" s="310"/>
      <c r="D15" s="302"/>
      <c r="E15" s="302"/>
      <c r="F15" s="28" t="str">
        <f>VLOOKUP("hPhone",tblTrans3Langs[],LangFieldID,FALSE)</f>
        <v>Phone</v>
      </c>
      <c r="G15" s="167" t="str">
        <f>VLOOKUP("hPhone",tblTrans3Langs[],7,FALSE)</f>
        <v>string</v>
      </c>
      <c r="H15" s="30" t="str">
        <f>VLOOKUP("hPhone",tblTrans3Langs[],LangNameID,FALSE)</f>
        <v>Telephone number of the Statistical Correspondent</v>
      </c>
    </row>
    <row r="16" spans="1:8" x14ac:dyDescent="0.25">
      <c r="A16" s="306"/>
      <c r="B16" s="321"/>
      <c r="C16" s="310"/>
      <c r="D16" s="302"/>
      <c r="E16" s="302" t="str">
        <f>VLOOKUP("H12",tblTrans3Langs[],LangFieldID,FALSE)</f>
        <v>Affiliation</v>
      </c>
      <c r="F16" s="28" t="str">
        <f>VLOOKUP("hInstit",tblTrans3Langs[],LangFieldID,FALSE)</f>
        <v>Institution</v>
      </c>
      <c r="G16" s="167" t="str">
        <f>VLOOKUP("hInstit",tblTrans3Langs[],7,FALSE)</f>
        <v>string</v>
      </c>
      <c r="H16" s="30" t="str">
        <f>VLOOKUP("hInstit",tblTrans3Langs[],LangNameID,FALSE)</f>
        <v>Institute (ministry, agency, research Institute, etc.) to which the Statistical Correspondent is affiliated</v>
      </c>
    </row>
    <row r="17" spans="1:8" x14ac:dyDescent="0.25">
      <c r="A17" s="306"/>
      <c r="B17" s="321"/>
      <c r="C17" s="310"/>
      <c r="D17" s="302"/>
      <c r="E17" s="302"/>
      <c r="F17" s="28" t="str">
        <f>VLOOKUP("hDepart",tblTrans3Langs[],LangFieldID,FALSE)</f>
        <v>Department</v>
      </c>
      <c r="G17" s="167" t="str">
        <f>VLOOKUP("hDepart",tblTrans3Langs[],7,FALSE)</f>
        <v>string</v>
      </c>
      <c r="H17" s="30" t="str">
        <f>VLOOKUP("hDepart",tblTrans3Langs[],LangNameID,FALSE)</f>
        <v>Department within the Institution, where applicable</v>
      </c>
    </row>
    <row r="18" spans="1:8" x14ac:dyDescent="0.25">
      <c r="A18" s="306"/>
      <c r="B18" s="321"/>
      <c r="C18" s="310"/>
      <c r="D18" s="302"/>
      <c r="E18" s="302"/>
      <c r="F18" s="28" t="str">
        <f>VLOOKUP("hAddress",tblTrans3Langs[],LangFieldID,FALSE)</f>
        <v>Address</v>
      </c>
      <c r="G18" s="167" t="str">
        <f>VLOOKUP("hAddress",tblTrans3Langs[],7,FALSE)</f>
        <v>string</v>
      </c>
      <c r="H18" s="30" t="str">
        <f>VLOOKUP("hAddress",tblTrans3Langs[],LangNameID,FALSE)</f>
        <v>Postal address of the institution (street, number, city, state)</v>
      </c>
    </row>
    <row r="19" spans="1:8" x14ac:dyDescent="0.25">
      <c r="A19" s="306"/>
      <c r="B19" s="321"/>
      <c r="C19" s="310"/>
      <c r="D19" s="302"/>
      <c r="E19" s="302"/>
      <c r="F19" s="28" t="str">
        <f>VLOOKUP("hCountry",tblTrans3Langs[],LangFieldID,FALSE)</f>
        <v>Country</v>
      </c>
      <c r="G19" s="167" t="str">
        <f>VLOOKUP("hCountry",tblTrans3Langs[],7,FALSE)</f>
        <v>ICCAT code</v>
      </c>
      <c r="H19" s="31" t="str">
        <f>VLOOKUP("hCountry",tblTrans3Langs[],LangNameID,FALSE)</f>
        <v>Country in which the Institution is based</v>
      </c>
    </row>
    <row r="20" spans="1:8" x14ac:dyDescent="0.25">
      <c r="A20" s="306"/>
      <c r="B20" s="321"/>
      <c r="C20" s="310"/>
      <c r="D20" s="298" t="str">
        <f>VLOOKUP("H20",tblTrans3Langs[],LangFieldID,FALSE)</f>
        <v>Secretariat use only</v>
      </c>
      <c r="E20" s="32"/>
      <c r="F20" s="28" t="str">
        <f>VLOOKUP("hDaterep",tblTrans3Langs[],LangFieldID,FALSE)</f>
        <v>Date reported</v>
      </c>
      <c r="G20" s="167" t="str">
        <f>VLOOKUP("hDaterep",tblTrans3Langs[],7,FALSE)</f>
        <v>date</v>
      </c>
      <c r="H20" s="29" t="str">
        <f>VLOOKUP("hDaterep",tblTrans3Langs[],LangNameID,FALSE)</f>
        <v>Secretariat use only</v>
      </c>
    </row>
    <row r="21" spans="1:8" x14ac:dyDescent="0.25">
      <c r="A21" s="306"/>
      <c r="B21" s="321"/>
      <c r="C21" s="310"/>
      <c r="D21" s="299"/>
      <c r="E21" s="33"/>
      <c r="F21" s="28" t="str">
        <f>VLOOKUP("hRef",tblTrans3Langs[],LangFieldID,FALSE)</f>
        <v>Reference Nº</v>
      </c>
      <c r="G21" s="167" t="str">
        <f>VLOOKUP("hRef",tblTrans3Langs[],7,FALSE)</f>
        <v>ICCAT code</v>
      </c>
      <c r="H21" s="30" t="str">
        <f>VLOOKUP("hRef",tblTrans3Langs[],LangNameID,FALSE)</f>
        <v>Secretariat use only</v>
      </c>
    </row>
    <row r="22" spans="1:8" x14ac:dyDescent="0.25">
      <c r="A22" s="306"/>
      <c r="B22" s="321"/>
      <c r="C22" s="310"/>
      <c r="D22" s="299"/>
      <c r="E22" s="33"/>
      <c r="F22" s="28" t="str">
        <f>VLOOKUP("hFname",tblTrans3Langs[],LangFieldID,FALSE)</f>
        <v>File name (proposed)</v>
      </c>
      <c r="G22" s="167" t="str">
        <f>VLOOKUP("hFname",tblTrans3Langs[],7,FALSE)</f>
        <v>string</v>
      </c>
      <c r="H22" s="30" t="str">
        <f>VLOOKUP("hFname",tblTrans3Langs[],LangNameID,FALSE)</f>
        <v>Send the form to ICCAT with the proposed file name (if required, suffix it with an ID at the end)</v>
      </c>
    </row>
    <row r="23" spans="1:8" x14ac:dyDescent="0.25">
      <c r="A23" s="306"/>
      <c r="B23" s="321"/>
      <c r="C23" s="310"/>
      <c r="D23" s="299"/>
      <c r="E23" s="300" t="str">
        <f>VLOOKUP("H21",tblTrans3Langs[],LangFieldID,FALSE)</f>
        <v>Filtering criteria</v>
      </c>
      <c r="F23" s="28" t="str">
        <f>VLOOKUP("hFilter1",tblTrans3Langs[],LangFieldID,FALSE)</f>
        <v>Filter 1</v>
      </c>
      <c r="G23" s="167" t="str">
        <f>VLOOKUP("hFilter1",tblTrans3Langs[],7,FALSE)</f>
        <v>boolean</v>
      </c>
      <c r="H23" s="30" t="str">
        <f>VLOOKUP("hFilter1",tblTrans3Langs[],LangNameID,FALSE)</f>
        <v>Secretariat use only</v>
      </c>
    </row>
    <row r="24" spans="1:8" x14ac:dyDescent="0.25">
      <c r="A24" s="306"/>
      <c r="B24" s="321"/>
      <c r="C24" s="310"/>
      <c r="D24" s="299"/>
      <c r="E24" s="301"/>
      <c r="F24" s="28" t="str">
        <f>VLOOKUP("hFilter2",tblTrans3Langs[],LangFieldID,FALSE)</f>
        <v>Filter 2</v>
      </c>
      <c r="G24" s="167" t="str">
        <f>VLOOKUP("hFilter2",tblTrans3Langs[],7,FALSE)</f>
        <v>boolean</v>
      </c>
      <c r="H24" s="31" t="str">
        <f>VLOOKUP("hFilter2",tblTrans3Langs[],LangNameID,FALSE)</f>
        <v>Secretariat use only</v>
      </c>
    </row>
    <row r="25" spans="1:8" x14ac:dyDescent="0.25">
      <c r="A25" s="306"/>
      <c r="B25" s="321"/>
      <c r="C25" s="310"/>
      <c r="D25" s="298" t="str">
        <f>VLOOKUP("H30",tblTrans3Langs[],LangFieldID,FALSE)</f>
        <v>Data set characteristics</v>
      </c>
      <c r="E25" s="138"/>
      <c r="F25" s="34" t="str">
        <f>VLOOKUP("hFlagrep",tblTrans3Langs[],LangFieldID,FALSE)</f>
        <v>Reporting Flag</v>
      </c>
      <c r="G25" s="167" t="str">
        <f>VLOOKUP("hFlagrep",tblTrans3Langs[],7,FALSE)</f>
        <v>ICCAT code</v>
      </c>
      <c r="H25" s="29" t="str">
        <f>VLOOKUP("hFlagrep",tblTrans3Langs[],LangNameID,FALSE)</f>
        <v>Choose the Flag CPC reporting the data (ICCAT codes)</v>
      </c>
    </row>
    <row r="26" spans="1:8" x14ac:dyDescent="0.25">
      <c r="A26" s="306"/>
      <c r="B26" s="321"/>
      <c r="C26" s="310"/>
      <c r="D26" s="299"/>
      <c r="E26" s="139"/>
      <c r="F26" s="34" t="str">
        <f>VLOOKUP("hYearFrom",tblTrans3Langs[],LangFieldID,FALSE)</f>
        <v>Years covered (from)</v>
      </c>
      <c r="G26" s="167" t="str">
        <f>VLOOKUP("hYearFrom",tblTrans3Langs[],7,FALSE)</f>
        <v>integer</v>
      </c>
      <c r="H26" s="30" t="str">
        <f>VLOOKUP("hYearFrom",tblTrans3Langs[],LangNameID,FALSE)</f>
        <v>One or more years can be added to the form. Add the first (from) year (4 digits) to which the data relate</v>
      </c>
    </row>
    <row r="27" spans="1:8" x14ac:dyDescent="0.25">
      <c r="A27" s="306"/>
      <c r="B27" s="321"/>
      <c r="C27" s="310"/>
      <c r="D27" s="299"/>
      <c r="E27" s="139"/>
      <c r="F27" s="34" t="str">
        <f>VLOOKUP("hYearTo",tblTrans3Langs[],LangFieldID,FALSE)</f>
        <v>(to)</v>
      </c>
      <c r="G27" s="167" t="str">
        <f>VLOOKUP("hYearTo",tblTrans3Langs[],7,FALSE)</f>
        <v>integer</v>
      </c>
      <c r="H27" s="30" t="str">
        <f>VLOOKUP("hYearTo",tblTrans3Langs[],LangNameID,FALSE)</f>
        <v>One or more years can be added to the form. Add the last (to) year (4 digits) to which the data relate</v>
      </c>
    </row>
    <row r="28" spans="1:8" x14ac:dyDescent="0.25">
      <c r="A28" s="306"/>
      <c r="B28" s="321"/>
      <c r="C28" s="310"/>
      <c r="D28" s="299"/>
      <c r="E28" s="139"/>
      <c r="F28" s="34" t="str">
        <f>VLOOKUP("hSpeciesCd",tblTrans3Langs[],LangFieldID,FALSE)</f>
        <v>Species (cod)</v>
      </c>
      <c r="G28" s="167" t="str">
        <f>VLOOKUP("hSpeciesCd",tblTrans3Langs[],7,FALSE)</f>
        <v>ICCAT code</v>
      </c>
      <c r="H28" s="30" t="str">
        <f>VLOOKUP("hSpeciesCd",tblTrans3Langs[],LangNameID,FALSE)</f>
        <v>BFT only (fixed)</v>
      </c>
    </row>
    <row r="29" spans="1:8" x14ac:dyDescent="0.25">
      <c r="A29" s="306"/>
      <c r="B29" s="321"/>
      <c r="C29" s="310"/>
      <c r="D29" s="299"/>
      <c r="E29" s="139"/>
      <c r="F29" s="34" t="str">
        <f>VLOOKUP("hVersion",tblTrans3Langs[],LangFieldID,FALSE)</f>
        <v>Version reported</v>
      </c>
      <c r="G29" s="167" t="str">
        <f>VLOOKUP("hVersion",tblTrans3Langs[],7,FALSE)</f>
        <v>ICCAT code</v>
      </c>
      <c r="H29" s="30" t="str">
        <f>VLOOKUP("hVersion",tblTrans3Langs[],LangNameID,FALSE)</f>
        <v>Specify if this submission is Preliminary (subject to revision) or Final (already validated)</v>
      </c>
    </row>
    <row r="30" spans="1:8" x14ac:dyDescent="0.25">
      <c r="A30" s="306"/>
      <c r="B30" s="321"/>
      <c r="C30" s="310"/>
      <c r="D30" s="299"/>
      <c r="E30" s="139"/>
      <c r="F30" s="34" t="str">
        <f>VLOOKUP("hContent",tblTrans3Langs[],LangFieldID,FALSE)</f>
        <v>Content (data)</v>
      </c>
      <c r="G30" s="167" t="str">
        <f>VLOOKUP("hContent",tblTrans3Langs[],7,FALSE)</f>
        <v>ICCAT code</v>
      </c>
      <c r="H30" s="30" t="str">
        <f>VLOOKUP("hContent",tblTrans3Langs[],LangNameID,FALSE)</f>
        <v>Specify if the overall data content is NEW (full set OR partial set) OR a REVISION (full set OR partial set)</v>
      </c>
    </row>
    <row r="31" spans="1:8" ht="24" x14ac:dyDescent="0.25">
      <c r="A31" s="306"/>
      <c r="B31" s="321"/>
      <c r="C31" s="310"/>
      <c r="D31" s="299"/>
      <c r="E31" s="166" t="str">
        <f>VLOOKUP("H31",tblTrans3Langs[],LangFieldID,FALSE)</f>
        <v>Catch attributes</v>
      </c>
      <c r="F31" s="34" t="str">
        <f>VLOOKUP("hProdTypeCd",tblTrans3Langs[],LangFieldID,FALSE)</f>
        <v>Product type</v>
      </c>
      <c r="G31" s="167" t="str">
        <f>VLOOKUP("hProdTypeCd",tblTrans3Langs[],7,FALSE)</f>
        <v>ICCAT code</v>
      </c>
      <c r="H31" s="30" t="str">
        <f>VLOOKUP("hProdtypeCd",tblTrans3Langs[],LangNameID,FALSE)</f>
        <v>Choose type of product (round weight, dressed weight, etc.) of the catch reported (ICCAT code)</v>
      </c>
    </row>
    <row r="32" spans="1:8" x14ac:dyDescent="0.25">
      <c r="A32" s="306"/>
      <c r="B32" s="321"/>
      <c r="C32" s="310"/>
      <c r="D32" s="299"/>
      <c r="E32" s="302" t="str">
        <f>VLOOKUP("H32",tblTrans3Langs[],LangFieldID,FALSE)</f>
        <v>Sampling attributes</v>
      </c>
      <c r="F32" s="34" t="str">
        <f>VLOOKUP("hLocationCd",tblTrans3Langs[],LangFieldID,FALSE)</f>
        <v>Location (cod)</v>
      </c>
      <c r="G32" s="167" t="str">
        <f>VLOOKUP("hLocationCd",tblTrans3Langs[],7,FALSE)</f>
        <v>ICCAT code</v>
      </c>
      <c r="H32" s="30" t="str">
        <f>VLOOKUP("hLocationCd",tblTrans3Langs[],LangNameID,FALSE)</f>
        <v>Choose a Location at which the samples were measured (If "other" please specify in notes)</v>
      </c>
    </row>
    <row r="33" spans="1:8" x14ac:dyDescent="0.25">
      <c r="A33" s="306"/>
      <c r="B33" s="321"/>
      <c r="C33" s="310"/>
      <c r="D33" s="299"/>
      <c r="E33" s="302"/>
      <c r="F33" s="34" t="str">
        <f>VLOOKUP("hSampunit",tblTrans3Langs[],LangFieldID,FALSE)</f>
        <v>Samp unit (cod)</v>
      </c>
      <c r="G33" s="167" t="str">
        <f>VLOOKUP("hSampunit",tblTrans3Langs[],7,FALSE)</f>
        <v>ICCAT code</v>
      </c>
      <c r="H33" s="30" t="str">
        <f>VLOOKUP("hSampunit",tblTrans3Langs[],LangNameID,FALSE)</f>
        <v>Choose a sampling unit (ICCAT codes) in which the data are provided</v>
      </c>
    </row>
    <row r="34" spans="1:8" x14ac:dyDescent="0.25">
      <c r="A34" s="306"/>
      <c r="B34" s="321"/>
      <c r="C34" s="310"/>
      <c r="D34" s="299"/>
      <c r="E34" s="300"/>
      <c r="F34" s="32" t="str">
        <f>VLOOKUP("hRaisedSuYN",tblTrans3Langs[],LangFieldID,FALSE)</f>
        <v>Raised (SU) ?</v>
      </c>
      <c r="G34" s="165" t="str">
        <f>VLOOKUP("hRaisedSuYN",tblTrans3Langs[],7,FALSE)</f>
        <v>boolean</v>
      </c>
      <c r="H34" s="30" t="str">
        <f>VLOOKUP("hRaisedSuYN",tblTrans3Langs[],LangNameID,FALSE)</f>
        <v>Please choose YES if the size samples have been raised to the Sampling Unit (SU). Otherwise choose NO</v>
      </c>
    </row>
    <row r="35" spans="1:8" x14ac:dyDescent="0.25">
      <c r="A35" s="306"/>
      <c r="B35" s="321"/>
      <c r="C35" s="310"/>
      <c r="D35" s="299"/>
      <c r="E35" s="302" t="str">
        <f>VLOOKUP("H33",tblTrans3Langs[],LangFieldID,FALSE)</f>
        <v>Frequency type attributes</v>
      </c>
      <c r="F35" s="34" t="str">
        <f>VLOOKUP("hFreqType",tblTrans3Langs[],LangFieldID,FALSE)</f>
        <v>Frequency type (cod)</v>
      </c>
      <c r="G35" s="167" t="str">
        <f>VLOOKUP("hFreqType",tblTrans3Langs[],7,FALSE)</f>
        <v>ICCAT code</v>
      </c>
      <c r="H35" s="29" t="str">
        <f>VLOOKUP("hFreqType",tblTrans3Langs[],LangNameID,FALSE)</f>
        <v>Frequencies of the sampling can be of type "size" (1/2/5 cm) OR "weight" (1kg only). Length classes are preferred</v>
      </c>
    </row>
    <row r="36" spans="1:8" x14ac:dyDescent="0.25">
      <c r="A36" s="306"/>
      <c r="B36" s="321"/>
      <c r="C36" s="310"/>
      <c r="D36" s="299"/>
      <c r="E36" s="302"/>
      <c r="F36" s="34" t="str">
        <f>VLOOKUP("hSzinterval",tblTrans3Langs[],LangFieldID,FALSE)</f>
        <v>Interval</v>
      </c>
      <c r="G36" s="167" t="str">
        <f>VLOOKUP("hSzinterval",tblTrans3Langs[],7,FALSE)</f>
        <v>integer</v>
      </c>
      <c r="H36" s="30" t="str">
        <f>VLOOKUP("hSzinterval",tblTrans3Langs[],LangNameID,FALSE)</f>
        <v>Choose the Interval of the size frequencies (1cm; 2cm, 5 cm; 1kg)</v>
      </c>
    </row>
    <row r="37" spans="1:8" x14ac:dyDescent="0.25">
      <c r="A37" s="306"/>
      <c r="B37" s="321"/>
      <c r="C37" s="310"/>
      <c r="D37" s="305"/>
      <c r="E37" s="302"/>
      <c r="F37" s="34" t="str">
        <f>VLOOKUP("hSzclasslim",tblTrans3Langs[],LangFieldID,FALSE)</f>
        <v>Class limit</v>
      </c>
      <c r="G37" s="167" t="str">
        <f>VLOOKUP("hSzclasslim",tblTrans3Langs[],7,FALSE)</f>
        <v>ICCAT code</v>
      </c>
      <c r="H37" s="31" t="str">
        <f>VLOOKUP("hSzclasslim",tblTrans3Langs[],LangNameID,FALSE)</f>
        <v>Identify the class boundary intervals (lower limit, central point, upper limit)</v>
      </c>
    </row>
    <row r="38" spans="1:8" x14ac:dyDescent="0.25">
      <c r="A38" s="306"/>
      <c r="B38" s="321"/>
      <c r="C38" s="311"/>
      <c r="D38" s="303" t="str">
        <f>VLOOKUP("H40",tblTrans3Langs[],LangFieldID,FALSE)</f>
        <v>Other attributes</v>
      </c>
      <c r="E38" s="304"/>
      <c r="F38" s="35" t="str">
        <f>VLOOKUP("hNotes",tblTrans3Langs[],LangFieldID,FALSE)</f>
        <v>Notes</v>
      </c>
      <c r="G38" s="168" t="str">
        <f>VLOOKUP("hNotes",tblTrans3Langs[],7,FALSE)</f>
        <v>string</v>
      </c>
      <c r="H38" s="31" t="str">
        <f>VLOOKUP("hNotes",tblTrans3Langs[],LangNameID,FALSE)</f>
        <v>Add additional (complementary) notes in respect to the overall dataset (if needed)</v>
      </c>
    </row>
    <row r="39" spans="1:8" ht="12.4" customHeight="1" x14ac:dyDescent="0.25">
      <c r="A39" s="306"/>
      <c r="B39" s="321"/>
      <c r="C39" s="318" t="str">
        <f>VLOOKUP("D00",tblTrans3Langs[],LangFieldID,FALSE)</f>
        <v>Detail</v>
      </c>
      <c r="D39" s="294" t="str">
        <f>VLOOKUP("D10",tblTrans3Langs[],LangFieldID,FALSE)</f>
        <v>Sample attributes</v>
      </c>
      <c r="E39" s="294" t="str">
        <f>VLOOKUP("D11",tblTrans3Langs[],LangFieldID,FALSE)</f>
        <v>Fleet ID</v>
      </c>
      <c r="F39" s="122" t="str">
        <f>VLOOKUP("FlagVesCd",tblTrans3Langs[],LangFieldID,FALSE)</f>
        <v>Flag of Vessel (cod)</v>
      </c>
      <c r="G39" s="167" t="str">
        <f>VLOOKUP("FlagVesCd",tblTrans3Langs[],7,FALSE)</f>
        <v>ICCAT code</v>
      </c>
      <c r="H39" s="28" t="str">
        <f>VLOOKUP("FlagVesCd",tblTrans3Langs[],LangNameID,FALSE)</f>
        <v>Choose the flag of the vessel for which the data apply (whether national or foreign flagged vessel)</v>
      </c>
    </row>
    <row r="40" spans="1:8" ht="36" x14ac:dyDescent="0.25">
      <c r="A40" s="306"/>
      <c r="B40" s="321"/>
      <c r="C40" s="319"/>
      <c r="D40" s="295"/>
      <c r="E40" s="297"/>
      <c r="F40" s="123" t="str">
        <f>VLOOKUP("FleetSuffix",tblTrans3Langs[],LangFieldID,FALSE)</f>
        <v xml:space="preserve">Fleet suffix </v>
      </c>
      <c r="G40" s="165" t="str">
        <f>VLOOKUP("FleetSuffix",tblTrans3Langs[],7,FALSE)</f>
        <v>string</v>
      </c>
      <c r="H40" s="30"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41" spans="1:8" ht="15" customHeight="1" x14ac:dyDescent="0.25">
      <c r="A41" s="306"/>
      <c r="B41" s="321"/>
      <c r="C41" s="319"/>
      <c r="D41" s="296"/>
      <c r="E41" s="324" t="str">
        <f>VLOOKUP("D12",tblTrans3Langs[],LangFieldID,FALSE)</f>
        <v>Catch strata associated to samples</v>
      </c>
      <c r="F41" s="123" t="str">
        <f>VLOOKUP("YearC",tblTrans3Langs[],LangFieldID,FALSE)</f>
        <v>Year (calendar)</v>
      </c>
      <c r="G41" s="132" t="str">
        <f>VLOOKUP("YearC",tblTrans3Langs[],7,FALSE)</f>
        <v>integer</v>
      </c>
      <c r="H41" s="29" t="str">
        <f>VLOOKUP("YearC",tblTrans3Langs[],LangNameID,FALSE)</f>
        <v>Calendar year (four digits) in which the catch was taken</v>
      </c>
    </row>
    <row r="42" spans="1:8" ht="12.4" customHeight="1" x14ac:dyDescent="0.25">
      <c r="A42" s="306"/>
      <c r="B42" s="321"/>
      <c r="C42" s="319"/>
      <c r="D42" s="296"/>
      <c r="E42" s="325"/>
      <c r="F42" s="125" t="str">
        <f>VLOOKUP("Month",tblTrans3Langs[],LangFieldID,FALSE)</f>
        <v>Month</v>
      </c>
      <c r="G42" s="50" t="str">
        <f>VLOOKUP("month",tblTrans3Langs[],7,FALSE)</f>
        <v>integer</v>
      </c>
      <c r="H42" s="30" t="str">
        <f>VLOOKUP("Month",tblTrans3Langs[],LangNameID,FALSE)</f>
        <v>Catch and effort should be reported by month (January= 1; December= 12)</v>
      </c>
    </row>
    <row r="43" spans="1:8" x14ac:dyDescent="0.25">
      <c r="A43" s="306"/>
      <c r="B43" s="321"/>
      <c r="C43" s="319"/>
      <c r="D43" s="296"/>
      <c r="E43" s="325"/>
      <c r="F43" s="125" t="str">
        <f>VLOOKUP("GearCd",tblTrans3Langs[],LangFieldID,FALSE)</f>
        <v>Gear (cod)</v>
      </c>
      <c r="G43" s="50" t="str">
        <f>VLOOKUP("GearCd",tblTrans3Langs[],7,FALSE)</f>
        <v>ICCAT code</v>
      </c>
      <c r="H43" s="30" t="str">
        <f>VLOOKUP("GearCd",tblTrans3Langs[],LangNameID,FALSE)</f>
        <v>Choose the Gear code (ICCAT codes)</v>
      </c>
    </row>
    <row r="44" spans="1:8" ht="24" x14ac:dyDescent="0.25">
      <c r="A44" s="306"/>
      <c r="B44" s="321"/>
      <c r="C44" s="319"/>
      <c r="D44" s="296"/>
      <c r="E44" s="325"/>
      <c r="F44" s="125" t="str">
        <f>VLOOKUP("CatchTypeCd",tblTrans3Langs[],LangFieldID,FALSE)</f>
        <v>Catch type (cod)</v>
      </c>
      <c r="G44" s="50" t="str">
        <f>VLOOKUP("CatchTypeCd",tblTrans3Langs[],7,FALSE)</f>
        <v>ICCAT code</v>
      </c>
      <c r="H44" s="30" t="str">
        <f>VLOOKUP("CatchTypeCd",tblTrans3Langs[],LangNameID,FALSE)</f>
        <v>Specify if associated samples are from catch landings or discards, and if discards whether there are live or dead discards</v>
      </c>
    </row>
    <row r="45" spans="1:8" ht="24" x14ac:dyDescent="0.25">
      <c r="A45" s="306"/>
      <c r="B45" s="321"/>
      <c r="C45" s="319"/>
      <c r="D45" s="296"/>
      <c r="E45" s="326"/>
      <c r="F45" s="127" t="str">
        <f>VLOOKUP("SchoolTypCd",tblTrans3Langs[],LangFieldID,FALSE)</f>
        <v>School t. (cod)</v>
      </c>
      <c r="G45" s="133" t="str">
        <f>VLOOKUP("SchoolTypCd",tblTrans3Langs[],7,FALSE)</f>
        <v>ICCAT code</v>
      </c>
      <c r="H45" s="31" t="str">
        <f>VLOOKUP("SchoolTypCd",tblTrans3Langs[],LangNameID,FALSE)</f>
        <v>For each species, enter the school type (FAD or Free School) if the gear is "purse seine". Not applicable (n/a or "blank") by default</v>
      </c>
    </row>
    <row r="46" spans="1:8" x14ac:dyDescent="0.25">
      <c r="A46" s="306"/>
      <c r="B46" s="321"/>
      <c r="C46" s="319"/>
      <c r="D46" s="296"/>
      <c r="E46" s="297" t="str">
        <f>VLOOKUP("D12a",tblTrans3Langs[],LangFieldID,FALSE)</f>
        <v>Geographic area</v>
      </c>
      <c r="F46" s="126" t="str">
        <f>VLOOKUP("SaAreaCd",tblTrans3Langs[],LangFieldID,FALSE)</f>
        <v>Sampling area (cod)</v>
      </c>
      <c r="G46" s="168" t="str">
        <f>VLOOKUP("SaAreaCd",tblTrans3Langs[],7,FALSE)</f>
        <v>ICCAT code</v>
      </c>
      <c r="H46" s="30" t="str">
        <f>VLOOKUP("SaAreaCd",tblTrans3Langs[],LangNameID,FALSE)</f>
        <v>Choose the Sampling Area code of the species (within each stock)</v>
      </c>
    </row>
    <row r="47" spans="1:8" x14ac:dyDescent="0.25">
      <c r="A47" s="306"/>
      <c r="B47" s="321"/>
      <c r="C47" s="319"/>
      <c r="D47" s="296"/>
      <c r="E47" s="307"/>
      <c r="F47" s="124" t="str">
        <f>VLOOKUP("GeoGridCd",tblTrans3Langs[],LangFieldID,FALSE)</f>
        <v>Square t. (cod)</v>
      </c>
      <c r="G47" s="167" t="str">
        <f>VLOOKUP("GeoGridCd",tblTrans3Langs[],7,FALSE)</f>
        <v>ICCAT code</v>
      </c>
      <c r="H47" s="30" t="str">
        <f>VLOOKUP("GeoGridCd",tblTrans3Langs[],LangNameID,FALSE)</f>
        <v>Choose the square type (ICCAT code). By default, 5x5 squares should be used for Longline and 1x1 for other gears</v>
      </c>
    </row>
    <row r="48" spans="1:8" x14ac:dyDescent="0.25">
      <c r="A48" s="306"/>
      <c r="B48" s="321"/>
      <c r="C48" s="319"/>
      <c r="D48" s="296"/>
      <c r="E48" s="307"/>
      <c r="F48" s="124" t="str">
        <f>VLOOKUP("QuadCd",tblTrans3Langs[],LangFieldID,FALSE)</f>
        <v>Quad (cod)</v>
      </c>
      <c r="G48" s="167" t="str">
        <f>VLOOKUP("QuadCd",tblTrans3Langs[],7,FALSE)</f>
        <v>ICCAT code</v>
      </c>
      <c r="H48" s="30" t="str">
        <f>VLOOKUP("QuadCd",tblTrans3Langs[],LangNameID,FALSE)</f>
        <v>Choose the quadrant (ICCAT codes: NE(1); SE(2); SW(3); NW(4))</v>
      </c>
    </row>
    <row r="49" spans="1:8" x14ac:dyDescent="0.25">
      <c r="A49" s="306"/>
      <c r="B49" s="321"/>
      <c r="C49" s="319"/>
      <c r="D49" s="296"/>
      <c r="E49" s="307"/>
      <c r="F49" s="124" t="str">
        <f>VLOOKUP("Lat",tblTrans3Langs[],LangFieldID,FALSE)</f>
        <v>Lat</v>
      </c>
      <c r="G49" s="167" t="str">
        <f>VLOOKUP("Lat",tblTrans3Langs[],7,FALSE)</f>
        <v>integer</v>
      </c>
      <c r="H49" s="30" t="str">
        <f>VLOOKUP("Lat",tblTrans3Langs[],LangNameID,FALSE)</f>
        <v>Latitude of the corner of the square closest to 0º (multiples of the Square Type code)</v>
      </c>
    </row>
    <row r="50" spans="1:8" x14ac:dyDescent="0.25">
      <c r="A50" s="306"/>
      <c r="B50" s="321"/>
      <c r="C50" s="319"/>
      <c r="D50" s="296"/>
      <c r="E50" s="307"/>
      <c r="F50" s="124" t="str">
        <f>VLOOKUP("Lon",tblTrans3Langs[],LangFieldID,FALSE)</f>
        <v>Lon</v>
      </c>
      <c r="G50" s="167" t="str">
        <f>VLOOKUP("Lon",tblTrans3Langs[],7,FALSE)</f>
        <v>integer</v>
      </c>
      <c r="H50" s="30" t="str">
        <f>VLOOKUP("Lon",tblTrans3Langs[],LangNameID,FALSE)</f>
        <v>Longitude of the corner of the square closest to 0º (multiples of the Square Type code)</v>
      </c>
    </row>
    <row r="51" spans="1:8" x14ac:dyDescent="0.25">
      <c r="A51" s="306"/>
      <c r="B51" s="321"/>
      <c r="C51" s="319"/>
      <c r="D51" s="296"/>
      <c r="E51" s="307"/>
      <c r="F51" s="124" t="str">
        <f>VLOOKUP("DSourceCd",tblTrans3Langs[],LangFieldID,FALSE)</f>
        <v>Data source (cod)</v>
      </c>
      <c r="G51" s="167" t="str">
        <f>VLOOKUP("DSourceCd",tblTrans3Langs[],7,FALSE)</f>
        <v>ICCAT code</v>
      </c>
      <c r="H51" s="30" t="str">
        <f>VLOOKUP("DSourceCd",tblTrans3Langs[],LangNameID,FALSE)</f>
        <v>Choose the source from which the data were compiled (ICCAT codes)</v>
      </c>
    </row>
    <row r="52" spans="1:8" x14ac:dyDescent="0.25">
      <c r="A52" s="306"/>
      <c r="B52" s="321"/>
      <c r="C52" s="319"/>
      <c r="D52" s="296"/>
      <c r="E52" s="294"/>
      <c r="F52" s="124" t="str">
        <f>VLOOKUP("TotCatchW",tblTrans3Langs[],LangFieldID,FALSE)</f>
        <v>Total catch (kg)</v>
      </c>
      <c r="G52" s="167" t="str">
        <f>VLOOKUP("TotCatchW",tblTrans3Langs[],7,FALSE)</f>
        <v>float</v>
      </c>
      <c r="H52" s="31" t="str">
        <f>VLOOKUP("TotCatchW",tblTrans3Langs[],LangNameID,FALSE)</f>
        <v>Total catch in the sampling unit from which the sample was taken</v>
      </c>
    </row>
    <row r="53" spans="1:8" ht="24" x14ac:dyDescent="0.25">
      <c r="A53" s="306"/>
      <c r="B53" s="321"/>
      <c r="C53" s="319"/>
      <c r="D53" s="296"/>
      <c r="E53" s="169" t="str">
        <f>VLOOKUP("D13",tblTrans3Langs[],LangFieldID,FALSE)</f>
        <v>Sample strata</v>
      </c>
      <c r="F53" s="126" t="str">
        <f>VLOOKUP("SampleID",tblTrans3Langs[],LangFieldID,FALSE)</f>
        <v>Sample unit ID (SU)</v>
      </c>
      <c r="G53" s="168" t="str">
        <f>VLOOKUP("SampleID",tblTrans3Langs[],7,FALSE)</f>
        <v>integer</v>
      </c>
      <c r="H53" s="30" t="str">
        <f>VLOOKUP("SampleID",tblTrans3Langs[],LangNameID,FALSE)</f>
        <v>Enter unique numbers (ordered) for each sampling unit. They must delimit the rows belonging to each sample in a given stratum. It is optional and can be left "blank"</v>
      </c>
    </row>
    <row r="54" spans="1:8" x14ac:dyDescent="0.25">
      <c r="A54" s="306"/>
      <c r="B54" s="321"/>
      <c r="C54" s="319"/>
      <c r="D54" s="296"/>
      <c r="E54" s="169"/>
      <c r="F54" s="124" t="str">
        <f>VLOOKUP("MonthSamp",tblTrans3Langs[],LangFieldID,FALSE)</f>
        <v>Month (sample)</v>
      </c>
      <c r="G54" s="167" t="str">
        <f>VLOOKUP("MonthSamp",tblTrans3Langs[],7,FALSE)</f>
        <v>ICCAT code</v>
      </c>
      <c r="H54" s="30" t="str">
        <f>VLOOKUP("MonthSamp",tblTrans3Langs[],LangNameID,FALSE)</f>
        <v>The month in which the sample was measured</v>
      </c>
    </row>
    <row r="55" spans="1:8" x14ac:dyDescent="0.25">
      <c r="A55" s="306"/>
      <c r="B55" s="321"/>
      <c r="C55" s="319"/>
      <c r="D55" s="296"/>
      <c r="E55" s="307" t="str">
        <f>VLOOKUP("D13a",tblTrans3Langs[],LangFieldID,FALSE)</f>
        <v>Total fish sampled</v>
      </c>
      <c r="F55" s="124" t="str">
        <f>VLOOKUP("FishSaW",tblTrans3Langs[],LangFieldID,FALSE)</f>
        <v>Weight (kg)</v>
      </c>
      <c r="G55" s="167" t="str">
        <f>VLOOKUP("FishSaW",tblTrans3Langs[],7,FALSE)</f>
        <v>integer</v>
      </c>
      <c r="H55" s="30" t="str">
        <f>VLOOKUP("FishSaW",tblTrans3Langs[],LangNameID,FALSE)</f>
        <v>Total weight (kg) of the fish sampled in the sampling unit</v>
      </c>
    </row>
    <row r="56" spans="1:8" x14ac:dyDescent="0.25">
      <c r="A56" s="306"/>
      <c r="B56" s="321"/>
      <c r="C56" s="319"/>
      <c r="D56" s="296"/>
      <c r="E56" s="294"/>
      <c r="F56" s="124" t="str">
        <f>VLOOKUP("FishSaN",tblTrans3Langs[],LangFieldID,FALSE)</f>
        <v>Number</v>
      </c>
      <c r="G56" s="167" t="str">
        <f>VLOOKUP("FishSaN",tblTrans3Langs[],7,FALSE)</f>
        <v>float</v>
      </c>
      <c r="H56" s="31" t="str">
        <f>VLOOKUP("FishSaN",tblTrans3Langs[],LangNameID,FALSE)</f>
        <v>Total number of fish sampled in the sampling unit</v>
      </c>
    </row>
    <row r="57" spans="1:8" ht="36" x14ac:dyDescent="0.25">
      <c r="A57" s="306"/>
      <c r="B57" s="321"/>
      <c r="C57" s="319"/>
      <c r="D57" s="294" t="str">
        <f>VLOOKUP("D20",tblTrans3Langs[],LangFieldID,FALSE)</f>
        <v>Size frequency details</v>
      </c>
      <c r="E57" s="294"/>
      <c r="F57" s="127" t="str">
        <f>VLOOKUP("szClass",tblTrans3Langs[],LangFieldID,FALSE)</f>
        <v>Size class</v>
      </c>
      <c r="G57" s="168" t="str">
        <f>VLOOKUP("szClass",tblTrans3Langs[],7,FALSE)</f>
        <v>integer</v>
      </c>
      <c r="H57" s="30"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8" spans="1:8" x14ac:dyDescent="0.25">
      <c r="A58" s="306"/>
      <c r="B58" s="321"/>
      <c r="C58" s="319"/>
      <c r="D58" s="295"/>
      <c r="E58" s="295"/>
      <c r="F58" s="122" t="str">
        <f>VLOOKUP("NoUs",tblTrans3Langs[],LangFieldID,FALSE)</f>
        <v xml:space="preserve">U </v>
      </c>
      <c r="G58" s="167" t="str">
        <f>VLOOKUP("NoUs",tblTrans3Langs[],7,FALSE)</f>
        <v>integer</v>
      </c>
      <c r="H58" s="30" t="str">
        <f>VLOOKUP("NoUs",tblTrans3Langs[],LangNameID,FALSE)</f>
        <v>Add to each class the Number of fish sampled (sex unknow)</v>
      </c>
    </row>
    <row r="59" spans="1:8" x14ac:dyDescent="0.25">
      <c r="A59" s="306"/>
      <c r="B59" s="321"/>
      <c r="C59" s="319"/>
      <c r="D59" s="295"/>
      <c r="E59" s="295"/>
      <c r="F59" s="122" t="str">
        <f>VLOOKUP("NoMs",tblTrans3Langs[],LangFieldID,FALSE)</f>
        <v>M</v>
      </c>
      <c r="G59" s="167" t="str">
        <f>VLOOKUP("NoMs",tblTrans3Langs[],7,FALSE)</f>
        <v>integer</v>
      </c>
      <c r="H59" s="30" t="str">
        <f>VLOOKUP("NoMs",tblTrans3Langs[],LangNameID,FALSE)</f>
        <v>Add to each class the Number of fish sampled (males)</v>
      </c>
    </row>
    <row r="60" spans="1:8" x14ac:dyDescent="0.25">
      <c r="A60" s="306"/>
      <c r="B60" s="321"/>
      <c r="C60" s="319"/>
      <c r="D60" s="295"/>
      <c r="E60" s="295"/>
      <c r="F60" s="122" t="str">
        <f>VLOOKUP("NoFs",tblTrans3Langs[],LangFieldID,FALSE)</f>
        <v>F</v>
      </c>
      <c r="G60" s="167" t="str">
        <f>VLOOKUP("NoFs",tblTrans3Langs[],7,FALSE)</f>
        <v>integer</v>
      </c>
      <c r="H60" s="30" t="str">
        <f>VLOOKUP("NoFs",tblTrans3Langs[],LangNameID,FALSE)</f>
        <v>Add to each class the Number of fish sampled (females)</v>
      </c>
    </row>
    <row r="61" spans="1:8" x14ac:dyDescent="0.25">
      <c r="A61" s="306"/>
      <c r="B61" s="322"/>
      <c r="C61" s="320"/>
      <c r="D61" s="295"/>
      <c r="E61" s="295"/>
      <c r="F61" s="122" t="str">
        <f>VLOOKUP("NoIs",tblTrans3Langs[],LangFieldID,FALSE)</f>
        <v>I</v>
      </c>
      <c r="G61" s="167" t="str">
        <f>VLOOKUP("NoIs",tblTrans3Langs[],7,FALSE)</f>
        <v>integer</v>
      </c>
      <c r="H61" s="31" t="str">
        <f>VLOOKUP("NoIs",tblTrans3Langs[],LangNameID,FALSE)</f>
        <v>Add to each class the Number of fish sampled (immatures)</v>
      </c>
    </row>
    <row r="76" spans="8:8" x14ac:dyDescent="0.25">
      <c r="H76" s="23" t="s">
        <v>90</v>
      </c>
    </row>
    <row r="78" spans="8:8" x14ac:dyDescent="0.25">
      <c r="H78" s="23" t="s">
        <v>90</v>
      </c>
    </row>
    <row r="79" spans="8:8" x14ac:dyDescent="0.25">
      <c r="H79" s="23" t="s">
        <v>90</v>
      </c>
    </row>
  </sheetData>
  <sheetProtection algorithmName="SHA-512" hashValue="flHr2+IT//vo8f98Pa56w7w88f4vsILy1oYay+5NKL7nOuhZX0e45mReqI3La/lyyywNHYALARwq/ZYHthfeQw==" saltValue="Hv7GKhlGmAOar/oK+Eqgqg==" spinCount="100000" sheet="1" objects="1" scenarios="1" formatCells="0" autoFilter="0"/>
  <mergeCells count="28">
    <mergeCell ref="B6:H6"/>
    <mergeCell ref="B7:H7"/>
    <mergeCell ref="C13:C38"/>
    <mergeCell ref="C11:E12"/>
    <mergeCell ref="C39:C61"/>
    <mergeCell ref="B11:B61"/>
    <mergeCell ref="A9:E9"/>
    <mergeCell ref="D13:D19"/>
    <mergeCell ref="E13:E15"/>
    <mergeCell ref="E16:E19"/>
    <mergeCell ref="E46:E52"/>
    <mergeCell ref="E41:E45"/>
    <mergeCell ref="A2:E2"/>
    <mergeCell ref="A1:H1"/>
    <mergeCell ref="D39:D56"/>
    <mergeCell ref="E39:E40"/>
    <mergeCell ref="D57:E61"/>
    <mergeCell ref="D20:D24"/>
    <mergeCell ref="E23:E24"/>
    <mergeCell ref="E32:E34"/>
    <mergeCell ref="D38:E38"/>
    <mergeCell ref="D25:D37"/>
    <mergeCell ref="E35:E37"/>
    <mergeCell ref="A11:A61"/>
    <mergeCell ref="E55:E56"/>
    <mergeCell ref="B3:H3"/>
    <mergeCell ref="B4:H4"/>
    <mergeCell ref="B5:H5"/>
  </mergeCells>
  <pageMargins left="0.7" right="0.7" top="0.75" bottom="0.75" header="0.3" footer="0.3"/>
  <pageSetup paperSize="9" orientation="portrait" r:id="rId1"/>
  <ignoredErrors>
    <ignoredError sqref="H3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activeCell="A14" sqref="A14:G14"/>
    </sheetView>
  </sheetViews>
  <sheetFormatPr defaultColWidth="9.140625" defaultRowHeight="12.75" x14ac:dyDescent="0.25"/>
  <cols>
    <col min="1" max="1" width="4.28515625" style="68" bestFit="1" customWidth="1"/>
    <col min="2" max="2" width="4.42578125" style="68" bestFit="1" customWidth="1"/>
    <col min="3" max="3" width="6.7109375" style="68" customWidth="1"/>
    <col min="4" max="4" width="87.140625" style="68" customWidth="1"/>
    <col min="5" max="5" width="11.28515625" style="68" bestFit="1" customWidth="1"/>
    <col min="6" max="6" width="21.140625" style="68" bestFit="1" customWidth="1"/>
    <col min="7" max="7" width="13.85546875" style="68" bestFit="1" customWidth="1"/>
    <col min="8" max="16384" width="9.140625" style="68"/>
  </cols>
  <sheetData>
    <row r="1" spans="1:7" ht="18.75" x14ac:dyDescent="0.25">
      <c r="A1" s="328" t="s">
        <v>1183</v>
      </c>
      <c r="B1" s="328"/>
      <c r="C1" s="328"/>
      <c r="D1" s="328"/>
      <c r="E1" s="328"/>
      <c r="F1" s="328"/>
    </row>
    <row r="2" spans="1:7" s="79" customFormat="1" ht="12" x14ac:dyDescent="0.25">
      <c r="A2" s="78"/>
      <c r="B2" s="78"/>
      <c r="C2" s="78"/>
      <c r="D2" s="78"/>
      <c r="E2" s="78"/>
      <c r="F2" s="78"/>
    </row>
    <row r="3" spans="1:7" s="79" customFormat="1" ht="24" x14ac:dyDescent="0.25">
      <c r="A3" s="80" t="str">
        <f>VLOOKUP("SC01",tblTrans3Langs[],LangFieldID,FALSE)</f>
        <v>Form</v>
      </c>
      <c r="B3" s="69" t="s">
        <v>1157</v>
      </c>
      <c r="C3" s="81" t="s">
        <v>754</v>
      </c>
      <c r="D3" s="69" t="s">
        <v>60</v>
      </c>
      <c r="E3" s="69" t="s">
        <v>1158</v>
      </c>
      <c r="F3" s="69" t="s">
        <v>1159</v>
      </c>
      <c r="G3" s="69" t="str">
        <f>"Status ("&amp;LEFT('ST04-T2SZ'!Q2,4)&amp;")"</f>
        <v>Status (2024)</v>
      </c>
    </row>
    <row r="4" spans="1:7" s="79" customFormat="1" ht="12" x14ac:dyDescent="0.2">
      <c r="A4" s="329" t="str">
        <f>VLOOKUP("T00",tblTrans3Langs[],LangFieldID,FALSE)</f>
        <v>ST04-T2SZ</v>
      </c>
      <c r="B4" s="332">
        <v>1</v>
      </c>
      <c r="C4" s="82" t="s">
        <v>772</v>
      </c>
      <c r="D4" s="83" t="s">
        <v>1160</v>
      </c>
      <c r="E4" s="84" t="s">
        <v>1161</v>
      </c>
      <c r="F4" s="85" t="str">
        <f>"{"&amp;LEFT('ST04-T2SZ'!Q2,4)&amp;"a}*"</f>
        <v>{2024a}*</v>
      </c>
      <c r="G4" s="70" t="s">
        <v>1184</v>
      </c>
    </row>
    <row r="5" spans="1:7" s="79" customFormat="1" ht="12" x14ac:dyDescent="0.2">
      <c r="A5" s="330"/>
      <c r="B5" s="333"/>
      <c r="C5" s="86" t="s">
        <v>773</v>
      </c>
      <c r="D5" s="87" t="s">
        <v>1162</v>
      </c>
      <c r="E5" s="78" t="s">
        <v>1161</v>
      </c>
      <c r="F5" s="88"/>
      <c r="G5" s="70" t="s">
        <v>1184</v>
      </c>
    </row>
    <row r="6" spans="1:7" s="79" customFormat="1" ht="12" x14ac:dyDescent="0.2">
      <c r="A6" s="330"/>
      <c r="B6" s="334"/>
      <c r="C6" s="89" t="s">
        <v>774</v>
      </c>
      <c r="D6" s="90" t="s">
        <v>1163</v>
      </c>
      <c r="E6" s="91" t="s">
        <v>1161</v>
      </c>
      <c r="F6" s="92" t="s">
        <v>1167</v>
      </c>
      <c r="G6" s="70" t="s">
        <v>1184</v>
      </c>
    </row>
    <row r="7" spans="1:7" s="79" customFormat="1" ht="12" x14ac:dyDescent="0.2">
      <c r="A7" s="330"/>
      <c r="B7" s="332">
        <v>2</v>
      </c>
      <c r="C7" s="82" t="s">
        <v>772</v>
      </c>
      <c r="D7" s="93" t="s">
        <v>2123</v>
      </c>
      <c r="E7" s="94" t="s">
        <v>1164</v>
      </c>
      <c r="F7" s="85" t="s">
        <v>1165</v>
      </c>
      <c r="G7" s="71" t="s">
        <v>1184</v>
      </c>
    </row>
    <row r="8" spans="1:7" s="79" customFormat="1" ht="12" x14ac:dyDescent="0.2">
      <c r="A8" s="330"/>
      <c r="B8" s="333"/>
      <c r="C8" s="86" t="s">
        <v>773</v>
      </c>
      <c r="D8" s="95" t="s">
        <v>1166</v>
      </c>
      <c r="E8" s="96" t="s">
        <v>1164</v>
      </c>
      <c r="F8" s="88" t="s">
        <v>2108</v>
      </c>
      <c r="G8" s="70" t="s">
        <v>1184</v>
      </c>
    </row>
    <row r="9" spans="1:7" s="79" customFormat="1" ht="24" x14ac:dyDescent="0.2">
      <c r="A9" s="330"/>
      <c r="B9" s="333"/>
      <c r="C9" s="86" t="s">
        <v>774</v>
      </c>
      <c r="D9" s="95" t="s">
        <v>2169</v>
      </c>
      <c r="E9" s="96" t="s">
        <v>1164</v>
      </c>
      <c r="F9" s="88" t="s">
        <v>1168</v>
      </c>
      <c r="G9" s="70" t="s">
        <v>1184</v>
      </c>
    </row>
    <row r="10" spans="1:7" s="79" customFormat="1" ht="12" x14ac:dyDescent="0.2">
      <c r="A10" s="330"/>
      <c r="B10" s="333"/>
      <c r="C10" s="86" t="s">
        <v>775</v>
      </c>
      <c r="D10" s="95" t="s">
        <v>1169</v>
      </c>
      <c r="E10" s="96" t="s">
        <v>1164</v>
      </c>
      <c r="F10" s="97" t="s">
        <v>1170</v>
      </c>
      <c r="G10" s="72" t="s">
        <v>2126</v>
      </c>
    </row>
    <row r="11" spans="1:7" s="79" customFormat="1" ht="12" x14ac:dyDescent="0.2">
      <c r="A11" s="331"/>
      <c r="B11" s="334"/>
      <c r="C11" s="89"/>
      <c r="D11" s="98"/>
      <c r="E11" s="91"/>
      <c r="F11" s="92"/>
      <c r="G11" s="73"/>
    </row>
    <row r="12" spans="1:7" s="79" customFormat="1" ht="12" x14ac:dyDescent="0.25"/>
    <row r="13" spans="1:7" s="79" customFormat="1" ht="12" x14ac:dyDescent="0.2">
      <c r="A13" s="327" t="s">
        <v>2521</v>
      </c>
      <c r="B13" s="327"/>
      <c r="C13" s="327"/>
      <c r="D13" s="327"/>
      <c r="E13" s="327"/>
      <c r="F13" s="327"/>
      <c r="G13" s="327"/>
    </row>
    <row r="14" spans="1:7" s="79" customFormat="1" ht="12" x14ac:dyDescent="0.2">
      <c r="A14" s="327" t="s">
        <v>2384</v>
      </c>
      <c r="B14" s="327"/>
      <c r="C14" s="327"/>
      <c r="D14" s="327"/>
      <c r="E14" s="327"/>
      <c r="F14" s="327"/>
      <c r="G14" s="327"/>
    </row>
    <row r="15" spans="1:7" s="79" customFormat="1" ht="12" x14ac:dyDescent="0.25"/>
  </sheetData>
  <sheetProtection algorithmName="SHA-512" hashValue="i+aMRwqfFAa5aDEyDp/h6zMtdP5CGRnu8/F7SaFQRXBMEv5YyB17bQnPIq/AoHAJ6SRb+3fMfZ9sb1EfWmlFsw==" saltValue="3AL8T0oqCrWvDat/Teusxw==" spinCount="100000" sheet="1" objects="1" scenarios="1"/>
  <mergeCells count="6">
    <mergeCell ref="A14:G14"/>
    <mergeCell ref="A1:F1"/>
    <mergeCell ref="A4:A11"/>
    <mergeCell ref="B4:B6"/>
    <mergeCell ref="B7:B11"/>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98"/>
  <sheetViews>
    <sheetView zoomScaleNormal="100" workbookViewId="0">
      <pane ySplit="4" topLeftCell="A39" activePane="bottomLeft" state="frozen"/>
      <selection pane="bottomLeft" activeCell="J61" sqref="J61"/>
    </sheetView>
  </sheetViews>
  <sheetFormatPr defaultColWidth="22.28515625" defaultRowHeight="11.25" x14ac:dyDescent="0.25"/>
  <cols>
    <col min="1" max="1" width="10.85546875" style="54" bestFit="1" customWidth="1"/>
    <col min="2" max="2" width="6.140625" style="53" bestFit="1" customWidth="1"/>
    <col min="3" max="3" width="6.140625" style="53" customWidth="1"/>
    <col min="4" max="4" width="10.7109375" style="53" bestFit="1" customWidth="1"/>
    <col min="5" max="5" width="8" style="53" bestFit="1" customWidth="1"/>
    <col min="6" max="6" width="8.85546875" style="54" bestFit="1" customWidth="1"/>
    <col min="7" max="7" width="9.85546875" style="54" bestFit="1" customWidth="1"/>
    <col min="8" max="10" width="23.140625" style="54" customWidth="1"/>
    <col min="11" max="13" width="47.7109375" style="54" customWidth="1"/>
    <col min="14" max="16384" width="22.28515625" style="54"/>
  </cols>
  <sheetData>
    <row r="1" spans="1:13" ht="12.75" x14ac:dyDescent="0.25">
      <c r="A1" s="335" t="s">
        <v>755</v>
      </c>
      <c r="B1" s="335"/>
      <c r="C1" s="335"/>
      <c r="D1" s="335"/>
      <c r="E1" s="335"/>
      <c r="F1" s="335"/>
      <c r="H1" s="119" t="s">
        <v>2101</v>
      </c>
      <c r="I1" s="120">
        <f>IF(idiom="ENG",8,IF(idiom="FRA",9,10))</f>
        <v>8</v>
      </c>
    </row>
    <row r="2" spans="1:13" ht="12" x14ac:dyDescent="0.25">
      <c r="H2" s="119" t="s">
        <v>2102</v>
      </c>
      <c r="I2" s="120">
        <f>IF(idiom="ENG",11,IF(idiom="FRA",12,13))</f>
        <v>11</v>
      </c>
    </row>
    <row r="4" spans="1:13" ht="22.5" x14ac:dyDescent="0.25">
      <c r="A4" s="65" t="s">
        <v>753</v>
      </c>
      <c r="B4" s="66" t="s">
        <v>2179</v>
      </c>
      <c r="C4" s="66" t="s">
        <v>2178</v>
      </c>
      <c r="D4" s="66" t="s">
        <v>2180</v>
      </c>
      <c r="E4" s="66" t="s">
        <v>89</v>
      </c>
      <c r="F4" s="66" t="s">
        <v>754</v>
      </c>
      <c r="G4" s="66" t="s">
        <v>964</v>
      </c>
      <c r="H4" s="66" t="s">
        <v>965</v>
      </c>
      <c r="I4" s="66" t="s">
        <v>966</v>
      </c>
      <c r="J4" s="66" t="s">
        <v>967</v>
      </c>
      <c r="K4" s="66" t="s">
        <v>968</v>
      </c>
      <c r="L4" s="66" t="s">
        <v>969</v>
      </c>
      <c r="M4" s="67" t="s">
        <v>970</v>
      </c>
    </row>
    <row r="5" spans="1:13" x14ac:dyDescent="0.25">
      <c r="A5" s="186" t="s">
        <v>971</v>
      </c>
      <c r="B5" s="187">
        <v>290</v>
      </c>
      <c r="C5" s="187" t="s">
        <v>2181</v>
      </c>
      <c r="D5" s="188" t="s">
        <v>2181</v>
      </c>
      <c r="E5" s="187" t="s">
        <v>2182</v>
      </c>
      <c r="F5" s="188" t="s">
        <v>63</v>
      </c>
      <c r="G5" s="188" t="s">
        <v>468</v>
      </c>
      <c r="H5" s="189" t="s">
        <v>85</v>
      </c>
      <c r="I5" s="189" t="s">
        <v>85</v>
      </c>
      <c r="J5" s="189" t="s">
        <v>85</v>
      </c>
      <c r="K5" s="189" t="s">
        <v>2396</v>
      </c>
      <c r="L5" s="189" t="s">
        <v>2397</v>
      </c>
      <c r="M5" s="189" t="s">
        <v>2398</v>
      </c>
    </row>
    <row r="6" spans="1:13" ht="22.5" x14ac:dyDescent="0.25">
      <c r="A6" s="190" t="s">
        <v>972</v>
      </c>
      <c r="B6" s="187">
        <v>291</v>
      </c>
      <c r="C6" s="187" t="s">
        <v>2181</v>
      </c>
      <c r="D6" s="188" t="s">
        <v>2181</v>
      </c>
      <c r="E6" s="187" t="s">
        <v>2182</v>
      </c>
      <c r="F6" s="188" t="s">
        <v>756</v>
      </c>
      <c r="G6" s="188" t="s">
        <v>468</v>
      </c>
      <c r="H6" s="189" t="s">
        <v>473</v>
      </c>
      <c r="I6" s="189" t="s">
        <v>976</v>
      </c>
      <c r="J6" s="189" t="s">
        <v>977</v>
      </c>
      <c r="K6" s="189" t="s">
        <v>88</v>
      </c>
      <c r="L6" s="189" t="s">
        <v>87</v>
      </c>
      <c r="M6" s="189" t="s">
        <v>86</v>
      </c>
    </row>
    <row r="7" spans="1:13" x14ac:dyDescent="0.25">
      <c r="A7" s="186" t="s">
        <v>1029</v>
      </c>
      <c r="B7" s="187">
        <v>292</v>
      </c>
      <c r="C7" s="187" t="s">
        <v>2181</v>
      </c>
      <c r="D7" s="188" t="s">
        <v>2181</v>
      </c>
      <c r="E7" s="187" t="s">
        <v>2182</v>
      </c>
      <c r="F7" s="187" t="s">
        <v>1007</v>
      </c>
      <c r="G7" s="187" t="s">
        <v>468</v>
      </c>
      <c r="H7" s="189" t="s">
        <v>1138</v>
      </c>
      <c r="I7" s="189" t="s">
        <v>1139</v>
      </c>
      <c r="J7" s="189" t="s">
        <v>1140</v>
      </c>
      <c r="K7" s="189" t="s">
        <v>1141</v>
      </c>
      <c r="L7" s="189" t="s">
        <v>1142</v>
      </c>
      <c r="M7" s="189" t="s">
        <v>1143</v>
      </c>
    </row>
    <row r="8" spans="1:13" x14ac:dyDescent="0.25">
      <c r="A8" s="191" t="s">
        <v>2348</v>
      </c>
      <c r="B8" s="192">
        <v>111</v>
      </c>
      <c r="C8" s="192" t="s">
        <v>2181</v>
      </c>
      <c r="D8" s="192" t="s">
        <v>2181</v>
      </c>
      <c r="E8" s="192" t="s">
        <v>2182</v>
      </c>
      <c r="F8" s="192" t="s">
        <v>1007</v>
      </c>
      <c r="G8" s="192" t="s">
        <v>468</v>
      </c>
      <c r="H8" s="193" t="s">
        <v>2349</v>
      </c>
      <c r="I8" s="193" t="s">
        <v>2349</v>
      </c>
      <c r="J8" s="193" t="s">
        <v>2349</v>
      </c>
      <c r="K8" s="193" t="s">
        <v>468</v>
      </c>
      <c r="L8" s="193" t="s">
        <v>468</v>
      </c>
      <c r="M8" s="194" t="s">
        <v>468</v>
      </c>
    </row>
    <row r="9" spans="1:13" x14ac:dyDescent="0.25">
      <c r="A9" s="190" t="s">
        <v>2183</v>
      </c>
      <c r="B9" s="187">
        <v>293</v>
      </c>
      <c r="C9" s="187" t="s">
        <v>2181</v>
      </c>
      <c r="D9" s="188" t="s">
        <v>2181</v>
      </c>
      <c r="E9" s="187" t="s">
        <v>2182</v>
      </c>
      <c r="F9" s="187" t="s">
        <v>781</v>
      </c>
      <c r="G9" s="187" t="s">
        <v>973</v>
      </c>
      <c r="H9" s="189" t="s">
        <v>752</v>
      </c>
      <c r="I9" s="189" t="s">
        <v>752</v>
      </c>
      <c r="J9" s="189" t="s">
        <v>974</v>
      </c>
      <c r="K9" s="189" t="s">
        <v>2184</v>
      </c>
      <c r="L9" s="189" t="s">
        <v>2185</v>
      </c>
      <c r="M9" s="189" t="s">
        <v>2186</v>
      </c>
    </row>
    <row r="10" spans="1:13" x14ac:dyDescent="0.25">
      <c r="A10" s="190" t="s">
        <v>2187</v>
      </c>
      <c r="B10" s="187">
        <v>294</v>
      </c>
      <c r="C10" s="187" t="s">
        <v>2181</v>
      </c>
      <c r="D10" s="188" t="s">
        <v>2181</v>
      </c>
      <c r="E10" s="187" t="s">
        <v>2182</v>
      </c>
      <c r="F10" s="187" t="s">
        <v>781</v>
      </c>
      <c r="G10" s="187" t="s">
        <v>975</v>
      </c>
      <c r="H10" s="189" t="s">
        <v>84</v>
      </c>
      <c r="I10" s="189" t="s">
        <v>83</v>
      </c>
      <c r="J10" s="189" t="s">
        <v>82</v>
      </c>
      <c r="K10" s="189" t="s">
        <v>2188</v>
      </c>
      <c r="L10" s="189" t="s">
        <v>2189</v>
      </c>
      <c r="M10" s="189" t="s">
        <v>2190</v>
      </c>
    </row>
    <row r="11" spans="1:13" x14ac:dyDescent="0.25">
      <c r="A11" s="186" t="s">
        <v>1021</v>
      </c>
      <c r="B11" s="187">
        <v>295</v>
      </c>
      <c r="C11" s="187" t="s">
        <v>2181</v>
      </c>
      <c r="D11" s="188" t="s">
        <v>2181</v>
      </c>
      <c r="E11" s="187" t="s">
        <v>58</v>
      </c>
      <c r="F11" s="187" t="s">
        <v>63</v>
      </c>
      <c r="G11" s="188" t="s">
        <v>468</v>
      </c>
      <c r="H11" s="195" t="s">
        <v>58</v>
      </c>
      <c r="I11" s="195" t="s">
        <v>769</v>
      </c>
      <c r="J11" s="195" t="s">
        <v>770</v>
      </c>
      <c r="K11" s="195" t="s">
        <v>468</v>
      </c>
      <c r="L11" s="195" t="s">
        <v>468</v>
      </c>
      <c r="M11" s="195" t="s">
        <v>468</v>
      </c>
    </row>
    <row r="12" spans="1:13" x14ac:dyDescent="0.25">
      <c r="A12" s="186" t="s">
        <v>978</v>
      </c>
      <c r="B12" s="187">
        <v>296</v>
      </c>
      <c r="C12" s="187" t="s">
        <v>2181</v>
      </c>
      <c r="D12" s="188" t="s">
        <v>2181</v>
      </c>
      <c r="E12" s="187" t="s">
        <v>58</v>
      </c>
      <c r="F12" s="188" t="s">
        <v>1007</v>
      </c>
      <c r="G12" s="188" t="s">
        <v>468</v>
      </c>
      <c r="H12" s="195" t="s">
        <v>2337</v>
      </c>
      <c r="I12" s="195" t="s">
        <v>81</v>
      </c>
      <c r="J12" s="189" t="s">
        <v>777</v>
      </c>
      <c r="K12" s="189" t="s">
        <v>468</v>
      </c>
      <c r="L12" s="189" t="s">
        <v>468</v>
      </c>
      <c r="M12" s="189" t="s">
        <v>468</v>
      </c>
    </row>
    <row r="13" spans="1:13" x14ac:dyDescent="0.25">
      <c r="A13" s="190" t="s">
        <v>982</v>
      </c>
      <c r="B13" s="187">
        <v>297</v>
      </c>
      <c r="C13" s="187" t="s">
        <v>2181</v>
      </c>
      <c r="D13" s="188" t="s">
        <v>2181</v>
      </c>
      <c r="E13" s="187" t="s">
        <v>58</v>
      </c>
      <c r="F13" s="187" t="s">
        <v>1022</v>
      </c>
      <c r="G13" s="188" t="s">
        <v>468</v>
      </c>
      <c r="H13" s="195" t="s">
        <v>53</v>
      </c>
      <c r="I13" s="195" t="s">
        <v>53</v>
      </c>
      <c r="J13" s="195" t="s">
        <v>52</v>
      </c>
      <c r="K13" s="195" t="s">
        <v>468</v>
      </c>
      <c r="L13" s="195" t="s">
        <v>468</v>
      </c>
      <c r="M13" s="195" t="s">
        <v>468</v>
      </c>
    </row>
    <row r="14" spans="1:13" x14ac:dyDescent="0.25">
      <c r="A14" s="190" t="s">
        <v>986</v>
      </c>
      <c r="B14" s="187">
        <v>298</v>
      </c>
      <c r="C14" s="187" t="s">
        <v>2181</v>
      </c>
      <c r="D14" s="188" t="s">
        <v>2181</v>
      </c>
      <c r="E14" s="187" t="s">
        <v>58</v>
      </c>
      <c r="F14" s="187" t="s">
        <v>1022</v>
      </c>
      <c r="G14" s="188" t="s">
        <v>468</v>
      </c>
      <c r="H14" s="195" t="s">
        <v>51</v>
      </c>
      <c r="I14" s="195" t="s">
        <v>51</v>
      </c>
      <c r="J14" s="195" t="s">
        <v>50</v>
      </c>
      <c r="K14" s="195" t="s">
        <v>468</v>
      </c>
      <c r="L14" s="195" t="s">
        <v>468</v>
      </c>
      <c r="M14" s="195" t="s">
        <v>468</v>
      </c>
    </row>
    <row r="15" spans="1:13" x14ac:dyDescent="0.25">
      <c r="A15" s="190" t="s">
        <v>979</v>
      </c>
      <c r="B15" s="187">
        <v>299</v>
      </c>
      <c r="C15" s="187" t="s">
        <v>2181</v>
      </c>
      <c r="D15" s="188" t="s">
        <v>2181</v>
      </c>
      <c r="E15" s="187" t="s">
        <v>58</v>
      </c>
      <c r="F15" s="188" t="s">
        <v>1007</v>
      </c>
      <c r="G15" s="188" t="s">
        <v>468</v>
      </c>
      <c r="H15" s="189" t="s">
        <v>1030</v>
      </c>
      <c r="I15" s="189" t="s">
        <v>778</v>
      </c>
      <c r="J15" s="189" t="s">
        <v>1031</v>
      </c>
      <c r="K15" s="189" t="s">
        <v>468</v>
      </c>
      <c r="L15" s="189" t="s">
        <v>468</v>
      </c>
      <c r="M15" s="189" t="s">
        <v>468</v>
      </c>
    </row>
    <row r="16" spans="1:13" x14ac:dyDescent="0.25">
      <c r="A16" s="196" t="s">
        <v>987</v>
      </c>
      <c r="B16" s="187">
        <v>300</v>
      </c>
      <c r="C16" s="187" t="s">
        <v>2181</v>
      </c>
      <c r="D16" s="188" t="s">
        <v>2181</v>
      </c>
      <c r="E16" s="187" t="s">
        <v>58</v>
      </c>
      <c r="F16" s="188" t="s">
        <v>1022</v>
      </c>
      <c r="G16" s="188" t="s">
        <v>468</v>
      </c>
      <c r="H16" s="195" t="s">
        <v>1032</v>
      </c>
      <c r="I16" s="189" t="s">
        <v>1033</v>
      </c>
      <c r="J16" s="189" t="s">
        <v>1034</v>
      </c>
      <c r="K16" s="189" t="s">
        <v>468</v>
      </c>
      <c r="L16" s="189" t="s">
        <v>468</v>
      </c>
      <c r="M16" s="189" t="s">
        <v>468</v>
      </c>
    </row>
    <row r="17" spans="1:13" ht="22.5" x14ac:dyDescent="0.25">
      <c r="A17" s="190" t="s">
        <v>980</v>
      </c>
      <c r="B17" s="187">
        <v>301</v>
      </c>
      <c r="C17" s="187" t="s">
        <v>2181</v>
      </c>
      <c r="D17" s="188" t="s">
        <v>2181</v>
      </c>
      <c r="E17" s="187" t="s">
        <v>58</v>
      </c>
      <c r="F17" s="188" t="s">
        <v>1007</v>
      </c>
      <c r="G17" s="188" t="s">
        <v>468</v>
      </c>
      <c r="H17" s="189" t="s">
        <v>80</v>
      </c>
      <c r="I17" s="189" t="s">
        <v>2191</v>
      </c>
      <c r="J17" s="189" t="s">
        <v>2192</v>
      </c>
      <c r="K17" s="189" t="s">
        <v>468</v>
      </c>
      <c r="L17" s="189" t="s">
        <v>468</v>
      </c>
      <c r="M17" s="189" t="s">
        <v>468</v>
      </c>
    </row>
    <row r="18" spans="1:13" x14ac:dyDescent="0.25">
      <c r="A18" s="190" t="s">
        <v>1035</v>
      </c>
      <c r="B18" s="187">
        <v>302</v>
      </c>
      <c r="C18" s="187" t="s">
        <v>2181</v>
      </c>
      <c r="D18" s="188" t="s">
        <v>2181</v>
      </c>
      <c r="E18" s="187" t="s">
        <v>58</v>
      </c>
      <c r="F18" s="187" t="s">
        <v>1022</v>
      </c>
      <c r="G18" s="188" t="s">
        <v>468</v>
      </c>
      <c r="H18" s="189" t="s">
        <v>49</v>
      </c>
      <c r="I18" s="189" t="s">
        <v>77</v>
      </c>
      <c r="J18" s="189" t="s">
        <v>76</v>
      </c>
      <c r="K18" s="189" t="s">
        <v>468</v>
      </c>
      <c r="L18" s="189" t="s">
        <v>468</v>
      </c>
      <c r="M18" s="189" t="s">
        <v>468</v>
      </c>
    </row>
    <row r="19" spans="1:13" x14ac:dyDescent="0.25">
      <c r="A19" s="190" t="s">
        <v>1037</v>
      </c>
      <c r="B19" s="187">
        <v>303</v>
      </c>
      <c r="C19" s="187" t="s">
        <v>2181</v>
      </c>
      <c r="D19" s="188" t="s">
        <v>2181</v>
      </c>
      <c r="E19" s="187" t="s">
        <v>58</v>
      </c>
      <c r="F19" s="187" t="s">
        <v>1022</v>
      </c>
      <c r="G19" s="188" t="s">
        <v>468</v>
      </c>
      <c r="H19" s="195" t="s">
        <v>1036</v>
      </c>
      <c r="I19" s="195" t="s">
        <v>79</v>
      </c>
      <c r="J19" s="195" t="s">
        <v>78</v>
      </c>
      <c r="K19" s="195" t="s">
        <v>468</v>
      </c>
      <c r="L19" s="195" t="s">
        <v>468</v>
      </c>
      <c r="M19" s="195" t="s">
        <v>468</v>
      </c>
    </row>
    <row r="20" spans="1:13" x14ac:dyDescent="0.25">
      <c r="A20" s="196" t="s">
        <v>1038</v>
      </c>
      <c r="B20" s="187">
        <v>304</v>
      </c>
      <c r="C20" s="187" t="s">
        <v>2181</v>
      </c>
      <c r="D20" s="188" t="s">
        <v>2181</v>
      </c>
      <c r="E20" s="187" t="s">
        <v>58</v>
      </c>
      <c r="F20" s="187" t="s">
        <v>1022</v>
      </c>
      <c r="G20" s="188" t="s">
        <v>468</v>
      </c>
      <c r="H20" s="195" t="s">
        <v>2174</v>
      </c>
      <c r="I20" s="195" t="s">
        <v>2175</v>
      </c>
      <c r="J20" s="195" t="s">
        <v>2176</v>
      </c>
      <c r="K20" s="195" t="s">
        <v>468</v>
      </c>
      <c r="L20" s="195" t="s">
        <v>468</v>
      </c>
      <c r="M20" s="195" t="s">
        <v>468</v>
      </c>
    </row>
    <row r="21" spans="1:13" x14ac:dyDescent="0.25">
      <c r="A21" s="186" t="s">
        <v>981</v>
      </c>
      <c r="B21" s="187">
        <v>305</v>
      </c>
      <c r="C21" s="187" t="s">
        <v>2181</v>
      </c>
      <c r="D21" s="188" t="s">
        <v>2181</v>
      </c>
      <c r="E21" s="187" t="s">
        <v>58</v>
      </c>
      <c r="F21" s="188" t="s">
        <v>1007</v>
      </c>
      <c r="G21" s="188" t="s">
        <v>468</v>
      </c>
      <c r="H21" s="195" t="s">
        <v>779</v>
      </c>
      <c r="I21" s="189" t="s">
        <v>1144</v>
      </c>
      <c r="J21" s="195" t="s">
        <v>780</v>
      </c>
      <c r="K21" s="195" t="s">
        <v>468</v>
      </c>
      <c r="L21" s="195" t="s">
        <v>468</v>
      </c>
      <c r="M21" s="195" t="s">
        <v>468</v>
      </c>
    </row>
    <row r="22" spans="1:13" ht="22.5" x14ac:dyDescent="0.25">
      <c r="A22" s="186" t="s">
        <v>983</v>
      </c>
      <c r="B22" s="187">
        <v>306</v>
      </c>
      <c r="C22" s="187" t="s">
        <v>2181</v>
      </c>
      <c r="D22" s="188" t="s">
        <v>2181</v>
      </c>
      <c r="E22" s="187" t="s">
        <v>58</v>
      </c>
      <c r="F22" s="188" t="s">
        <v>781</v>
      </c>
      <c r="G22" s="187" t="s">
        <v>2124</v>
      </c>
      <c r="H22" s="195" t="s">
        <v>45</v>
      </c>
      <c r="I22" s="195" t="s">
        <v>44</v>
      </c>
      <c r="J22" s="195" t="s">
        <v>5</v>
      </c>
      <c r="K22" s="195" t="s">
        <v>2193</v>
      </c>
      <c r="L22" s="195" t="s">
        <v>2194</v>
      </c>
      <c r="M22" s="195" t="s">
        <v>2195</v>
      </c>
    </row>
    <row r="23" spans="1:13" x14ac:dyDescent="0.25">
      <c r="A23" s="186" t="s">
        <v>984</v>
      </c>
      <c r="B23" s="187">
        <v>307</v>
      </c>
      <c r="C23" s="187" t="s">
        <v>2181</v>
      </c>
      <c r="D23" s="188" t="s">
        <v>2181</v>
      </c>
      <c r="E23" s="187" t="s">
        <v>58</v>
      </c>
      <c r="F23" s="188" t="s">
        <v>781</v>
      </c>
      <c r="G23" s="187" t="s">
        <v>2124</v>
      </c>
      <c r="H23" s="195" t="s">
        <v>43</v>
      </c>
      <c r="I23" s="195" t="s">
        <v>43</v>
      </c>
      <c r="J23" s="195" t="s">
        <v>43</v>
      </c>
      <c r="K23" s="195" t="s">
        <v>2196</v>
      </c>
      <c r="L23" s="195" t="s">
        <v>2197</v>
      </c>
      <c r="M23" s="195" t="s">
        <v>2198</v>
      </c>
    </row>
    <row r="24" spans="1:13" x14ac:dyDescent="0.25">
      <c r="A24" s="186" t="s">
        <v>985</v>
      </c>
      <c r="B24" s="187">
        <v>308</v>
      </c>
      <c r="C24" s="187" t="s">
        <v>2181</v>
      </c>
      <c r="D24" s="188" t="s">
        <v>2181</v>
      </c>
      <c r="E24" s="187" t="s">
        <v>58</v>
      </c>
      <c r="F24" s="188" t="s">
        <v>781</v>
      </c>
      <c r="G24" s="187" t="s">
        <v>2124</v>
      </c>
      <c r="H24" s="195" t="s">
        <v>42</v>
      </c>
      <c r="I24" s="195" t="s">
        <v>41</v>
      </c>
      <c r="J24" s="195" t="s">
        <v>40</v>
      </c>
      <c r="K24" s="195" t="s">
        <v>2199</v>
      </c>
      <c r="L24" s="195" t="s">
        <v>2200</v>
      </c>
      <c r="M24" s="195" t="s">
        <v>2201</v>
      </c>
    </row>
    <row r="25" spans="1:13" ht="22.5" x14ac:dyDescent="0.25">
      <c r="A25" s="186" t="s">
        <v>988</v>
      </c>
      <c r="B25" s="187">
        <v>309</v>
      </c>
      <c r="C25" s="187" t="s">
        <v>2181</v>
      </c>
      <c r="D25" s="188" t="s">
        <v>2181</v>
      </c>
      <c r="E25" s="187" t="s">
        <v>58</v>
      </c>
      <c r="F25" s="188" t="s">
        <v>781</v>
      </c>
      <c r="G25" s="187" t="s">
        <v>2124</v>
      </c>
      <c r="H25" s="195" t="s">
        <v>39</v>
      </c>
      <c r="I25" s="195" t="s">
        <v>39</v>
      </c>
      <c r="J25" s="195" t="s">
        <v>38</v>
      </c>
      <c r="K25" s="195" t="s">
        <v>2202</v>
      </c>
      <c r="L25" s="195" t="s">
        <v>2203</v>
      </c>
      <c r="M25" s="195" t="s">
        <v>2204</v>
      </c>
    </row>
    <row r="26" spans="1:13" x14ac:dyDescent="0.25">
      <c r="A26" s="186" t="s">
        <v>989</v>
      </c>
      <c r="B26" s="187">
        <v>310</v>
      </c>
      <c r="C26" s="187" t="s">
        <v>2181</v>
      </c>
      <c r="D26" s="188" t="s">
        <v>2181</v>
      </c>
      <c r="E26" s="187" t="s">
        <v>58</v>
      </c>
      <c r="F26" s="188" t="s">
        <v>781</v>
      </c>
      <c r="G26" s="187" t="s">
        <v>2124</v>
      </c>
      <c r="H26" s="195" t="s">
        <v>37</v>
      </c>
      <c r="I26" s="195" t="s">
        <v>36</v>
      </c>
      <c r="J26" s="195" t="s">
        <v>35</v>
      </c>
      <c r="K26" s="195" t="s">
        <v>2205</v>
      </c>
      <c r="L26" s="195" t="s">
        <v>2206</v>
      </c>
      <c r="M26" s="195" t="s">
        <v>2207</v>
      </c>
    </row>
    <row r="27" spans="1:13" x14ac:dyDescent="0.25">
      <c r="A27" s="186" t="s">
        <v>990</v>
      </c>
      <c r="B27" s="187">
        <v>311</v>
      </c>
      <c r="C27" s="187" t="s">
        <v>2181</v>
      </c>
      <c r="D27" s="188" t="s">
        <v>2181</v>
      </c>
      <c r="E27" s="187" t="s">
        <v>58</v>
      </c>
      <c r="F27" s="188" t="s">
        <v>781</v>
      </c>
      <c r="G27" s="187" t="s">
        <v>2124</v>
      </c>
      <c r="H27" s="195" t="s">
        <v>34</v>
      </c>
      <c r="I27" s="195" t="s">
        <v>33</v>
      </c>
      <c r="J27" s="195" t="s">
        <v>32</v>
      </c>
      <c r="K27" s="195" t="s">
        <v>2208</v>
      </c>
      <c r="L27" s="195" t="s">
        <v>2209</v>
      </c>
      <c r="M27" s="195" t="s">
        <v>2210</v>
      </c>
    </row>
    <row r="28" spans="1:13" x14ac:dyDescent="0.25">
      <c r="A28" s="186" t="s">
        <v>991</v>
      </c>
      <c r="B28" s="187">
        <v>312</v>
      </c>
      <c r="C28" s="187" t="s">
        <v>2181</v>
      </c>
      <c r="D28" s="188" t="s">
        <v>2181</v>
      </c>
      <c r="E28" s="187" t="s">
        <v>58</v>
      </c>
      <c r="F28" s="188" t="s">
        <v>781</v>
      </c>
      <c r="G28" s="187" t="s">
        <v>975</v>
      </c>
      <c r="H28" s="189" t="s">
        <v>31</v>
      </c>
      <c r="I28" s="195" t="s">
        <v>30</v>
      </c>
      <c r="J28" s="195" t="s">
        <v>29</v>
      </c>
      <c r="K28" s="195" t="s">
        <v>2211</v>
      </c>
      <c r="L28" s="195" t="s">
        <v>2212</v>
      </c>
      <c r="M28" s="195" t="s">
        <v>2213</v>
      </c>
    </row>
    <row r="29" spans="1:13" x14ac:dyDescent="0.25">
      <c r="A29" s="186" t="s">
        <v>992</v>
      </c>
      <c r="B29" s="187">
        <v>313</v>
      </c>
      <c r="C29" s="187" t="s">
        <v>2181</v>
      </c>
      <c r="D29" s="188" t="s">
        <v>2181</v>
      </c>
      <c r="E29" s="187" t="s">
        <v>58</v>
      </c>
      <c r="F29" s="188" t="s">
        <v>781</v>
      </c>
      <c r="G29" s="187" t="s">
        <v>975</v>
      </c>
      <c r="H29" s="189" t="s">
        <v>1039</v>
      </c>
      <c r="I29" s="189" t="s">
        <v>28</v>
      </c>
      <c r="J29" s="189" t="s">
        <v>1145</v>
      </c>
      <c r="K29" s="189" t="s">
        <v>2214</v>
      </c>
      <c r="L29" s="189" t="s">
        <v>2215</v>
      </c>
      <c r="M29" s="189" t="s">
        <v>2216</v>
      </c>
    </row>
    <row r="30" spans="1:13" ht="33.75" x14ac:dyDescent="0.25">
      <c r="A30" s="186" t="s">
        <v>2119</v>
      </c>
      <c r="B30" s="187">
        <v>314</v>
      </c>
      <c r="C30" s="187" t="s">
        <v>2181</v>
      </c>
      <c r="D30" s="188" t="s">
        <v>2181</v>
      </c>
      <c r="E30" s="187" t="s">
        <v>58</v>
      </c>
      <c r="F30" s="187" t="s">
        <v>781</v>
      </c>
      <c r="G30" s="187" t="s">
        <v>1040</v>
      </c>
      <c r="H30" s="189" t="s">
        <v>2113</v>
      </c>
      <c r="I30" s="189" t="s">
        <v>2114</v>
      </c>
      <c r="J30" s="189" t="s">
        <v>2115</v>
      </c>
      <c r="K30" s="189" t="s">
        <v>2217</v>
      </c>
      <c r="L30" s="189" t="s">
        <v>2218</v>
      </c>
      <c r="M30" s="189" t="s">
        <v>2219</v>
      </c>
    </row>
    <row r="31" spans="1:13" ht="33.75" x14ac:dyDescent="0.25">
      <c r="A31" s="186" t="s">
        <v>2120</v>
      </c>
      <c r="B31" s="187">
        <v>315</v>
      </c>
      <c r="C31" s="187" t="s">
        <v>2181</v>
      </c>
      <c r="D31" s="188" t="s">
        <v>2181</v>
      </c>
      <c r="E31" s="187" t="s">
        <v>58</v>
      </c>
      <c r="F31" s="187" t="s">
        <v>781</v>
      </c>
      <c r="G31" s="187" t="s">
        <v>1040</v>
      </c>
      <c r="H31" s="189" t="s">
        <v>2116</v>
      </c>
      <c r="I31" s="189" t="s">
        <v>2117</v>
      </c>
      <c r="J31" s="189" t="s">
        <v>2118</v>
      </c>
      <c r="K31" s="189" t="s">
        <v>2220</v>
      </c>
      <c r="L31" s="189" t="s">
        <v>2221</v>
      </c>
      <c r="M31" s="189" t="s">
        <v>2222</v>
      </c>
    </row>
    <row r="32" spans="1:13" x14ac:dyDescent="0.25">
      <c r="A32" s="196" t="s">
        <v>1041</v>
      </c>
      <c r="B32" s="187">
        <v>316</v>
      </c>
      <c r="C32" s="187" t="s">
        <v>2181</v>
      </c>
      <c r="D32" s="188" t="s">
        <v>2181</v>
      </c>
      <c r="E32" s="187" t="s">
        <v>58</v>
      </c>
      <c r="F32" s="188" t="s">
        <v>781</v>
      </c>
      <c r="G32" s="188" t="s">
        <v>975</v>
      </c>
      <c r="H32" s="189" t="s">
        <v>1042</v>
      </c>
      <c r="I32" s="189" t="s">
        <v>1043</v>
      </c>
      <c r="J32" s="189" t="s">
        <v>1044</v>
      </c>
      <c r="K32" s="189" t="s">
        <v>2223</v>
      </c>
      <c r="L32" s="189" t="s">
        <v>2224</v>
      </c>
      <c r="M32" s="189" t="s">
        <v>2225</v>
      </c>
    </row>
    <row r="33" spans="1:13" ht="22.5" x14ac:dyDescent="0.25">
      <c r="A33" s="186" t="s">
        <v>993</v>
      </c>
      <c r="B33" s="187">
        <v>317</v>
      </c>
      <c r="C33" s="187" t="s">
        <v>2181</v>
      </c>
      <c r="D33" s="188" t="s">
        <v>2181</v>
      </c>
      <c r="E33" s="187" t="s">
        <v>58</v>
      </c>
      <c r="F33" s="188" t="s">
        <v>781</v>
      </c>
      <c r="G33" s="187" t="s">
        <v>975</v>
      </c>
      <c r="H33" s="195" t="s">
        <v>27</v>
      </c>
      <c r="I33" s="195" t="s">
        <v>26</v>
      </c>
      <c r="J33" s="195" t="s">
        <v>25</v>
      </c>
      <c r="K33" s="195" t="s">
        <v>2226</v>
      </c>
      <c r="L33" s="195" t="s">
        <v>2227</v>
      </c>
      <c r="M33" s="195" t="s">
        <v>2228</v>
      </c>
    </row>
    <row r="34" spans="1:13" ht="33.75" x14ac:dyDescent="0.25">
      <c r="A34" s="190" t="s">
        <v>1002</v>
      </c>
      <c r="B34" s="187">
        <v>318</v>
      </c>
      <c r="C34" s="187" t="s">
        <v>2181</v>
      </c>
      <c r="D34" s="188" t="s">
        <v>2181</v>
      </c>
      <c r="E34" s="187" t="s">
        <v>58</v>
      </c>
      <c r="F34" s="187" t="s">
        <v>781</v>
      </c>
      <c r="G34" s="187" t="s">
        <v>975</v>
      </c>
      <c r="H34" s="189" t="s">
        <v>1003</v>
      </c>
      <c r="I34" s="189" t="s">
        <v>1004</v>
      </c>
      <c r="J34" s="189" t="s">
        <v>1005</v>
      </c>
      <c r="K34" s="189" t="s">
        <v>2229</v>
      </c>
      <c r="L34" s="189" t="s">
        <v>2230</v>
      </c>
      <c r="M34" s="189" t="s">
        <v>2231</v>
      </c>
    </row>
    <row r="35" spans="1:13" ht="22.5" x14ac:dyDescent="0.25">
      <c r="A35" s="196" t="s">
        <v>995</v>
      </c>
      <c r="B35" s="187">
        <v>319</v>
      </c>
      <c r="C35" s="187" t="s">
        <v>2181</v>
      </c>
      <c r="D35" s="188" t="s">
        <v>2181</v>
      </c>
      <c r="E35" s="187" t="s">
        <v>58</v>
      </c>
      <c r="F35" s="188" t="s">
        <v>781</v>
      </c>
      <c r="G35" s="187" t="s">
        <v>975</v>
      </c>
      <c r="H35" s="195" t="s">
        <v>13</v>
      </c>
      <c r="I35" s="195" t="s">
        <v>12</v>
      </c>
      <c r="J35" s="195" t="s">
        <v>11</v>
      </c>
      <c r="K35" s="195" t="s">
        <v>2232</v>
      </c>
      <c r="L35" s="195" t="s">
        <v>2233</v>
      </c>
      <c r="M35" s="195" t="s">
        <v>2234</v>
      </c>
    </row>
    <row r="36" spans="1:13" ht="22.5" x14ac:dyDescent="0.25">
      <c r="A36" s="190" t="s">
        <v>2345</v>
      </c>
      <c r="B36" s="187">
        <v>320</v>
      </c>
      <c r="C36" s="187" t="s">
        <v>2181</v>
      </c>
      <c r="D36" s="188" t="s">
        <v>2181</v>
      </c>
      <c r="E36" s="187" t="s">
        <v>58</v>
      </c>
      <c r="F36" s="188" t="s">
        <v>781</v>
      </c>
      <c r="G36" s="187" t="s">
        <v>975</v>
      </c>
      <c r="H36" s="195" t="s">
        <v>24</v>
      </c>
      <c r="I36" s="195" t="s">
        <v>23</v>
      </c>
      <c r="J36" s="195" t="s">
        <v>22</v>
      </c>
      <c r="K36" s="195" t="s">
        <v>2235</v>
      </c>
      <c r="L36" s="195" t="s">
        <v>2236</v>
      </c>
      <c r="M36" s="195" t="s">
        <v>2237</v>
      </c>
    </row>
    <row r="37" spans="1:13" ht="22.5" x14ac:dyDescent="0.25">
      <c r="A37" s="196" t="s">
        <v>1045</v>
      </c>
      <c r="B37" s="187">
        <v>321</v>
      </c>
      <c r="C37" s="187" t="s">
        <v>2181</v>
      </c>
      <c r="D37" s="188" t="s">
        <v>2181</v>
      </c>
      <c r="E37" s="187" t="s">
        <v>58</v>
      </c>
      <c r="F37" s="188" t="s">
        <v>781</v>
      </c>
      <c r="G37" s="187" t="s">
        <v>975</v>
      </c>
      <c r="H37" s="195" t="s">
        <v>1046</v>
      </c>
      <c r="I37" s="195" t="s">
        <v>1047</v>
      </c>
      <c r="J37" s="195" t="s">
        <v>1048</v>
      </c>
      <c r="K37" s="195" t="s">
        <v>2238</v>
      </c>
      <c r="L37" s="195" t="s">
        <v>2239</v>
      </c>
      <c r="M37" s="195" t="s">
        <v>2240</v>
      </c>
    </row>
    <row r="38" spans="1:13" ht="22.5" x14ac:dyDescent="0.25">
      <c r="A38" s="196" t="s">
        <v>994</v>
      </c>
      <c r="B38" s="187">
        <v>322</v>
      </c>
      <c r="C38" s="187" t="s">
        <v>2181</v>
      </c>
      <c r="D38" s="188" t="s">
        <v>2181</v>
      </c>
      <c r="E38" s="187" t="s">
        <v>58</v>
      </c>
      <c r="F38" s="188" t="s">
        <v>781</v>
      </c>
      <c r="G38" s="188" t="s">
        <v>975</v>
      </c>
      <c r="H38" s="195" t="s">
        <v>1049</v>
      </c>
      <c r="I38" s="195" t="s">
        <v>1050</v>
      </c>
      <c r="J38" s="195" t="s">
        <v>1051</v>
      </c>
      <c r="K38" s="195" t="s">
        <v>2241</v>
      </c>
      <c r="L38" s="195" t="s">
        <v>2242</v>
      </c>
      <c r="M38" s="195" t="s">
        <v>2243</v>
      </c>
    </row>
    <row r="39" spans="1:13" ht="22.5" x14ac:dyDescent="0.25">
      <c r="A39" s="196" t="s">
        <v>1052</v>
      </c>
      <c r="B39" s="187">
        <v>323</v>
      </c>
      <c r="C39" s="187" t="s">
        <v>2181</v>
      </c>
      <c r="D39" s="188" t="s">
        <v>2181</v>
      </c>
      <c r="E39" s="187" t="s">
        <v>58</v>
      </c>
      <c r="F39" s="188" t="s">
        <v>781</v>
      </c>
      <c r="G39" s="188" t="s">
        <v>1053</v>
      </c>
      <c r="H39" s="195" t="s">
        <v>1054</v>
      </c>
      <c r="I39" s="195" t="s">
        <v>1055</v>
      </c>
      <c r="J39" s="195" t="s">
        <v>1056</v>
      </c>
      <c r="K39" s="195" t="s">
        <v>2244</v>
      </c>
      <c r="L39" s="195" t="s">
        <v>2245</v>
      </c>
      <c r="M39" s="195" t="s">
        <v>2246</v>
      </c>
    </row>
    <row r="40" spans="1:13" ht="33.75" x14ac:dyDescent="0.25">
      <c r="A40" s="196" t="s">
        <v>2177</v>
      </c>
      <c r="B40" s="187">
        <v>324</v>
      </c>
      <c r="C40" s="187" t="s">
        <v>2181</v>
      </c>
      <c r="D40" s="188" t="s">
        <v>2181</v>
      </c>
      <c r="E40" s="187" t="s">
        <v>58</v>
      </c>
      <c r="F40" s="188" t="s">
        <v>781</v>
      </c>
      <c r="G40" s="187" t="s">
        <v>975</v>
      </c>
      <c r="H40" s="195" t="s">
        <v>2247</v>
      </c>
      <c r="I40" s="195" t="s">
        <v>2248</v>
      </c>
      <c r="J40" s="195" t="s">
        <v>2249</v>
      </c>
      <c r="K40" s="195" t="s">
        <v>2250</v>
      </c>
      <c r="L40" s="195" t="s">
        <v>2251</v>
      </c>
      <c r="M40" s="195" t="s">
        <v>2252</v>
      </c>
    </row>
    <row r="41" spans="1:13" x14ac:dyDescent="0.25">
      <c r="A41" s="196" t="s">
        <v>996</v>
      </c>
      <c r="B41" s="187">
        <v>325</v>
      </c>
      <c r="C41" s="187" t="s">
        <v>2181</v>
      </c>
      <c r="D41" s="188" t="s">
        <v>2181</v>
      </c>
      <c r="E41" s="187" t="s">
        <v>58</v>
      </c>
      <c r="F41" s="188" t="s">
        <v>781</v>
      </c>
      <c r="G41" s="188" t="s">
        <v>1040</v>
      </c>
      <c r="H41" s="195" t="s">
        <v>21</v>
      </c>
      <c r="I41" s="195" t="s">
        <v>20</v>
      </c>
      <c r="J41" s="195" t="s">
        <v>19</v>
      </c>
      <c r="K41" s="195" t="s">
        <v>2253</v>
      </c>
      <c r="L41" s="195" t="s">
        <v>2254</v>
      </c>
      <c r="M41" s="195" t="s">
        <v>2255</v>
      </c>
    </row>
    <row r="42" spans="1:13" ht="22.5" x14ac:dyDescent="0.25">
      <c r="A42" s="196" t="s">
        <v>997</v>
      </c>
      <c r="B42" s="187">
        <v>326</v>
      </c>
      <c r="C42" s="187" t="s">
        <v>2181</v>
      </c>
      <c r="D42" s="188" t="s">
        <v>2181</v>
      </c>
      <c r="E42" s="187" t="s">
        <v>58</v>
      </c>
      <c r="F42" s="188" t="s">
        <v>781</v>
      </c>
      <c r="G42" s="188" t="s">
        <v>975</v>
      </c>
      <c r="H42" s="195" t="s">
        <v>18</v>
      </c>
      <c r="I42" s="195" t="s">
        <v>17</v>
      </c>
      <c r="J42" s="195" t="s">
        <v>16</v>
      </c>
      <c r="K42" s="195" t="s">
        <v>2256</v>
      </c>
      <c r="L42" s="195" t="s">
        <v>2257</v>
      </c>
      <c r="M42" s="195" t="s">
        <v>2258</v>
      </c>
    </row>
    <row r="43" spans="1:13" x14ac:dyDescent="0.25">
      <c r="A43" s="190" t="s">
        <v>998</v>
      </c>
      <c r="B43" s="187">
        <v>327</v>
      </c>
      <c r="C43" s="187" t="s">
        <v>2181</v>
      </c>
      <c r="D43" s="188" t="s">
        <v>2181</v>
      </c>
      <c r="E43" s="187" t="s">
        <v>58</v>
      </c>
      <c r="F43" s="188" t="s">
        <v>781</v>
      </c>
      <c r="G43" s="187" t="s">
        <v>1057</v>
      </c>
      <c r="H43" s="195" t="s">
        <v>782</v>
      </c>
      <c r="I43" s="189" t="s">
        <v>1146</v>
      </c>
      <c r="J43" s="195" t="s">
        <v>783</v>
      </c>
      <c r="K43" s="195" t="s">
        <v>1030</v>
      </c>
      <c r="L43" s="195" t="s">
        <v>778</v>
      </c>
      <c r="M43" s="195" t="s">
        <v>1058</v>
      </c>
    </row>
    <row r="44" spans="1:13" x14ac:dyDescent="0.25">
      <c r="A44" s="186" t="s">
        <v>999</v>
      </c>
      <c r="B44" s="187">
        <v>328</v>
      </c>
      <c r="C44" s="187" t="s">
        <v>2181</v>
      </c>
      <c r="D44" s="188" t="s">
        <v>2181</v>
      </c>
      <c r="E44" s="187" t="s">
        <v>58</v>
      </c>
      <c r="F44" s="188" t="s">
        <v>781</v>
      </c>
      <c r="G44" s="187" t="s">
        <v>975</v>
      </c>
      <c r="H44" s="195" t="s">
        <v>784</v>
      </c>
      <c r="I44" s="195" t="s">
        <v>785</v>
      </c>
      <c r="J44" s="195" t="s">
        <v>786</v>
      </c>
      <c r="K44" s="195" t="s">
        <v>1030</v>
      </c>
      <c r="L44" s="195" t="s">
        <v>778</v>
      </c>
      <c r="M44" s="195" t="s">
        <v>1031</v>
      </c>
    </row>
    <row r="45" spans="1:13" ht="22.5" x14ac:dyDescent="0.25">
      <c r="A45" s="190" t="s">
        <v>1000</v>
      </c>
      <c r="B45" s="187">
        <v>329</v>
      </c>
      <c r="C45" s="187" t="s">
        <v>2181</v>
      </c>
      <c r="D45" s="188" t="s">
        <v>2181</v>
      </c>
      <c r="E45" s="187" t="s">
        <v>58</v>
      </c>
      <c r="F45" s="188" t="s">
        <v>781</v>
      </c>
      <c r="G45" s="187" t="s">
        <v>2124</v>
      </c>
      <c r="H45" s="189" t="s">
        <v>787</v>
      </c>
      <c r="I45" s="189" t="s">
        <v>788</v>
      </c>
      <c r="J45" s="189" t="s">
        <v>789</v>
      </c>
      <c r="K45" s="189" t="s">
        <v>1059</v>
      </c>
      <c r="L45" s="189" t="s">
        <v>2259</v>
      </c>
      <c r="M45" s="189" t="s">
        <v>1147</v>
      </c>
    </row>
    <row r="46" spans="1:13" x14ac:dyDescent="0.25">
      <c r="A46" s="190" t="s">
        <v>1060</v>
      </c>
      <c r="B46" s="187">
        <v>330</v>
      </c>
      <c r="C46" s="187" t="s">
        <v>2181</v>
      </c>
      <c r="D46" s="188" t="s">
        <v>2181</v>
      </c>
      <c r="E46" s="187" t="s">
        <v>58</v>
      </c>
      <c r="F46" s="187" t="s">
        <v>781</v>
      </c>
      <c r="G46" s="187" t="s">
        <v>1053</v>
      </c>
      <c r="H46" s="189" t="s">
        <v>958</v>
      </c>
      <c r="I46" s="189" t="s">
        <v>1061</v>
      </c>
      <c r="J46" s="189" t="s">
        <v>1062</v>
      </c>
      <c r="K46" s="189" t="s">
        <v>1030</v>
      </c>
      <c r="L46" s="189" t="s">
        <v>778</v>
      </c>
      <c r="M46" s="189" t="s">
        <v>1058</v>
      </c>
    </row>
    <row r="47" spans="1:13" x14ac:dyDescent="0.25">
      <c r="A47" s="190" t="s">
        <v>1063</v>
      </c>
      <c r="B47" s="187">
        <v>331</v>
      </c>
      <c r="C47" s="187" t="s">
        <v>2181</v>
      </c>
      <c r="D47" s="188" t="s">
        <v>2181</v>
      </c>
      <c r="E47" s="187" t="s">
        <v>58</v>
      </c>
      <c r="F47" s="187" t="s">
        <v>781</v>
      </c>
      <c r="G47" s="187" t="s">
        <v>1053</v>
      </c>
      <c r="H47" s="189" t="s">
        <v>959</v>
      </c>
      <c r="I47" s="189" t="s">
        <v>1064</v>
      </c>
      <c r="J47" s="189" t="s">
        <v>1065</v>
      </c>
      <c r="K47" s="189" t="s">
        <v>1030</v>
      </c>
      <c r="L47" s="189" t="s">
        <v>778</v>
      </c>
      <c r="M47" s="189" t="s">
        <v>1058</v>
      </c>
    </row>
    <row r="48" spans="1:13" ht="22.5" x14ac:dyDescent="0.25">
      <c r="A48" s="190" t="s">
        <v>1001</v>
      </c>
      <c r="B48" s="187">
        <v>332</v>
      </c>
      <c r="C48" s="187" t="s">
        <v>2181</v>
      </c>
      <c r="D48" s="188" t="s">
        <v>2181</v>
      </c>
      <c r="E48" s="187" t="s">
        <v>58</v>
      </c>
      <c r="F48" s="188" t="s">
        <v>781</v>
      </c>
      <c r="G48" s="187" t="s">
        <v>2124</v>
      </c>
      <c r="H48" s="195" t="s">
        <v>15</v>
      </c>
      <c r="I48" s="195" t="s">
        <v>15</v>
      </c>
      <c r="J48" s="195" t="s">
        <v>14</v>
      </c>
      <c r="K48" s="195" t="s">
        <v>2260</v>
      </c>
      <c r="L48" s="195" t="s">
        <v>2261</v>
      </c>
      <c r="M48" s="195" t="s">
        <v>2262</v>
      </c>
    </row>
    <row r="49" spans="1:13" x14ac:dyDescent="0.25">
      <c r="A49" s="186" t="s">
        <v>1006</v>
      </c>
      <c r="B49" s="187">
        <v>333</v>
      </c>
      <c r="C49" s="187" t="s">
        <v>2181</v>
      </c>
      <c r="D49" s="188" t="s">
        <v>2181</v>
      </c>
      <c r="E49" s="187" t="s">
        <v>56</v>
      </c>
      <c r="F49" s="187" t="s">
        <v>63</v>
      </c>
      <c r="G49" s="188" t="s">
        <v>468</v>
      </c>
      <c r="H49" s="189" t="s">
        <v>56</v>
      </c>
      <c r="I49" s="189" t="s">
        <v>57</v>
      </c>
      <c r="J49" s="189" t="s">
        <v>771</v>
      </c>
      <c r="K49" s="189" t="s">
        <v>468</v>
      </c>
      <c r="L49" s="189" t="s">
        <v>468</v>
      </c>
      <c r="M49" s="189" t="s">
        <v>468</v>
      </c>
    </row>
    <row r="50" spans="1:13" x14ac:dyDescent="0.25">
      <c r="A50" s="196" t="s">
        <v>1008</v>
      </c>
      <c r="B50" s="187">
        <v>334</v>
      </c>
      <c r="C50" s="187" t="s">
        <v>2181</v>
      </c>
      <c r="D50" s="188" t="s">
        <v>2181</v>
      </c>
      <c r="E50" s="187" t="s">
        <v>56</v>
      </c>
      <c r="F50" s="188" t="s">
        <v>1007</v>
      </c>
      <c r="G50" s="188" t="s">
        <v>468</v>
      </c>
      <c r="H50" s="195" t="s">
        <v>1066</v>
      </c>
      <c r="I50" s="195" t="s">
        <v>1067</v>
      </c>
      <c r="J50" s="195" t="s">
        <v>1068</v>
      </c>
      <c r="K50" s="195" t="s">
        <v>468</v>
      </c>
      <c r="L50" s="195" t="s">
        <v>468</v>
      </c>
      <c r="M50" s="195" t="s">
        <v>468</v>
      </c>
    </row>
    <row r="51" spans="1:13" x14ac:dyDescent="0.25">
      <c r="A51" s="190" t="s">
        <v>1010</v>
      </c>
      <c r="B51" s="187">
        <v>335</v>
      </c>
      <c r="C51" s="187" t="s">
        <v>2181</v>
      </c>
      <c r="D51" s="188" t="s">
        <v>2181</v>
      </c>
      <c r="E51" s="187" t="s">
        <v>56</v>
      </c>
      <c r="F51" s="188" t="s">
        <v>1022</v>
      </c>
      <c r="G51" s="188" t="s">
        <v>468</v>
      </c>
      <c r="H51" s="189" t="s">
        <v>1069</v>
      </c>
      <c r="I51" s="189" t="s">
        <v>1070</v>
      </c>
      <c r="J51" s="189" t="s">
        <v>2338</v>
      </c>
      <c r="K51" s="189" t="s">
        <v>468</v>
      </c>
      <c r="L51" s="189" t="s">
        <v>468</v>
      </c>
      <c r="M51" s="189" t="s">
        <v>468</v>
      </c>
    </row>
    <row r="52" spans="1:13" ht="22.5" x14ac:dyDescent="0.25">
      <c r="A52" s="190" t="s">
        <v>1011</v>
      </c>
      <c r="B52" s="187">
        <v>336</v>
      </c>
      <c r="C52" s="187" t="s">
        <v>2181</v>
      </c>
      <c r="D52" s="188" t="s">
        <v>2181</v>
      </c>
      <c r="E52" s="187" t="s">
        <v>56</v>
      </c>
      <c r="F52" s="188" t="s">
        <v>1022</v>
      </c>
      <c r="G52" s="188" t="s">
        <v>468</v>
      </c>
      <c r="H52" s="195" t="s">
        <v>75</v>
      </c>
      <c r="I52" s="195" t="s">
        <v>74</v>
      </c>
      <c r="J52" s="195" t="s">
        <v>73</v>
      </c>
      <c r="K52" s="195" t="s">
        <v>468</v>
      </c>
      <c r="L52" s="195" t="s">
        <v>468</v>
      </c>
      <c r="M52" s="195" t="s">
        <v>468</v>
      </c>
    </row>
    <row r="53" spans="1:13" x14ac:dyDescent="0.25">
      <c r="A53" s="190" t="s">
        <v>1014</v>
      </c>
      <c r="B53" s="187">
        <v>337</v>
      </c>
      <c r="C53" s="187" t="s">
        <v>2181</v>
      </c>
      <c r="D53" s="188" t="s">
        <v>2181</v>
      </c>
      <c r="E53" s="187" t="s">
        <v>56</v>
      </c>
      <c r="F53" s="188" t="s">
        <v>1022</v>
      </c>
      <c r="G53" s="188" t="s">
        <v>468</v>
      </c>
      <c r="H53" s="195" t="s">
        <v>47</v>
      </c>
      <c r="I53" s="195" t="s">
        <v>72</v>
      </c>
      <c r="J53" s="195" t="s">
        <v>71</v>
      </c>
      <c r="K53" s="195" t="s">
        <v>468</v>
      </c>
      <c r="L53" s="195" t="s">
        <v>468</v>
      </c>
      <c r="M53" s="195" t="s">
        <v>468</v>
      </c>
    </row>
    <row r="54" spans="1:13" x14ac:dyDescent="0.25">
      <c r="A54" s="190" t="s">
        <v>1012</v>
      </c>
      <c r="B54" s="187">
        <v>338</v>
      </c>
      <c r="C54" s="187" t="s">
        <v>2181</v>
      </c>
      <c r="D54" s="188" t="s">
        <v>2181</v>
      </c>
      <c r="E54" s="187" t="s">
        <v>56</v>
      </c>
      <c r="F54" s="188" t="s">
        <v>1022</v>
      </c>
      <c r="G54" s="188" t="s">
        <v>468</v>
      </c>
      <c r="H54" s="195" t="s">
        <v>48</v>
      </c>
      <c r="I54" s="195" t="s">
        <v>69</v>
      </c>
      <c r="J54" s="195" t="s">
        <v>68</v>
      </c>
      <c r="K54" s="195" t="s">
        <v>468</v>
      </c>
      <c r="L54" s="195" t="s">
        <v>468</v>
      </c>
      <c r="M54" s="195" t="s">
        <v>468</v>
      </c>
    </row>
    <row r="55" spans="1:13" x14ac:dyDescent="0.25">
      <c r="A55" s="196" t="s">
        <v>1015</v>
      </c>
      <c r="B55" s="187">
        <v>339</v>
      </c>
      <c r="C55" s="187" t="s">
        <v>2181</v>
      </c>
      <c r="D55" s="188" t="s">
        <v>2181</v>
      </c>
      <c r="E55" s="187" t="s">
        <v>56</v>
      </c>
      <c r="F55" s="188" t="s">
        <v>1022</v>
      </c>
      <c r="G55" s="188" t="s">
        <v>468</v>
      </c>
      <c r="H55" s="195" t="s">
        <v>46</v>
      </c>
      <c r="I55" s="195" t="s">
        <v>1148</v>
      </c>
      <c r="J55" s="195" t="s">
        <v>66</v>
      </c>
      <c r="K55" s="195" t="s">
        <v>468</v>
      </c>
      <c r="L55" s="195" t="s">
        <v>468</v>
      </c>
      <c r="M55" s="195" t="s">
        <v>468</v>
      </c>
    </row>
    <row r="56" spans="1:13" x14ac:dyDescent="0.25">
      <c r="A56" s="196" t="s">
        <v>1009</v>
      </c>
      <c r="B56" s="187">
        <v>340</v>
      </c>
      <c r="C56" s="187" t="s">
        <v>2181</v>
      </c>
      <c r="D56" s="188" t="s">
        <v>2181</v>
      </c>
      <c r="E56" s="187" t="s">
        <v>56</v>
      </c>
      <c r="F56" s="188" t="s">
        <v>1007</v>
      </c>
      <c r="G56" s="188" t="s">
        <v>468</v>
      </c>
      <c r="H56" s="195" t="s">
        <v>64</v>
      </c>
      <c r="I56" s="195" t="s">
        <v>55</v>
      </c>
      <c r="J56" s="195" t="s">
        <v>54</v>
      </c>
      <c r="K56" s="195" t="s">
        <v>468</v>
      </c>
      <c r="L56" s="195" t="s">
        <v>468</v>
      </c>
      <c r="M56" s="195" t="s">
        <v>468</v>
      </c>
    </row>
    <row r="57" spans="1:13" x14ac:dyDescent="0.25">
      <c r="A57" s="196" t="s">
        <v>1013</v>
      </c>
      <c r="B57" s="187">
        <v>341</v>
      </c>
      <c r="C57" s="187" t="s">
        <v>2181</v>
      </c>
      <c r="D57" s="188" t="s">
        <v>2181</v>
      </c>
      <c r="E57" s="187" t="s">
        <v>56</v>
      </c>
      <c r="F57" s="188" t="s">
        <v>1022</v>
      </c>
      <c r="G57" s="188" t="s">
        <v>468</v>
      </c>
      <c r="H57" s="195" t="s">
        <v>955</v>
      </c>
      <c r="I57" s="195" t="s">
        <v>956</v>
      </c>
      <c r="J57" s="195" t="s">
        <v>957</v>
      </c>
      <c r="K57" s="195" t="s">
        <v>468</v>
      </c>
      <c r="L57" s="195" t="s">
        <v>468</v>
      </c>
      <c r="M57" s="195" t="s">
        <v>468</v>
      </c>
    </row>
    <row r="58" spans="1:13" ht="22.5" x14ac:dyDescent="0.25">
      <c r="A58" s="190" t="s">
        <v>1071</v>
      </c>
      <c r="B58" s="187">
        <v>342</v>
      </c>
      <c r="C58" s="187" t="s">
        <v>2181</v>
      </c>
      <c r="D58" s="188" t="s">
        <v>2181</v>
      </c>
      <c r="E58" s="187" t="s">
        <v>56</v>
      </c>
      <c r="F58" s="188" t="s">
        <v>781</v>
      </c>
      <c r="G58" s="187" t="s">
        <v>975</v>
      </c>
      <c r="H58" s="189" t="s">
        <v>1072</v>
      </c>
      <c r="I58" s="189" t="s">
        <v>1073</v>
      </c>
      <c r="J58" s="189" t="s">
        <v>1074</v>
      </c>
      <c r="K58" s="189" t="s">
        <v>2263</v>
      </c>
      <c r="L58" s="189" t="s">
        <v>2264</v>
      </c>
      <c r="M58" s="189" t="s">
        <v>2265</v>
      </c>
    </row>
    <row r="59" spans="1:13" ht="56.25" x14ac:dyDescent="0.25">
      <c r="A59" s="215" t="s">
        <v>2511</v>
      </c>
      <c r="B59" s="187">
        <v>343</v>
      </c>
      <c r="C59" s="187" t="s">
        <v>2181</v>
      </c>
      <c r="D59" s="188" t="s">
        <v>2181</v>
      </c>
      <c r="E59" s="187" t="s">
        <v>56</v>
      </c>
      <c r="F59" s="188" t="s">
        <v>781</v>
      </c>
      <c r="G59" s="187" t="s">
        <v>2124</v>
      </c>
      <c r="H59" s="216" t="s">
        <v>2512</v>
      </c>
      <c r="I59" s="210" t="s">
        <v>2513</v>
      </c>
      <c r="J59" s="210" t="s">
        <v>2514</v>
      </c>
      <c r="K59" s="211" t="s">
        <v>2515</v>
      </c>
      <c r="L59" s="210" t="s">
        <v>2516</v>
      </c>
      <c r="M59" s="212" t="s">
        <v>2517</v>
      </c>
    </row>
    <row r="60" spans="1:13" ht="22.5" x14ac:dyDescent="0.25">
      <c r="A60" s="196" t="s">
        <v>2084</v>
      </c>
      <c r="B60" s="187">
        <v>344</v>
      </c>
      <c r="C60" s="187" t="s">
        <v>2181</v>
      </c>
      <c r="D60" s="188" t="s">
        <v>2181</v>
      </c>
      <c r="E60" s="187" t="s">
        <v>56</v>
      </c>
      <c r="F60" s="188" t="s">
        <v>781</v>
      </c>
      <c r="G60" s="188" t="s">
        <v>1040</v>
      </c>
      <c r="H60" s="189" t="s">
        <v>2086</v>
      </c>
      <c r="I60" s="189" t="s">
        <v>2266</v>
      </c>
      <c r="J60" s="189" t="s">
        <v>2339</v>
      </c>
      <c r="K60" s="189" t="s">
        <v>2267</v>
      </c>
      <c r="L60" s="189" t="s">
        <v>2268</v>
      </c>
      <c r="M60" s="189" t="s">
        <v>2269</v>
      </c>
    </row>
    <row r="61" spans="1:13" ht="22.5" x14ac:dyDescent="0.25">
      <c r="A61" s="196" t="s">
        <v>2083</v>
      </c>
      <c r="B61" s="187">
        <v>345</v>
      </c>
      <c r="C61" s="187" t="s">
        <v>2181</v>
      </c>
      <c r="D61" s="188" t="s">
        <v>2181</v>
      </c>
      <c r="E61" s="187" t="s">
        <v>56</v>
      </c>
      <c r="F61" s="188" t="s">
        <v>781</v>
      </c>
      <c r="G61" s="188" t="s">
        <v>1040</v>
      </c>
      <c r="H61" s="195" t="s">
        <v>2083</v>
      </c>
      <c r="I61" s="195" t="s">
        <v>2085</v>
      </c>
      <c r="J61" s="195" t="s">
        <v>2096</v>
      </c>
      <c r="K61" s="195" t="s">
        <v>2270</v>
      </c>
      <c r="L61" s="195" t="s">
        <v>2271</v>
      </c>
      <c r="M61" s="195" t="s">
        <v>2272</v>
      </c>
    </row>
    <row r="62" spans="1:13" x14ac:dyDescent="0.25">
      <c r="A62" s="196" t="s">
        <v>1075</v>
      </c>
      <c r="B62" s="187">
        <v>346</v>
      </c>
      <c r="C62" s="187" t="s">
        <v>2181</v>
      </c>
      <c r="D62" s="188" t="s">
        <v>2181</v>
      </c>
      <c r="E62" s="187" t="s">
        <v>56</v>
      </c>
      <c r="F62" s="188" t="s">
        <v>781</v>
      </c>
      <c r="G62" s="187" t="s">
        <v>975</v>
      </c>
      <c r="H62" s="195" t="s">
        <v>1076</v>
      </c>
      <c r="I62" s="195" t="s">
        <v>1077</v>
      </c>
      <c r="J62" s="195" t="s">
        <v>1078</v>
      </c>
      <c r="K62" s="195" t="s">
        <v>2273</v>
      </c>
      <c r="L62" s="195" t="s">
        <v>2274</v>
      </c>
      <c r="M62" s="195" t="s">
        <v>1</v>
      </c>
    </row>
    <row r="63" spans="1:13" ht="33.75" x14ac:dyDescent="0.25">
      <c r="A63" s="196" t="s">
        <v>1079</v>
      </c>
      <c r="B63" s="187">
        <v>347</v>
      </c>
      <c r="C63" s="187" t="s">
        <v>2181</v>
      </c>
      <c r="D63" s="188" t="s">
        <v>2181</v>
      </c>
      <c r="E63" s="187" t="s">
        <v>56</v>
      </c>
      <c r="F63" s="188" t="s">
        <v>781</v>
      </c>
      <c r="G63" s="188" t="s">
        <v>975</v>
      </c>
      <c r="H63" s="195" t="s">
        <v>1080</v>
      </c>
      <c r="I63" s="195" t="s">
        <v>2340</v>
      </c>
      <c r="J63" s="195" t="s">
        <v>2341</v>
      </c>
      <c r="K63" s="195" t="s">
        <v>2275</v>
      </c>
      <c r="L63" s="195" t="s">
        <v>2276</v>
      </c>
      <c r="M63" s="195" t="s">
        <v>1149</v>
      </c>
    </row>
    <row r="64" spans="1:13" ht="33.75" x14ac:dyDescent="0.25">
      <c r="A64" s="196" t="s">
        <v>1081</v>
      </c>
      <c r="B64" s="187">
        <v>348</v>
      </c>
      <c r="C64" s="187" t="s">
        <v>2181</v>
      </c>
      <c r="D64" s="188" t="s">
        <v>2181</v>
      </c>
      <c r="E64" s="187" t="s">
        <v>56</v>
      </c>
      <c r="F64" s="188" t="s">
        <v>781</v>
      </c>
      <c r="G64" s="187" t="s">
        <v>975</v>
      </c>
      <c r="H64" s="195" t="s">
        <v>1082</v>
      </c>
      <c r="I64" s="195" t="s">
        <v>1083</v>
      </c>
      <c r="J64" s="195" t="s">
        <v>1084</v>
      </c>
      <c r="K64" s="195" t="s">
        <v>2277</v>
      </c>
      <c r="L64" s="195" t="s">
        <v>2278</v>
      </c>
      <c r="M64" s="195" t="s">
        <v>2279</v>
      </c>
    </row>
    <row r="65" spans="1:13" ht="22.5" x14ac:dyDescent="0.25">
      <c r="A65" s="186" t="s">
        <v>1085</v>
      </c>
      <c r="B65" s="187">
        <v>349</v>
      </c>
      <c r="C65" s="187" t="s">
        <v>2181</v>
      </c>
      <c r="D65" s="188" t="s">
        <v>2181</v>
      </c>
      <c r="E65" s="187" t="s">
        <v>56</v>
      </c>
      <c r="F65" s="188" t="s">
        <v>781</v>
      </c>
      <c r="G65" s="187" t="s">
        <v>975</v>
      </c>
      <c r="H65" s="189" t="s">
        <v>1086</v>
      </c>
      <c r="I65" s="189" t="s">
        <v>1087</v>
      </c>
      <c r="J65" s="189" t="s">
        <v>2342</v>
      </c>
      <c r="K65" s="189" t="s">
        <v>2280</v>
      </c>
      <c r="L65" s="189" t="s">
        <v>2281</v>
      </c>
      <c r="M65" s="189" t="s">
        <v>2282</v>
      </c>
    </row>
    <row r="66" spans="1:13" ht="33.75" x14ac:dyDescent="0.25">
      <c r="A66" s="196" t="s">
        <v>1088</v>
      </c>
      <c r="B66" s="187">
        <v>350</v>
      </c>
      <c r="C66" s="187" t="s">
        <v>2181</v>
      </c>
      <c r="D66" s="188" t="s">
        <v>2181</v>
      </c>
      <c r="E66" s="187" t="s">
        <v>56</v>
      </c>
      <c r="F66" s="188" t="s">
        <v>781</v>
      </c>
      <c r="G66" s="188" t="s">
        <v>975</v>
      </c>
      <c r="H66" s="195" t="s">
        <v>1089</v>
      </c>
      <c r="I66" s="195" t="s">
        <v>1090</v>
      </c>
      <c r="J66" s="195" t="s">
        <v>2343</v>
      </c>
      <c r="K66" s="195" t="s">
        <v>2283</v>
      </c>
      <c r="L66" s="195" t="s">
        <v>2284</v>
      </c>
      <c r="M66" s="195" t="s">
        <v>2285</v>
      </c>
    </row>
    <row r="67" spans="1:13" x14ac:dyDescent="0.25">
      <c r="A67" s="190" t="s">
        <v>1091</v>
      </c>
      <c r="B67" s="187">
        <v>351</v>
      </c>
      <c r="C67" s="187" t="s">
        <v>2181</v>
      </c>
      <c r="D67" s="188" t="s">
        <v>2181</v>
      </c>
      <c r="E67" s="187" t="s">
        <v>56</v>
      </c>
      <c r="F67" s="188" t="s">
        <v>781</v>
      </c>
      <c r="G67" s="188" t="s">
        <v>975</v>
      </c>
      <c r="H67" s="189" t="s">
        <v>1092</v>
      </c>
      <c r="I67" s="189" t="s">
        <v>1093</v>
      </c>
      <c r="J67" s="189" t="s">
        <v>1094</v>
      </c>
      <c r="K67" s="189" t="s">
        <v>2286</v>
      </c>
      <c r="L67" s="189" t="s">
        <v>2287</v>
      </c>
      <c r="M67" s="189" t="s">
        <v>2288</v>
      </c>
    </row>
    <row r="68" spans="1:13" ht="22.5" x14ac:dyDescent="0.25">
      <c r="A68" s="196" t="s">
        <v>10</v>
      </c>
      <c r="B68" s="187">
        <v>352</v>
      </c>
      <c r="C68" s="187" t="s">
        <v>2181</v>
      </c>
      <c r="D68" s="188" t="s">
        <v>2181</v>
      </c>
      <c r="E68" s="187" t="s">
        <v>56</v>
      </c>
      <c r="F68" s="188" t="s">
        <v>781</v>
      </c>
      <c r="G68" s="188" t="s">
        <v>1040</v>
      </c>
      <c r="H68" s="195" t="s">
        <v>10</v>
      </c>
      <c r="I68" s="195" t="s">
        <v>10</v>
      </c>
      <c r="J68" s="195" t="s">
        <v>10</v>
      </c>
      <c r="K68" s="195" t="s">
        <v>2289</v>
      </c>
      <c r="L68" s="195" t="s">
        <v>2290</v>
      </c>
      <c r="M68" s="195" t="s">
        <v>2291</v>
      </c>
    </row>
    <row r="69" spans="1:13" ht="22.5" x14ac:dyDescent="0.25">
      <c r="A69" s="196" t="s">
        <v>9</v>
      </c>
      <c r="B69" s="187">
        <v>353</v>
      </c>
      <c r="C69" s="187" t="s">
        <v>2181</v>
      </c>
      <c r="D69" s="188" t="s">
        <v>2181</v>
      </c>
      <c r="E69" s="187" t="s">
        <v>56</v>
      </c>
      <c r="F69" s="188" t="s">
        <v>781</v>
      </c>
      <c r="G69" s="188" t="s">
        <v>1040</v>
      </c>
      <c r="H69" s="195" t="s">
        <v>9</v>
      </c>
      <c r="I69" s="195" t="s">
        <v>9</v>
      </c>
      <c r="J69" s="195" t="s">
        <v>9</v>
      </c>
      <c r="K69" s="195" t="s">
        <v>2292</v>
      </c>
      <c r="L69" s="195" t="s">
        <v>2293</v>
      </c>
      <c r="M69" s="195" t="s">
        <v>2294</v>
      </c>
    </row>
    <row r="70" spans="1:13" ht="22.5" x14ac:dyDescent="0.25">
      <c r="A70" s="196" t="s">
        <v>1095</v>
      </c>
      <c r="B70" s="187">
        <v>354</v>
      </c>
      <c r="C70" s="187" t="s">
        <v>2181</v>
      </c>
      <c r="D70" s="188" t="s">
        <v>2181</v>
      </c>
      <c r="E70" s="187" t="s">
        <v>56</v>
      </c>
      <c r="F70" s="188" t="s">
        <v>781</v>
      </c>
      <c r="G70" s="187" t="s">
        <v>975</v>
      </c>
      <c r="H70" s="189" t="s">
        <v>1096</v>
      </c>
      <c r="I70" s="189" t="s">
        <v>1097</v>
      </c>
      <c r="J70" s="189" t="s">
        <v>1098</v>
      </c>
      <c r="K70" s="189" t="s">
        <v>2295</v>
      </c>
      <c r="L70" s="189" t="s">
        <v>2296</v>
      </c>
      <c r="M70" s="189" t="s">
        <v>0</v>
      </c>
    </row>
    <row r="71" spans="1:13" ht="22.5" x14ac:dyDescent="0.25">
      <c r="A71" s="196" t="s">
        <v>2121</v>
      </c>
      <c r="B71" s="187">
        <v>355</v>
      </c>
      <c r="C71" s="187" t="s">
        <v>2181</v>
      </c>
      <c r="D71" s="188" t="s">
        <v>2181</v>
      </c>
      <c r="E71" s="187" t="s">
        <v>56</v>
      </c>
      <c r="F71" s="188" t="s">
        <v>781</v>
      </c>
      <c r="G71" s="188" t="s">
        <v>1099</v>
      </c>
      <c r="H71" s="195" t="s">
        <v>791</v>
      </c>
      <c r="I71" s="195" t="s">
        <v>8</v>
      </c>
      <c r="J71" s="195" t="s">
        <v>792</v>
      </c>
      <c r="K71" s="195" t="s">
        <v>2297</v>
      </c>
      <c r="L71" s="195" t="s">
        <v>2298</v>
      </c>
      <c r="M71" s="195" t="s">
        <v>2299</v>
      </c>
    </row>
    <row r="72" spans="1:13" ht="45" x14ac:dyDescent="0.25">
      <c r="A72" s="196" t="s">
        <v>67</v>
      </c>
      <c r="B72" s="187">
        <v>356</v>
      </c>
      <c r="C72" s="187" t="s">
        <v>2181</v>
      </c>
      <c r="D72" s="188" t="s">
        <v>2181</v>
      </c>
      <c r="E72" s="187" t="s">
        <v>56</v>
      </c>
      <c r="F72" s="188" t="s">
        <v>781</v>
      </c>
      <c r="G72" s="188" t="s">
        <v>1040</v>
      </c>
      <c r="H72" s="195" t="s">
        <v>1100</v>
      </c>
      <c r="I72" s="195" t="s">
        <v>1101</v>
      </c>
      <c r="J72" s="195" t="s">
        <v>2344</v>
      </c>
      <c r="K72" s="195" t="s">
        <v>2300</v>
      </c>
      <c r="L72" s="195" t="s">
        <v>2301</v>
      </c>
      <c r="M72" s="195" t="s">
        <v>2302</v>
      </c>
    </row>
    <row r="73" spans="1:13" x14ac:dyDescent="0.25">
      <c r="A73" s="196" t="s">
        <v>2091</v>
      </c>
      <c r="B73" s="187">
        <v>357</v>
      </c>
      <c r="C73" s="187" t="s">
        <v>2181</v>
      </c>
      <c r="D73" s="188" t="s">
        <v>2181</v>
      </c>
      <c r="E73" s="187" t="s">
        <v>56</v>
      </c>
      <c r="F73" s="188" t="s">
        <v>781</v>
      </c>
      <c r="G73" s="188" t="s">
        <v>975</v>
      </c>
      <c r="H73" s="195" t="s">
        <v>2092</v>
      </c>
      <c r="I73" s="195" t="s">
        <v>2093</v>
      </c>
      <c r="J73" s="195" t="s">
        <v>2095</v>
      </c>
      <c r="K73" s="195" t="s">
        <v>2094</v>
      </c>
      <c r="L73" s="195" t="s">
        <v>2303</v>
      </c>
      <c r="M73" s="195" t="s">
        <v>2097</v>
      </c>
    </row>
    <row r="74" spans="1:13" ht="22.5" x14ac:dyDescent="0.25">
      <c r="A74" s="196" t="s">
        <v>1155</v>
      </c>
      <c r="B74" s="187">
        <v>358</v>
      </c>
      <c r="C74" s="187" t="s">
        <v>2181</v>
      </c>
      <c r="D74" s="188" t="s">
        <v>2181</v>
      </c>
      <c r="E74" s="187" t="s">
        <v>56</v>
      </c>
      <c r="F74" s="188" t="s">
        <v>781</v>
      </c>
      <c r="G74" s="188" t="s">
        <v>1040</v>
      </c>
      <c r="H74" s="195" t="s">
        <v>7</v>
      </c>
      <c r="I74" s="195" t="s">
        <v>1150</v>
      </c>
      <c r="J74" s="195" t="s">
        <v>65</v>
      </c>
      <c r="K74" s="195" t="s">
        <v>2304</v>
      </c>
      <c r="L74" s="195" t="s">
        <v>2305</v>
      </c>
      <c r="M74" s="195" t="s">
        <v>2306</v>
      </c>
    </row>
    <row r="75" spans="1:13" ht="22.5" x14ac:dyDescent="0.25">
      <c r="A75" s="196" t="s">
        <v>1156</v>
      </c>
      <c r="B75" s="187">
        <v>359</v>
      </c>
      <c r="C75" s="187" t="s">
        <v>2181</v>
      </c>
      <c r="D75" s="188" t="s">
        <v>2181</v>
      </c>
      <c r="E75" s="187" t="s">
        <v>56</v>
      </c>
      <c r="F75" s="188" t="s">
        <v>781</v>
      </c>
      <c r="G75" s="188" t="s">
        <v>1099</v>
      </c>
      <c r="H75" s="195" t="s">
        <v>6</v>
      </c>
      <c r="I75" s="195" t="s">
        <v>5</v>
      </c>
      <c r="J75" s="195" t="s">
        <v>4</v>
      </c>
      <c r="K75" s="195" t="s">
        <v>2307</v>
      </c>
      <c r="L75" s="195" t="s">
        <v>2308</v>
      </c>
      <c r="M75" s="195" t="s">
        <v>2309</v>
      </c>
    </row>
    <row r="76" spans="1:13" ht="56.25" x14ac:dyDescent="0.25">
      <c r="A76" s="196" t="s">
        <v>953</v>
      </c>
      <c r="B76" s="187">
        <v>360</v>
      </c>
      <c r="C76" s="187" t="s">
        <v>2181</v>
      </c>
      <c r="D76" s="188" t="s">
        <v>2181</v>
      </c>
      <c r="E76" s="187" t="s">
        <v>56</v>
      </c>
      <c r="F76" s="188" t="s">
        <v>781</v>
      </c>
      <c r="G76" s="188" t="s">
        <v>1040</v>
      </c>
      <c r="H76" s="195" t="s">
        <v>3</v>
      </c>
      <c r="I76" s="195" t="s">
        <v>952</v>
      </c>
      <c r="J76" s="195" t="s">
        <v>2</v>
      </c>
      <c r="K76" s="195" t="s">
        <v>2310</v>
      </c>
      <c r="L76" s="195" t="s">
        <v>2311</v>
      </c>
      <c r="M76" s="195" t="s">
        <v>2312</v>
      </c>
    </row>
    <row r="77" spans="1:13" ht="22.5" x14ac:dyDescent="0.25">
      <c r="A77" s="196" t="s">
        <v>1102</v>
      </c>
      <c r="B77" s="187">
        <v>361</v>
      </c>
      <c r="C77" s="187" t="s">
        <v>2181</v>
      </c>
      <c r="D77" s="188" t="s">
        <v>2181</v>
      </c>
      <c r="E77" s="187" t="s">
        <v>56</v>
      </c>
      <c r="F77" s="188" t="s">
        <v>781</v>
      </c>
      <c r="G77" s="188" t="s">
        <v>1040</v>
      </c>
      <c r="H77" s="195" t="s">
        <v>1103</v>
      </c>
      <c r="I77" s="195" t="s">
        <v>795</v>
      </c>
      <c r="J77" s="195" t="s">
        <v>795</v>
      </c>
      <c r="K77" s="195" t="s">
        <v>1104</v>
      </c>
      <c r="L77" s="195" t="s">
        <v>1151</v>
      </c>
      <c r="M77" s="195" t="s">
        <v>2313</v>
      </c>
    </row>
    <row r="78" spans="1:13" ht="22.5" x14ac:dyDescent="0.25">
      <c r="A78" s="196" t="s">
        <v>1105</v>
      </c>
      <c r="B78" s="187">
        <v>362</v>
      </c>
      <c r="C78" s="187" t="s">
        <v>2181</v>
      </c>
      <c r="D78" s="188" t="s">
        <v>2181</v>
      </c>
      <c r="E78" s="187" t="s">
        <v>56</v>
      </c>
      <c r="F78" s="188" t="s">
        <v>781</v>
      </c>
      <c r="G78" s="188" t="s">
        <v>1040</v>
      </c>
      <c r="H78" s="195" t="s">
        <v>796</v>
      </c>
      <c r="I78" s="195" t="s">
        <v>796</v>
      </c>
      <c r="J78" s="195" t="s">
        <v>796</v>
      </c>
      <c r="K78" s="195" t="s">
        <v>1106</v>
      </c>
      <c r="L78" s="195" t="s">
        <v>1107</v>
      </c>
      <c r="M78" s="195" t="s">
        <v>1108</v>
      </c>
    </row>
    <row r="79" spans="1:13" ht="22.5" x14ac:dyDescent="0.25">
      <c r="A79" s="196" t="s">
        <v>1109</v>
      </c>
      <c r="B79" s="187">
        <v>363</v>
      </c>
      <c r="C79" s="187" t="s">
        <v>2181</v>
      </c>
      <c r="D79" s="188" t="s">
        <v>2181</v>
      </c>
      <c r="E79" s="187" t="s">
        <v>56</v>
      </c>
      <c r="F79" s="188" t="s">
        <v>781</v>
      </c>
      <c r="G79" s="188" t="s">
        <v>1040</v>
      </c>
      <c r="H79" s="195" t="s">
        <v>797</v>
      </c>
      <c r="I79" s="195" t="s">
        <v>797</v>
      </c>
      <c r="J79" s="195" t="s">
        <v>797</v>
      </c>
      <c r="K79" s="195" t="s">
        <v>1110</v>
      </c>
      <c r="L79" s="195" t="s">
        <v>1111</v>
      </c>
      <c r="M79" s="195" t="s">
        <v>1112</v>
      </c>
    </row>
    <row r="80" spans="1:13" ht="22.5" x14ac:dyDescent="0.25">
      <c r="A80" s="196" t="s">
        <v>1113</v>
      </c>
      <c r="B80" s="187">
        <v>364</v>
      </c>
      <c r="C80" s="187" t="s">
        <v>2181</v>
      </c>
      <c r="D80" s="188" t="s">
        <v>2181</v>
      </c>
      <c r="E80" s="187" t="s">
        <v>56</v>
      </c>
      <c r="F80" s="188" t="s">
        <v>781</v>
      </c>
      <c r="G80" s="188" t="s">
        <v>1040</v>
      </c>
      <c r="H80" s="195" t="s">
        <v>798</v>
      </c>
      <c r="I80" s="195" t="s">
        <v>798</v>
      </c>
      <c r="J80" s="195" t="s">
        <v>798</v>
      </c>
      <c r="K80" s="195" t="s">
        <v>1114</v>
      </c>
      <c r="L80" s="195" t="s">
        <v>1115</v>
      </c>
      <c r="M80" s="195" t="s">
        <v>1152</v>
      </c>
    </row>
    <row r="81" spans="1:13" x14ac:dyDescent="0.25">
      <c r="A81" s="186" t="s">
        <v>1116</v>
      </c>
      <c r="B81" s="187">
        <v>365</v>
      </c>
      <c r="C81" s="187" t="s">
        <v>2181</v>
      </c>
      <c r="D81" s="187" t="s">
        <v>1117</v>
      </c>
      <c r="E81" s="188" t="s">
        <v>62</v>
      </c>
      <c r="F81" s="188" t="s">
        <v>63</v>
      </c>
      <c r="G81" s="188" t="s">
        <v>468</v>
      </c>
      <c r="H81" s="189" t="s">
        <v>1117</v>
      </c>
      <c r="I81" s="189" t="s">
        <v>1117</v>
      </c>
      <c r="J81" s="189" t="s">
        <v>1118</v>
      </c>
      <c r="K81" s="189" t="s">
        <v>1119</v>
      </c>
      <c r="L81" s="189" t="s">
        <v>1120</v>
      </c>
      <c r="M81" s="189" t="s">
        <v>1153</v>
      </c>
    </row>
    <row r="82" spans="1:13" x14ac:dyDescent="0.25">
      <c r="A82" s="186" t="s">
        <v>1121</v>
      </c>
      <c r="B82" s="187">
        <v>366</v>
      </c>
      <c r="C82" s="187" t="s">
        <v>2181</v>
      </c>
      <c r="D82" s="187" t="s">
        <v>1117</v>
      </c>
      <c r="E82" s="188" t="s">
        <v>62</v>
      </c>
      <c r="F82" s="188" t="s">
        <v>756</v>
      </c>
      <c r="G82" s="188" t="s">
        <v>468</v>
      </c>
      <c r="H82" s="195" t="s">
        <v>62</v>
      </c>
      <c r="I82" s="195" t="s">
        <v>62</v>
      </c>
      <c r="J82" s="189" t="s">
        <v>62</v>
      </c>
      <c r="K82" s="189" t="s">
        <v>468</v>
      </c>
      <c r="L82" s="189" t="s">
        <v>468</v>
      </c>
      <c r="M82" s="189" t="s">
        <v>468</v>
      </c>
    </row>
    <row r="83" spans="1:13" ht="33.75" x14ac:dyDescent="0.25">
      <c r="A83" s="186" t="s">
        <v>1122</v>
      </c>
      <c r="B83" s="187">
        <v>367</v>
      </c>
      <c r="C83" s="187" t="s">
        <v>2181</v>
      </c>
      <c r="D83" s="187" t="s">
        <v>1117</v>
      </c>
      <c r="E83" s="188" t="s">
        <v>62</v>
      </c>
      <c r="F83" s="188" t="s">
        <v>757</v>
      </c>
      <c r="G83" s="187" t="s">
        <v>468</v>
      </c>
      <c r="H83" s="189" t="s">
        <v>1016</v>
      </c>
      <c r="I83" s="189" t="s">
        <v>1016</v>
      </c>
      <c r="J83" s="189" t="s">
        <v>1016</v>
      </c>
      <c r="K83" s="189" t="s">
        <v>2314</v>
      </c>
      <c r="L83" s="189" t="s">
        <v>2315</v>
      </c>
      <c r="M83" s="189" t="s">
        <v>2316</v>
      </c>
    </row>
    <row r="84" spans="1:13" ht="33.75" x14ac:dyDescent="0.25">
      <c r="A84" s="186" t="s">
        <v>1123</v>
      </c>
      <c r="B84" s="187">
        <v>368</v>
      </c>
      <c r="C84" s="187" t="s">
        <v>2181</v>
      </c>
      <c r="D84" s="187" t="s">
        <v>1117</v>
      </c>
      <c r="E84" s="188" t="s">
        <v>62</v>
      </c>
      <c r="F84" s="188" t="s">
        <v>757</v>
      </c>
      <c r="G84" s="187" t="s">
        <v>468</v>
      </c>
      <c r="H84" s="189" t="s">
        <v>1017</v>
      </c>
      <c r="I84" s="189" t="s">
        <v>1017</v>
      </c>
      <c r="J84" s="189" t="s">
        <v>1017</v>
      </c>
      <c r="K84" s="189" t="s">
        <v>2317</v>
      </c>
      <c r="L84" s="189" t="s">
        <v>2318</v>
      </c>
      <c r="M84" s="189" t="s">
        <v>2319</v>
      </c>
    </row>
    <row r="85" spans="1:13" ht="33.75" x14ac:dyDescent="0.25">
      <c r="A85" s="186" t="s">
        <v>1124</v>
      </c>
      <c r="B85" s="187">
        <v>369</v>
      </c>
      <c r="C85" s="187" t="s">
        <v>2181</v>
      </c>
      <c r="D85" s="187" t="s">
        <v>1117</v>
      </c>
      <c r="E85" s="188" t="s">
        <v>62</v>
      </c>
      <c r="F85" s="188" t="s">
        <v>757</v>
      </c>
      <c r="G85" s="187" t="s">
        <v>468</v>
      </c>
      <c r="H85" s="189" t="s">
        <v>1018</v>
      </c>
      <c r="I85" s="189" t="s">
        <v>1018</v>
      </c>
      <c r="J85" s="189" t="s">
        <v>1018</v>
      </c>
      <c r="K85" s="189" t="s">
        <v>2320</v>
      </c>
      <c r="L85" s="189" t="s">
        <v>2321</v>
      </c>
      <c r="M85" s="189" t="s">
        <v>2322</v>
      </c>
    </row>
    <row r="86" spans="1:13" ht="45" x14ac:dyDescent="0.25">
      <c r="A86" s="186" t="s">
        <v>1125</v>
      </c>
      <c r="B86" s="187">
        <v>370</v>
      </c>
      <c r="C86" s="187" t="s">
        <v>2181</v>
      </c>
      <c r="D86" s="187" t="s">
        <v>1117</v>
      </c>
      <c r="E86" s="188" t="s">
        <v>62</v>
      </c>
      <c r="F86" s="188" t="s">
        <v>757</v>
      </c>
      <c r="G86" s="187" t="s">
        <v>468</v>
      </c>
      <c r="H86" s="189" t="s">
        <v>1019</v>
      </c>
      <c r="I86" s="189" t="s">
        <v>1019</v>
      </c>
      <c r="J86" s="189" t="s">
        <v>1019</v>
      </c>
      <c r="K86" s="189" t="s">
        <v>2323</v>
      </c>
      <c r="L86" s="189" t="s">
        <v>2324</v>
      </c>
      <c r="M86" s="189" t="s">
        <v>1154</v>
      </c>
    </row>
    <row r="87" spans="1:13" ht="22.5" x14ac:dyDescent="0.25">
      <c r="A87" s="186" t="s">
        <v>1126</v>
      </c>
      <c r="B87" s="187">
        <v>371</v>
      </c>
      <c r="C87" s="187" t="s">
        <v>2181</v>
      </c>
      <c r="D87" s="187" t="s">
        <v>1117</v>
      </c>
      <c r="E87" s="188" t="s">
        <v>62</v>
      </c>
      <c r="F87" s="188" t="s">
        <v>757</v>
      </c>
      <c r="G87" s="187" t="s">
        <v>468</v>
      </c>
      <c r="H87" s="189" t="s">
        <v>1020</v>
      </c>
      <c r="I87" s="189" t="s">
        <v>1020</v>
      </c>
      <c r="J87" s="189" t="s">
        <v>1020</v>
      </c>
      <c r="K87" s="189" t="s">
        <v>61</v>
      </c>
      <c r="L87" s="189" t="s">
        <v>2325</v>
      </c>
      <c r="M87" s="189" t="s">
        <v>2326</v>
      </c>
    </row>
    <row r="88" spans="1:13" x14ac:dyDescent="0.25">
      <c r="A88" s="186" t="s">
        <v>1127</v>
      </c>
      <c r="B88" s="187">
        <v>372</v>
      </c>
      <c r="C88" s="187" t="s">
        <v>2181</v>
      </c>
      <c r="D88" s="187" t="s">
        <v>1117</v>
      </c>
      <c r="E88" s="188" t="s">
        <v>2122</v>
      </c>
      <c r="F88" s="187" t="s">
        <v>756</v>
      </c>
      <c r="G88" s="188" t="s">
        <v>468</v>
      </c>
      <c r="H88" s="195" t="s">
        <v>758</v>
      </c>
      <c r="I88" s="195" t="s">
        <v>759</v>
      </c>
      <c r="J88" s="195" t="s">
        <v>760</v>
      </c>
      <c r="K88" s="195" t="s">
        <v>468</v>
      </c>
      <c r="L88" s="195" t="s">
        <v>468</v>
      </c>
      <c r="M88" s="195" t="s">
        <v>468</v>
      </c>
    </row>
    <row r="89" spans="1:13" x14ac:dyDescent="0.25">
      <c r="A89" s="196" t="s">
        <v>1128</v>
      </c>
      <c r="B89" s="187">
        <v>373</v>
      </c>
      <c r="C89" s="187" t="s">
        <v>2181</v>
      </c>
      <c r="D89" s="187" t="s">
        <v>1117</v>
      </c>
      <c r="E89" s="188" t="s">
        <v>2122</v>
      </c>
      <c r="F89" s="187" t="s">
        <v>757</v>
      </c>
      <c r="G89" s="187" t="s">
        <v>468</v>
      </c>
      <c r="H89" s="189" t="s">
        <v>1129</v>
      </c>
      <c r="I89" s="189" t="s">
        <v>1130</v>
      </c>
      <c r="J89" s="189" t="s">
        <v>1131</v>
      </c>
      <c r="K89" s="189" t="s">
        <v>468</v>
      </c>
      <c r="L89" s="189" t="s">
        <v>468</v>
      </c>
      <c r="M89" s="189" t="s">
        <v>468</v>
      </c>
    </row>
    <row r="90" spans="1:13" x14ac:dyDescent="0.25">
      <c r="A90" s="190" t="s">
        <v>1132</v>
      </c>
      <c r="B90" s="187">
        <v>374</v>
      </c>
      <c r="C90" s="187" t="s">
        <v>2181</v>
      </c>
      <c r="D90" s="187" t="s">
        <v>1117</v>
      </c>
      <c r="E90" s="187" t="s">
        <v>2122</v>
      </c>
      <c r="F90" s="187" t="s">
        <v>757</v>
      </c>
      <c r="G90" s="187" t="s">
        <v>468</v>
      </c>
      <c r="H90" s="189" t="s">
        <v>2327</v>
      </c>
      <c r="I90" s="189" t="s">
        <v>2328</v>
      </c>
      <c r="J90" s="189" t="s">
        <v>2329</v>
      </c>
      <c r="K90" s="189" t="s">
        <v>468</v>
      </c>
      <c r="L90" s="189" t="s">
        <v>468</v>
      </c>
      <c r="M90" s="189" t="s">
        <v>468</v>
      </c>
    </row>
    <row r="91" spans="1:13" x14ac:dyDescent="0.25">
      <c r="A91" s="186" t="s">
        <v>1133</v>
      </c>
      <c r="B91" s="187">
        <v>375</v>
      </c>
      <c r="C91" s="187" t="s">
        <v>2181</v>
      </c>
      <c r="D91" s="187" t="s">
        <v>1117</v>
      </c>
      <c r="E91" s="188" t="s">
        <v>2122</v>
      </c>
      <c r="F91" s="187" t="s">
        <v>757</v>
      </c>
      <c r="G91" s="187" t="s">
        <v>468</v>
      </c>
      <c r="H91" s="195" t="s">
        <v>761</v>
      </c>
      <c r="I91" s="195" t="s">
        <v>762</v>
      </c>
      <c r="J91" s="195" t="s">
        <v>763</v>
      </c>
      <c r="K91" s="195" t="s">
        <v>468</v>
      </c>
      <c r="L91" s="195" t="s">
        <v>468</v>
      </c>
      <c r="M91" s="195" t="s">
        <v>468</v>
      </c>
    </row>
    <row r="92" spans="1:13" x14ac:dyDescent="0.25">
      <c r="A92" s="186" t="s">
        <v>1134</v>
      </c>
      <c r="B92" s="187">
        <v>376</v>
      </c>
      <c r="C92" s="187" t="s">
        <v>2181</v>
      </c>
      <c r="D92" s="187" t="s">
        <v>1117</v>
      </c>
      <c r="E92" s="188" t="s">
        <v>2122</v>
      </c>
      <c r="F92" s="187" t="s">
        <v>757</v>
      </c>
      <c r="G92" s="187" t="s">
        <v>468</v>
      </c>
      <c r="H92" s="195" t="s">
        <v>89</v>
      </c>
      <c r="I92" s="195" t="s">
        <v>764</v>
      </c>
      <c r="J92" s="195" t="s">
        <v>765</v>
      </c>
      <c r="K92" s="195" t="s">
        <v>468</v>
      </c>
      <c r="L92" s="195" t="s">
        <v>468</v>
      </c>
      <c r="M92" s="195" t="s">
        <v>468</v>
      </c>
    </row>
    <row r="93" spans="1:13" x14ac:dyDescent="0.25">
      <c r="A93" s="186" t="s">
        <v>1135</v>
      </c>
      <c r="B93" s="187">
        <v>377</v>
      </c>
      <c r="C93" s="187" t="s">
        <v>2181</v>
      </c>
      <c r="D93" s="187" t="s">
        <v>1117</v>
      </c>
      <c r="E93" s="188" t="s">
        <v>2122</v>
      </c>
      <c r="F93" s="187" t="s">
        <v>757</v>
      </c>
      <c r="G93" s="187" t="s">
        <v>468</v>
      </c>
      <c r="H93" s="195" t="s">
        <v>766</v>
      </c>
      <c r="I93" s="195" t="s">
        <v>767</v>
      </c>
      <c r="J93" s="195" t="s">
        <v>768</v>
      </c>
      <c r="K93" s="195" t="s">
        <v>468</v>
      </c>
      <c r="L93" s="195" t="s">
        <v>468</v>
      </c>
      <c r="M93" s="195" t="s">
        <v>468</v>
      </c>
    </row>
    <row r="94" spans="1:13" x14ac:dyDescent="0.25">
      <c r="A94" s="186" t="s">
        <v>1137</v>
      </c>
      <c r="B94" s="187">
        <v>378</v>
      </c>
      <c r="C94" s="187" t="s">
        <v>2181</v>
      </c>
      <c r="D94" s="187" t="s">
        <v>1117</v>
      </c>
      <c r="E94" s="188" t="s">
        <v>2122</v>
      </c>
      <c r="F94" s="187" t="s">
        <v>757</v>
      </c>
      <c r="G94" s="187" t="s">
        <v>468</v>
      </c>
      <c r="H94" s="189" t="s">
        <v>2330</v>
      </c>
      <c r="I94" s="189" t="s">
        <v>2331</v>
      </c>
      <c r="J94" s="189" t="s">
        <v>2332</v>
      </c>
      <c r="K94" s="189" t="s">
        <v>468</v>
      </c>
      <c r="L94" s="189" t="s">
        <v>468</v>
      </c>
      <c r="M94" s="189" t="s">
        <v>468</v>
      </c>
    </row>
    <row r="95" spans="1:13" x14ac:dyDescent="0.25">
      <c r="A95" s="186" t="s">
        <v>1136</v>
      </c>
      <c r="B95" s="187">
        <v>379</v>
      </c>
      <c r="C95" s="187" t="s">
        <v>2181</v>
      </c>
      <c r="D95" s="187" t="s">
        <v>1117</v>
      </c>
      <c r="E95" s="188" t="s">
        <v>2122</v>
      </c>
      <c r="F95" s="187" t="s">
        <v>757</v>
      </c>
      <c r="G95" s="187" t="s">
        <v>468</v>
      </c>
      <c r="H95" s="189" t="s">
        <v>2333</v>
      </c>
      <c r="I95" s="189" t="s">
        <v>2334</v>
      </c>
      <c r="J95" s="189" t="s">
        <v>2335</v>
      </c>
      <c r="K95" s="189" t="s">
        <v>468</v>
      </c>
      <c r="L95" s="189" t="s">
        <v>468</v>
      </c>
      <c r="M95" s="189" t="s">
        <v>468</v>
      </c>
    </row>
    <row r="96" spans="1:13" x14ac:dyDescent="0.25">
      <c r="A96" s="186" t="s">
        <v>2336</v>
      </c>
      <c r="B96" s="187">
        <v>380</v>
      </c>
      <c r="C96" s="187" t="s">
        <v>2181</v>
      </c>
      <c r="D96" s="187" t="s">
        <v>1117</v>
      </c>
      <c r="E96" s="188" t="s">
        <v>2122</v>
      </c>
      <c r="F96" s="187" t="s">
        <v>757</v>
      </c>
      <c r="G96" s="187" t="s">
        <v>468</v>
      </c>
      <c r="H96" s="195" t="s">
        <v>60</v>
      </c>
      <c r="I96" s="195" t="s">
        <v>60</v>
      </c>
      <c r="J96" s="195" t="s">
        <v>59</v>
      </c>
      <c r="K96" s="195" t="s">
        <v>468</v>
      </c>
      <c r="L96" s="195" t="s">
        <v>468</v>
      </c>
      <c r="M96" s="195" t="s">
        <v>468</v>
      </c>
    </row>
    <row r="97" spans="1:5" x14ac:dyDescent="0.25">
      <c r="A97" s="55"/>
    </row>
    <row r="98" spans="1:5" x14ac:dyDescent="0.25">
      <c r="B98" s="54"/>
      <c r="C98" s="54"/>
      <c r="D98" s="54"/>
      <c r="E98" s="54"/>
    </row>
  </sheetData>
  <sheetProtection algorithmName="SHA-512" hashValue="Rx+8vDSrBaXbb/vt7+GRr5eQzvfbA94q5Y4glWX5MqY25hQCU1OcPMUjN7HFOeEyJcDk1ZUi2Z6kwk08lYVYhQ==" saltValue="ykPx7cQ9TMXs7Vof8xiUqw==" spinCount="100000" sheet="1" objects="1" scenarios="1" formatCells="0" autoFilter="0"/>
  <mergeCells count="1">
    <mergeCell ref="A1:F1"/>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ST04-T2SZ</vt:lpstr>
      <vt:lpstr>Codes</vt:lpstr>
      <vt:lpstr>Instructions</vt:lpstr>
      <vt:lpstr>Filters</vt:lpstr>
      <vt:lpstr>Translation</vt:lpstr>
      <vt:lpstr>CatchTypeCode</vt:lpstr>
      <vt:lpstr>ClassLimitCode</vt:lpstr>
      <vt:lpstr>Content</vt:lpstr>
      <vt:lpstr>DataSourceCode</vt:lpstr>
      <vt:lpstr>FlagA2ISO</vt:lpstr>
      <vt:lpstr>FlagA3ISO</vt:lpstr>
      <vt:lpstr>FlagCode</vt:lpstr>
      <vt:lpstr>FlagName</vt:lpstr>
      <vt:lpstr>FreqTypeCode</vt:lpstr>
      <vt:lpstr>GearCode</vt:lpstr>
      <vt:lpstr>idiom</vt:lpstr>
      <vt:lpstr>LangFieldID</vt:lpstr>
      <vt:lpstr>LangNameID</vt:lpstr>
      <vt:lpstr>PortsZones</vt:lpstr>
      <vt:lpstr>ProdTypeCode</vt:lpstr>
      <vt:lpstr>QuadCode</vt:lpstr>
      <vt:lpstr>SampAreaCode</vt:lpstr>
      <vt:lpstr>SampleUnitCode</vt:lpstr>
      <vt:lpstr>SampLocatCode</vt:lpstr>
      <vt:lpstr>SchoolTypeCode</vt:lpstr>
      <vt:lpstr>SpeciesCode</vt:lpstr>
      <vt:lpstr>SquareTypeCode</vt:lpstr>
      <vt:lpstr>StatusCPC</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Palma</dc:creator>
  <cp:lastModifiedBy>Fabio Fiorellato</cp:lastModifiedBy>
  <cp:lastPrinted>2014-02-24T12:45:50Z</cp:lastPrinted>
  <dcterms:created xsi:type="dcterms:W3CDTF">2014-02-24T11:02:02Z</dcterms:created>
  <dcterms:modified xsi:type="dcterms:W3CDTF">2024-07-04T15:19:24Z</dcterms:modified>
</cp:coreProperties>
</file>