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24226"/>
  <mc:AlternateContent xmlns:mc="http://schemas.openxmlformats.org/markup-compatibility/2006">
    <mc:Choice Requires="x15">
      <x15ac:absPath xmlns:x15ac="http://schemas.microsoft.com/office/spreadsheetml/2010/11/ac" url="D:\eforms\2024\ST01-10-TRI_2024a\"/>
    </mc:Choice>
  </mc:AlternateContent>
  <xr:revisionPtr revIDLastSave="0" documentId="13_ncr:1_{7C997BD2-B1DC-4C0F-9D3B-5263148A1B11}" xr6:coauthVersionLast="47" xr6:coauthVersionMax="47" xr10:uidLastSave="{00000000-0000-0000-0000-000000000000}"/>
  <workbookProtection workbookAlgorithmName="SHA-512" workbookHashValue="mW55NItNBFx28XDQZVwn20s+Ukjqwo5YafJF2c04HFYnN9elFOAyRAolPUNo1spUWtDVZdWmvbwGUQmao34HPw==" workbookSaltValue="bdvKbVHqzaGQ11NslxFG7A==" workbookSpinCount="100000" lockStructure="1"/>
  <bookViews>
    <workbookView xWindow="-103" yWindow="-103" windowWidth="33120" windowHeight="18000" tabRatio="673" xr2:uid="{00000000-000D-0000-FFFF-FFFF00000000}"/>
  </bookViews>
  <sheets>
    <sheet name="ST08A-FadsDep" sheetId="1" r:id="rId1"/>
    <sheet name="ST08B-FadsDen" sheetId="6" r:id="rId2"/>
    <sheet name="Codes" sheetId="3" r:id="rId3"/>
    <sheet name="Instructions" sheetId="4" r:id="rId4"/>
    <sheet name="Filters" sheetId="8" r:id="rId5"/>
    <sheet name="Translation" sheetId="5" state="hidden" r:id="rId6"/>
  </sheets>
  <definedNames>
    <definedName name="_xlnm._FilterDatabase" localSheetId="2" hidden="1">Codes!$A$2:$F$160</definedName>
    <definedName name="_xlnm._FilterDatabase" localSheetId="0" hidden="1">'ST08A-FadsDep'!$A$21:$R$25</definedName>
    <definedName name="_xlnm._FilterDatabase" localSheetId="5" hidden="1">Translation!#REF!</definedName>
    <definedName name="BeaconTypeCode">Codes!$H$20:$H$27</definedName>
    <definedName name="Content">Codes!$H$38:$H$41</definedName>
    <definedName name="FadTypeCode">Codes!$H$10:$H$15</definedName>
    <definedName name="FlagA3ISO">Codes!$E$3:$E$175</definedName>
    <definedName name="FlagCode">Codes!$B$3:$B$175</definedName>
    <definedName name="FlagName">Codes!$A$3:$A$175</definedName>
    <definedName name="Idiom">'ST08A-FadsDep'!$R$2</definedName>
    <definedName name="LangFieldID">Translation!$I$1</definedName>
    <definedName name="LangNameID">Translation!$I$2</definedName>
    <definedName name="PortsZones">Codes!$D$3:$D$175</definedName>
    <definedName name="Version">Codes!$H$32:$H$33</definedName>
    <definedName name="VesselTypeCode">Codes!$H$3:$H$5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2" i="1" l="1"/>
  <c r="J11" i="1" s="1"/>
  <c r="F4" i="8"/>
  <c r="G3" i="8" l="1"/>
  <c r="G46" i="4" l="1"/>
  <c r="G45" i="4"/>
  <c r="G36" i="4"/>
  <c r="G35" i="4"/>
  <c r="B24" i="1" l="1"/>
  <c r="C19" i="1" l="1"/>
  <c r="L24" i="1" l="1"/>
  <c r="K24" i="1"/>
  <c r="J24" i="1"/>
  <c r="I24" i="1"/>
  <c r="H24" i="1"/>
  <c r="G24" i="1"/>
  <c r="F24" i="1"/>
  <c r="E24" i="1"/>
  <c r="D24" i="1"/>
  <c r="G49" i="4" l="1"/>
  <c r="G38" i="4"/>
  <c r="I17" i="6" l="1"/>
  <c r="G51" i="4"/>
  <c r="G47" i="4"/>
  <c r="G42" i="4" l="1"/>
  <c r="G41" i="4"/>
  <c r="G40" i="4"/>
  <c r="G39" i="4"/>
  <c r="A24" i="1" l="1"/>
  <c r="G48" i="4"/>
  <c r="G24" i="4"/>
  <c r="G23" i="4"/>
  <c r="G22" i="4"/>
  <c r="G21" i="4"/>
  <c r="G20" i="4"/>
  <c r="G37" i="4"/>
  <c r="G32" i="4"/>
  <c r="G50" i="4"/>
  <c r="G44" i="4"/>
  <c r="G43" i="4"/>
  <c r="G31" i="4"/>
  <c r="G30" i="4"/>
  <c r="G34" i="4"/>
  <c r="G33" i="4"/>
  <c r="G29" i="4"/>
  <c r="G28" i="4"/>
  <c r="G27" i="4"/>
  <c r="G26" i="4"/>
  <c r="G25" i="4"/>
  <c r="G19" i="4"/>
  <c r="G18" i="4"/>
  <c r="G17" i="4"/>
  <c r="G16" i="4"/>
  <c r="G15" i="4"/>
  <c r="G14" i="4"/>
  <c r="G13" i="4"/>
  <c r="G12" i="4"/>
  <c r="G11" i="4"/>
  <c r="I2" i="5"/>
  <c r="I1" i="5"/>
  <c r="F45" i="4" l="1"/>
  <c r="F46" i="4"/>
  <c r="F36" i="4"/>
  <c r="F35" i="4"/>
  <c r="H36" i="4"/>
  <c r="H45" i="4"/>
  <c r="H35" i="4"/>
  <c r="A4" i="8"/>
  <c r="A3" i="8"/>
  <c r="H16" i="6"/>
  <c r="J23" i="1"/>
  <c r="F11" i="6"/>
  <c r="C2" i="1"/>
  <c r="F15" i="1"/>
  <c r="G15" i="1"/>
  <c r="G11" i="6"/>
  <c r="D43" i="4"/>
  <c r="F49" i="4"/>
  <c r="F38" i="4"/>
  <c r="D40" i="4"/>
  <c r="H49" i="4"/>
  <c r="H38" i="4"/>
  <c r="A15" i="6"/>
  <c r="A21" i="1"/>
  <c r="H51" i="4"/>
  <c r="H47" i="4"/>
  <c r="D34" i="4"/>
  <c r="F51" i="4"/>
  <c r="F47" i="4"/>
  <c r="K22" i="1"/>
  <c r="E22" i="1"/>
  <c r="A22" i="1"/>
  <c r="R1" i="1"/>
  <c r="F40" i="4"/>
  <c r="F42" i="4"/>
  <c r="C42" i="4"/>
  <c r="D30" i="4"/>
  <c r="F39" i="4"/>
  <c r="F41" i="4"/>
  <c r="H12" i="4"/>
  <c r="H42" i="4"/>
  <c r="H39" i="4"/>
  <c r="H40" i="4"/>
  <c r="H41" i="4"/>
  <c r="B23" i="1"/>
  <c r="A23" i="1"/>
  <c r="D23" i="1"/>
  <c r="C23" i="1"/>
  <c r="B7" i="4"/>
  <c r="H20" i="4"/>
  <c r="H48" i="4"/>
  <c r="F23" i="4"/>
  <c r="G10" i="4"/>
  <c r="F48" i="4"/>
  <c r="A9" i="4"/>
  <c r="H10" i="4"/>
  <c r="F37" i="4"/>
  <c r="F21" i="4"/>
  <c r="H23" i="4"/>
  <c r="A1" i="4"/>
  <c r="A10" i="4"/>
  <c r="F24" i="4"/>
  <c r="A2" i="4"/>
  <c r="B10" i="4"/>
  <c r="H32" i="4"/>
  <c r="H21" i="4"/>
  <c r="B3" i="4"/>
  <c r="C10" i="4"/>
  <c r="C11" i="4"/>
  <c r="H37" i="4"/>
  <c r="F22" i="4"/>
  <c r="H24" i="4"/>
  <c r="B4" i="4"/>
  <c r="D10" i="4"/>
  <c r="F32" i="4"/>
  <c r="B5" i="4"/>
  <c r="E10" i="4"/>
  <c r="F20" i="4"/>
  <c r="H22" i="4"/>
  <c r="B6" i="4"/>
  <c r="F10" i="4"/>
  <c r="F11" i="4"/>
  <c r="F12" i="4"/>
  <c r="H11" i="4"/>
  <c r="Q1" i="1"/>
  <c r="C24" i="1"/>
  <c r="H17" i="6" l="1"/>
  <c r="G17" i="6"/>
  <c r="F6" i="6"/>
  <c r="C5" i="6"/>
  <c r="K2" i="6" l="1"/>
  <c r="J2" i="6"/>
  <c r="C11" i="6" l="1"/>
  <c r="C10" i="6"/>
  <c r="C6" i="6" l="1"/>
  <c r="F17" i="6" l="1"/>
  <c r="E17" i="6"/>
  <c r="D17" i="6"/>
  <c r="C17" i="6"/>
  <c r="B17" i="6"/>
  <c r="A17" i="6"/>
  <c r="J4" i="1"/>
  <c r="K9" i="1" s="1"/>
  <c r="I16" i="6" l="1"/>
  <c r="F16" i="6"/>
  <c r="H46" i="4"/>
  <c r="C16" i="6"/>
  <c r="F23" i="1"/>
  <c r="K23" i="1"/>
  <c r="D16" i="6"/>
  <c r="L23" i="1"/>
  <c r="B16" i="6"/>
  <c r="F50" i="4"/>
  <c r="H50" i="4"/>
  <c r="F44" i="4"/>
  <c r="F31" i="4"/>
  <c r="F43" i="4"/>
  <c r="F33" i="4"/>
  <c r="F30" i="4"/>
  <c r="E23" i="1"/>
  <c r="H44" i="4"/>
  <c r="H43" i="4"/>
  <c r="H23" i="1"/>
  <c r="I23" i="1"/>
  <c r="G23" i="1"/>
  <c r="F34" i="4"/>
  <c r="H34" i="4"/>
  <c r="B42" i="4"/>
  <c r="B11" i="4"/>
  <c r="D20" i="4"/>
  <c r="F27" i="4"/>
  <c r="F28" i="4"/>
  <c r="F25" i="4"/>
  <c r="H27" i="4"/>
  <c r="H28" i="4"/>
  <c r="H25" i="4"/>
  <c r="C43" i="4"/>
  <c r="H30" i="4"/>
  <c r="H26" i="4"/>
  <c r="H15" i="4"/>
  <c r="H14" i="4"/>
  <c r="H13" i="4"/>
  <c r="H29" i="4"/>
  <c r="H17" i="4"/>
  <c r="H16" i="4"/>
  <c r="H19" i="4"/>
  <c r="H33" i="4"/>
  <c r="H18" i="4"/>
  <c r="H31" i="4"/>
  <c r="C30" i="4"/>
  <c r="F16" i="4"/>
  <c r="A18" i="1"/>
  <c r="A11" i="6" s="1"/>
  <c r="A4" i="1"/>
  <c r="B9" i="1"/>
  <c r="F9" i="1"/>
  <c r="A5" i="1"/>
  <c r="B5" i="1"/>
  <c r="C2" i="6"/>
  <c r="F6" i="1"/>
  <c r="K6" i="1"/>
  <c r="A7" i="1"/>
  <c r="A11" i="1"/>
  <c r="A4" i="6" s="1"/>
  <c r="A1" i="1"/>
  <c r="K5" i="1"/>
  <c r="A13" i="1"/>
  <c r="A6" i="6" s="1"/>
  <c r="Q5" i="1"/>
  <c r="J1" i="6"/>
  <c r="K4" i="1"/>
  <c r="R5" i="1"/>
  <c r="B8" i="1"/>
  <c r="K11" i="1"/>
  <c r="A17" i="1"/>
  <c r="A10" i="6" s="1"/>
  <c r="B7" i="1"/>
  <c r="K1" i="6"/>
  <c r="P4" i="1"/>
  <c r="B6" i="1"/>
  <c r="K8" i="1"/>
  <c r="A12" i="1"/>
  <c r="A5" i="6" s="1"/>
  <c r="C1" i="1"/>
  <c r="C1" i="6" s="1"/>
  <c r="A16" i="6"/>
  <c r="E16" i="6"/>
  <c r="G16" i="6"/>
  <c r="A11" i="4"/>
  <c r="F29" i="4"/>
  <c r="F18" i="4"/>
  <c r="C13" i="4"/>
  <c r="F17" i="4"/>
  <c r="D25" i="4"/>
  <c r="F26" i="4"/>
  <c r="F15" i="4"/>
  <c r="E16" i="4"/>
  <c r="F14" i="4"/>
  <c r="E13" i="4"/>
  <c r="F19" i="4"/>
  <c r="F13" i="4"/>
  <c r="D13" i="4"/>
  <c r="A1" i="6" l="1"/>
</calcChain>
</file>

<file path=xl/sharedStrings.xml><?xml version="1.0" encoding="utf-8"?>
<sst xmlns="http://schemas.openxmlformats.org/spreadsheetml/2006/main" count="1895" uniqueCount="1076">
  <si>
    <t>Statistical correspondent</t>
  </si>
  <si>
    <t>Name</t>
  </si>
  <si>
    <t>E-mail</t>
  </si>
  <si>
    <t>Phone</t>
  </si>
  <si>
    <t>Institution</t>
  </si>
  <si>
    <t>Department</t>
  </si>
  <si>
    <t>Address</t>
  </si>
  <si>
    <t>Country</t>
  </si>
  <si>
    <t>Data set characteristics</t>
  </si>
  <si>
    <t>Secretariat use only</t>
  </si>
  <si>
    <t>Affiliation</t>
  </si>
  <si>
    <t>Algerie</t>
  </si>
  <si>
    <t>DZA</t>
  </si>
  <si>
    <t>Angola</t>
  </si>
  <si>
    <t>AGO</t>
  </si>
  <si>
    <t>Barbados</t>
  </si>
  <si>
    <t>BRB</t>
  </si>
  <si>
    <t>BRA</t>
  </si>
  <si>
    <t>Canada</t>
  </si>
  <si>
    <t>CAN</t>
  </si>
  <si>
    <t>ALB</t>
  </si>
  <si>
    <t>Cape Verde</t>
  </si>
  <si>
    <t>CPV</t>
  </si>
  <si>
    <t>CHN</t>
  </si>
  <si>
    <t>CIV</t>
  </si>
  <si>
    <t>NAM</t>
  </si>
  <si>
    <t>TUN</t>
  </si>
  <si>
    <t>GIN</t>
  </si>
  <si>
    <t>Guinea Ecuatorial</t>
  </si>
  <si>
    <t>GNQ</t>
  </si>
  <si>
    <t>Gabon</t>
  </si>
  <si>
    <t>GAB</t>
  </si>
  <si>
    <t>Ghana</t>
  </si>
  <si>
    <t>GHA</t>
  </si>
  <si>
    <t>Honduras</t>
  </si>
  <si>
    <t>HND</t>
  </si>
  <si>
    <t>Iceland</t>
  </si>
  <si>
    <t>ISL</t>
  </si>
  <si>
    <t>Japan</t>
  </si>
  <si>
    <t>JPN</t>
  </si>
  <si>
    <t>KOR</t>
  </si>
  <si>
    <t>Libya</t>
  </si>
  <si>
    <t>LBY</t>
  </si>
  <si>
    <t>TR</t>
  </si>
  <si>
    <t>Maroc</t>
  </si>
  <si>
    <t>MAR</t>
  </si>
  <si>
    <t>BB</t>
  </si>
  <si>
    <t>Mexico</t>
  </si>
  <si>
    <t>MEX</t>
  </si>
  <si>
    <t>Namibia</t>
  </si>
  <si>
    <t>Panama</t>
  </si>
  <si>
    <t>PAN</t>
  </si>
  <si>
    <t>Philippines</t>
  </si>
  <si>
    <t>PHL</t>
  </si>
  <si>
    <t>Russian Federation</t>
  </si>
  <si>
    <t>RUS</t>
  </si>
  <si>
    <t>STP</t>
  </si>
  <si>
    <t>South Africa</t>
  </si>
  <si>
    <t>ZAF</t>
  </si>
  <si>
    <t>Trinidad and Tobago</t>
  </si>
  <si>
    <t>TTO</t>
  </si>
  <si>
    <t>Tunisie</t>
  </si>
  <si>
    <t>GN</t>
  </si>
  <si>
    <t>TUR</t>
  </si>
  <si>
    <t>TN</t>
  </si>
  <si>
    <t>USA</t>
  </si>
  <si>
    <t>PS</t>
  </si>
  <si>
    <t>Uruguay</t>
  </si>
  <si>
    <t>URY</t>
  </si>
  <si>
    <t>FLK</t>
  </si>
  <si>
    <t>AIA</t>
  </si>
  <si>
    <t>BLR</t>
  </si>
  <si>
    <t>Vanuatu</t>
  </si>
  <si>
    <t>VUT</t>
  </si>
  <si>
    <t>Venezuela</t>
  </si>
  <si>
    <t>VEN</t>
  </si>
  <si>
    <t>Chinese Taipei</t>
  </si>
  <si>
    <t>TAI</t>
  </si>
  <si>
    <t>Guyana</t>
  </si>
  <si>
    <t>GUY</t>
  </si>
  <si>
    <t>TW</t>
  </si>
  <si>
    <t>Albania</t>
  </si>
  <si>
    <t>Antigua and Barbuda</t>
  </si>
  <si>
    <t>ATG</t>
  </si>
  <si>
    <t>Argentina</t>
  </si>
  <si>
    <t>ARG</t>
  </si>
  <si>
    <t>ABW</t>
  </si>
  <si>
    <t>Belarus</t>
  </si>
  <si>
    <t>BLZ</t>
  </si>
  <si>
    <t>Benin</t>
  </si>
  <si>
    <t>BEN</t>
  </si>
  <si>
    <t>Cambodia</t>
  </si>
  <si>
    <t>KHM</t>
  </si>
  <si>
    <t>Cameroon</t>
  </si>
  <si>
    <t>CMR</t>
  </si>
  <si>
    <t>Cayman Islands</t>
  </si>
  <si>
    <t>CYM</t>
  </si>
  <si>
    <t>Colombia</t>
  </si>
  <si>
    <t>COL</t>
  </si>
  <si>
    <t>Congo</t>
  </si>
  <si>
    <t>COG</t>
  </si>
  <si>
    <t>Costa Rica</t>
  </si>
  <si>
    <t>CRI</t>
  </si>
  <si>
    <t>Cuba</t>
  </si>
  <si>
    <t>CUB</t>
  </si>
  <si>
    <t>Dominica</t>
  </si>
  <si>
    <t>DMA</t>
  </si>
  <si>
    <t>Dominican Republic</t>
  </si>
  <si>
    <t>DOM</t>
  </si>
  <si>
    <t>Egypt</t>
  </si>
  <si>
    <t>EGY</t>
  </si>
  <si>
    <t>Faroe Islands</t>
  </si>
  <si>
    <t>FRO</t>
  </si>
  <si>
    <t>GNB</t>
  </si>
  <si>
    <t>Gambia</t>
  </si>
  <si>
    <t>GMB</t>
  </si>
  <si>
    <t>Georgia</t>
  </si>
  <si>
    <t>GEO</t>
  </si>
  <si>
    <t>Grenada</t>
  </si>
  <si>
    <t>GRD</t>
  </si>
  <si>
    <t>Guatemala</t>
  </si>
  <si>
    <t>GTM</t>
  </si>
  <si>
    <t>Israel</t>
  </si>
  <si>
    <t>ISR</t>
  </si>
  <si>
    <t>Jamaica</t>
  </si>
  <si>
    <t>JAM</t>
  </si>
  <si>
    <t>Lebanon</t>
  </si>
  <si>
    <t>LBN</t>
  </si>
  <si>
    <t>Liberia</t>
  </si>
  <si>
    <t>LBR</t>
  </si>
  <si>
    <t>Mauritania</t>
  </si>
  <si>
    <t>MRT</t>
  </si>
  <si>
    <t>KNA</t>
  </si>
  <si>
    <t>Nigeria</t>
  </si>
  <si>
    <t>NGA</t>
  </si>
  <si>
    <t>Norway</t>
  </si>
  <si>
    <t>NOR</t>
  </si>
  <si>
    <t>Puerto Rico</t>
  </si>
  <si>
    <t>PRI</t>
  </si>
  <si>
    <t>ROU</t>
  </si>
  <si>
    <t>Senegal</t>
  </si>
  <si>
    <t>SEN</t>
  </si>
  <si>
    <t>SYC</t>
  </si>
  <si>
    <t>Sierra Leone</t>
  </si>
  <si>
    <t>SLE</t>
  </si>
  <si>
    <t>LCA</t>
  </si>
  <si>
    <t>VCT</t>
  </si>
  <si>
    <t>SYR</t>
  </si>
  <si>
    <t>Togo</t>
  </si>
  <si>
    <t>TGO</t>
  </si>
  <si>
    <t>Ukraine</t>
  </si>
  <si>
    <t>UKR</t>
  </si>
  <si>
    <t>St. Kitts, Nevis</t>
  </si>
  <si>
    <t>Nicaragua</t>
  </si>
  <si>
    <t>NIC</t>
  </si>
  <si>
    <t>Aruba</t>
  </si>
  <si>
    <t>Belize</t>
  </si>
  <si>
    <t>Chile</t>
  </si>
  <si>
    <t>CHL</t>
  </si>
  <si>
    <t>El Salvador</t>
  </si>
  <si>
    <t>SLV</t>
  </si>
  <si>
    <t>Guinea Bissau</t>
  </si>
  <si>
    <t>India</t>
  </si>
  <si>
    <t>IND</t>
  </si>
  <si>
    <t>IRN</t>
  </si>
  <si>
    <t>Malaysia</t>
  </si>
  <si>
    <t>MYS</t>
  </si>
  <si>
    <t>Mauritius</t>
  </si>
  <si>
    <t>MUS</t>
  </si>
  <si>
    <t>Saint Kitts and Nevis</t>
  </si>
  <si>
    <t>PSE</t>
  </si>
  <si>
    <t>Seychelles</t>
  </si>
  <si>
    <t>Thailand</t>
  </si>
  <si>
    <t>THA</t>
  </si>
  <si>
    <t>US Virgin Islands</t>
  </si>
  <si>
    <t>VIR</t>
  </si>
  <si>
    <t>CP</t>
  </si>
  <si>
    <t>Anguilla</t>
  </si>
  <si>
    <t>Bahamas</t>
  </si>
  <si>
    <t>BHS</t>
  </si>
  <si>
    <t>Ecuador</t>
  </si>
  <si>
    <t>ECU</t>
  </si>
  <si>
    <t>Falklands</t>
  </si>
  <si>
    <t>NCC</t>
  </si>
  <si>
    <t>NCO</t>
  </si>
  <si>
    <t>Suriname</t>
  </si>
  <si>
    <t>SUR</t>
  </si>
  <si>
    <t>Calendar year</t>
  </si>
  <si>
    <t>Notes</t>
  </si>
  <si>
    <t>Header</t>
  </si>
  <si>
    <t>Description</t>
  </si>
  <si>
    <t>Curaçao</t>
  </si>
  <si>
    <t>Bolivia</t>
  </si>
  <si>
    <t>BOL</t>
  </si>
  <si>
    <t>Montenegro</t>
  </si>
  <si>
    <t>MNE</t>
  </si>
  <si>
    <t>Serbia</t>
  </si>
  <si>
    <t>SRB</t>
  </si>
  <si>
    <t>Singapore</t>
  </si>
  <si>
    <t>SGP</t>
  </si>
  <si>
    <t>Switzerland</t>
  </si>
  <si>
    <t>CHE</t>
  </si>
  <si>
    <t>INTERNATIONAL COMMISSION FOR THE CONSERVATION OF ATLANTIC TUNAS</t>
  </si>
  <si>
    <t>COMMISSION INTERNATIONALE POUR LA CONSERVATION DES THONIDÉS DE L'ATLANTIQUE</t>
  </si>
  <si>
    <t>Correspondant statistique</t>
  </si>
  <si>
    <t>Nom</t>
  </si>
  <si>
    <t>Téléphone</t>
  </si>
  <si>
    <t>Département</t>
  </si>
  <si>
    <t>Adresse</t>
  </si>
  <si>
    <t>Pays</t>
  </si>
  <si>
    <t>Caractéristiques du jeu de données</t>
  </si>
  <si>
    <t>Pavillon déclarant</t>
  </si>
  <si>
    <t>Nombre</t>
  </si>
  <si>
    <t>Teléfono</t>
  </si>
  <si>
    <t>Afiliación</t>
  </si>
  <si>
    <t>Institución</t>
  </si>
  <si>
    <t>Departamento</t>
  </si>
  <si>
    <t>Dirección</t>
  </si>
  <si>
    <t>País</t>
  </si>
  <si>
    <t>Características del conjunto de datos</t>
  </si>
  <si>
    <t>Año civil</t>
  </si>
  <si>
    <t>Notas</t>
  </si>
  <si>
    <t>Section</t>
  </si>
  <si>
    <t>Language</t>
  </si>
  <si>
    <t>Langue</t>
  </si>
  <si>
    <t>Idioma</t>
  </si>
  <si>
    <t>Descripción</t>
  </si>
  <si>
    <t>title</t>
  </si>
  <si>
    <t>Version</t>
  </si>
  <si>
    <t>ETRO</t>
  </si>
  <si>
    <t>Brazil</t>
  </si>
  <si>
    <t>Artisanal, Industrial, ETRO</t>
  </si>
  <si>
    <t>China PR</t>
  </si>
  <si>
    <t>Abidjan, S. Pedro</t>
  </si>
  <si>
    <t>Adriatic sea, Ionian sea, Ligurian sea, Sardenha, Strait of Sicily, Tyrrenean sea</t>
  </si>
  <si>
    <t>Artisanal, Industrial</t>
  </si>
  <si>
    <t>Tanger, Nador, ETRO</t>
  </si>
  <si>
    <t>Syria</t>
  </si>
  <si>
    <t>Trinidad, Tobago</t>
  </si>
  <si>
    <t>Comercial, Recreational</t>
  </si>
  <si>
    <t>CUW</t>
  </si>
  <si>
    <t>Iran</t>
  </si>
  <si>
    <t>Palestine</t>
  </si>
  <si>
    <t>Vessel Name</t>
  </si>
  <si>
    <t xml:space="preserve">Enter the official name of the Vessel </t>
  </si>
  <si>
    <t>Nom du navire</t>
  </si>
  <si>
    <t>Saisir le numéro de série de navires ICCAT, le cas échéant</t>
  </si>
  <si>
    <t>Saisir le nom officiel du navire</t>
  </si>
  <si>
    <t>Nombre del buque</t>
  </si>
  <si>
    <t>Pabellón declarante</t>
  </si>
  <si>
    <t>Introducir el número de serie ICCAT del buque si procede</t>
  </si>
  <si>
    <t>Introducir el nombre oficial del buque</t>
  </si>
  <si>
    <t>National, Foreign, Recreational (or Sport)</t>
  </si>
  <si>
    <t>Côte d'Ivoire</t>
  </si>
  <si>
    <t>Recreational (or Sport)</t>
  </si>
  <si>
    <t>Canárias, Coruña, Cantabric sea, ETRO, MEDI, Recreational (or Sport)</t>
  </si>
  <si>
    <t>Mainland, Azores, Madeira, Recreational (or Sport)</t>
  </si>
  <si>
    <t>Artisanal, ETRO, Recreational (or Sport)</t>
  </si>
  <si>
    <t>Andorra</t>
  </si>
  <si>
    <t>AND</t>
  </si>
  <si>
    <t>Australia</t>
  </si>
  <si>
    <t>AUS</t>
  </si>
  <si>
    <t>Brunei</t>
  </si>
  <si>
    <t>BND</t>
  </si>
  <si>
    <t>Cook Islands</t>
  </si>
  <si>
    <t>COK</t>
  </si>
  <si>
    <t>Fiji Islands</t>
  </si>
  <si>
    <t>FJI</t>
  </si>
  <si>
    <t>Guam</t>
  </si>
  <si>
    <t>GUM</t>
  </si>
  <si>
    <t>Haiti</t>
  </si>
  <si>
    <t>HTI</t>
  </si>
  <si>
    <t>Indonesia</t>
  </si>
  <si>
    <t>IDN</t>
  </si>
  <si>
    <t>Kenya</t>
  </si>
  <si>
    <t>KEN</t>
  </si>
  <si>
    <t>Kiribati</t>
  </si>
  <si>
    <t>KIR</t>
  </si>
  <si>
    <t>Kuwait</t>
  </si>
  <si>
    <t>KWT</t>
  </si>
  <si>
    <t>Madagascar</t>
  </si>
  <si>
    <t>MDG</t>
  </si>
  <si>
    <t>Maldives</t>
  </si>
  <si>
    <t>MDV</t>
  </si>
  <si>
    <t>Marshall Islands</t>
  </si>
  <si>
    <t>MHL</t>
  </si>
  <si>
    <t>Micronesia</t>
  </si>
  <si>
    <t>FSM</t>
  </si>
  <si>
    <t>Mozambique</t>
  </si>
  <si>
    <t>MOZ</t>
  </si>
  <si>
    <t>New Caledonia</t>
  </si>
  <si>
    <t>NCL</t>
  </si>
  <si>
    <t>New Zealand</t>
  </si>
  <si>
    <t>NZL</t>
  </si>
  <si>
    <t>Oman</t>
  </si>
  <si>
    <t>OMN</t>
  </si>
  <si>
    <t>Palau</t>
  </si>
  <si>
    <t>PLW</t>
  </si>
  <si>
    <t>Papua New Guinea</t>
  </si>
  <si>
    <t>PNG</t>
  </si>
  <si>
    <t>Perú</t>
  </si>
  <si>
    <t>PER</t>
  </si>
  <si>
    <t>Polynesie Française</t>
  </si>
  <si>
    <t>PYF</t>
  </si>
  <si>
    <t>Samoa</t>
  </si>
  <si>
    <t>WSM</t>
  </si>
  <si>
    <t>Saudi Arabia</t>
  </si>
  <si>
    <t>SAU</t>
  </si>
  <si>
    <t>Solomon Islands</t>
  </si>
  <si>
    <t>SLB</t>
  </si>
  <si>
    <t>Sri Lanka</t>
  </si>
  <si>
    <t>LKA</t>
  </si>
  <si>
    <t>Tanzania</t>
  </si>
  <si>
    <t>TZA</t>
  </si>
  <si>
    <t>Tonga</t>
  </si>
  <si>
    <t>TON</t>
  </si>
  <si>
    <t>Tuvalu</t>
  </si>
  <si>
    <t>TUV</t>
  </si>
  <si>
    <t>United Arab Emirates</t>
  </si>
  <si>
    <t>ARE</t>
  </si>
  <si>
    <t>Vietnam</t>
  </si>
  <si>
    <t>VNM</t>
  </si>
  <si>
    <t>LVA</t>
  </si>
  <si>
    <t>FlagName</t>
  </si>
  <si>
    <t>PortsZones</t>
  </si>
  <si>
    <t>FlagA3ISO</t>
  </si>
  <si>
    <t>FlagA2ISO</t>
  </si>
  <si>
    <t>AL</t>
  </si>
  <si>
    <t>DZ</t>
  </si>
  <si>
    <t>AO</t>
  </si>
  <si>
    <t>BZ</t>
  </si>
  <si>
    <t>BR</t>
  </si>
  <si>
    <t>CA</t>
  </si>
  <si>
    <t>CV</t>
  </si>
  <si>
    <t>CN</t>
  </si>
  <si>
    <t>CW</t>
  </si>
  <si>
    <t>CI</t>
  </si>
  <si>
    <t>BEL</t>
  </si>
  <si>
    <t>BE</t>
  </si>
  <si>
    <t>BGR</t>
  </si>
  <si>
    <t>BG</t>
  </si>
  <si>
    <t>HRV</t>
  </si>
  <si>
    <t>HR</t>
  </si>
  <si>
    <t>CYP</t>
  </si>
  <si>
    <t>CY</t>
  </si>
  <si>
    <t>DNK</t>
  </si>
  <si>
    <t>DK</t>
  </si>
  <si>
    <t>ESP</t>
  </si>
  <si>
    <t>ES</t>
  </si>
  <si>
    <t>EST</t>
  </si>
  <si>
    <t>EE</t>
  </si>
  <si>
    <t>FRA</t>
  </si>
  <si>
    <t>FR</t>
  </si>
  <si>
    <t>DEU</t>
  </si>
  <si>
    <t>DE</t>
  </si>
  <si>
    <t>GRC</t>
  </si>
  <si>
    <t>GR</t>
  </si>
  <si>
    <t>HUN</t>
  </si>
  <si>
    <t>HU</t>
  </si>
  <si>
    <t>IRL</t>
  </si>
  <si>
    <t>IE</t>
  </si>
  <si>
    <t>ITA</t>
  </si>
  <si>
    <t>IT</t>
  </si>
  <si>
    <t>LV</t>
  </si>
  <si>
    <t>LTU</t>
  </si>
  <si>
    <t>LT</t>
  </si>
  <si>
    <t>MLT</t>
  </si>
  <si>
    <t>MT</t>
  </si>
  <si>
    <t>NLD</t>
  </si>
  <si>
    <t>NL</t>
  </si>
  <si>
    <t>POL</t>
  </si>
  <si>
    <t>PL</t>
  </si>
  <si>
    <t>PRT</t>
  </si>
  <si>
    <t>PT</t>
  </si>
  <si>
    <t>RO</t>
  </si>
  <si>
    <t>SVN</t>
  </si>
  <si>
    <t>SI</t>
  </si>
  <si>
    <t>SWE</t>
  </si>
  <si>
    <t>SE</t>
  </si>
  <si>
    <t>GBR</t>
  </si>
  <si>
    <t>GB</t>
  </si>
  <si>
    <t>EG</t>
  </si>
  <si>
    <t>SV</t>
  </si>
  <si>
    <t>SPM</t>
  </si>
  <si>
    <t>PM</t>
  </si>
  <si>
    <t>GA</t>
  </si>
  <si>
    <t>GH</t>
  </si>
  <si>
    <t>GT</t>
  </si>
  <si>
    <t>GW</t>
  </si>
  <si>
    <t>GQ</t>
  </si>
  <si>
    <t>HN</t>
  </si>
  <si>
    <t>IS</t>
  </si>
  <si>
    <t>JP</t>
  </si>
  <si>
    <t>KR</t>
  </si>
  <si>
    <t>LR</t>
  </si>
  <si>
    <t>LY</t>
  </si>
  <si>
    <t>MA</t>
  </si>
  <si>
    <t>MR</t>
  </si>
  <si>
    <t>MX</t>
  </si>
  <si>
    <t>NA</t>
  </si>
  <si>
    <t>NI</t>
  </si>
  <si>
    <t>NG</t>
  </si>
  <si>
    <t>NO</t>
  </si>
  <si>
    <t>PA</t>
  </si>
  <si>
    <t>PH</t>
  </si>
  <si>
    <t>RU</t>
  </si>
  <si>
    <t>ST</t>
  </si>
  <si>
    <t>SN</t>
  </si>
  <si>
    <t>SL</t>
  </si>
  <si>
    <t>ZA</t>
  </si>
  <si>
    <t>VC</t>
  </si>
  <si>
    <t>SY</t>
  </si>
  <si>
    <t>TT</t>
  </si>
  <si>
    <t>US</t>
  </si>
  <si>
    <t>BMU</t>
  </si>
  <si>
    <t>BM</t>
  </si>
  <si>
    <t>VGB</t>
  </si>
  <si>
    <t>VG</t>
  </si>
  <si>
    <t>SHN</t>
  </si>
  <si>
    <t>SH</t>
  </si>
  <si>
    <t>TCA</t>
  </si>
  <si>
    <t>TC</t>
  </si>
  <si>
    <t>UY</t>
  </si>
  <si>
    <t>VU</t>
  </si>
  <si>
    <t>VE</t>
  </si>
  <si>
    <t>BO</t>
  </si>
  <si>
    <t>TWN</t>
  </si>
  <si>
    <t>CR</t>
  </si>
  <si>
    <t>GY</t>
  </si>
  <si>
    <t>SR</t>
  </si>
  <si>
    <t>AD</t>
  </si>
  <si>
    <t>AI</t>
  </si>
  <si>
    <t>AG</t>
  </si>
  <si>
    <t>AR</t>
  </si>
  <si>
    <t>AW</t>
  </si>
  <si>
    <t>AU</t>
  </si>
  <si>
    <t>BS</t>
  </si>
  <si>
    <t>BY</t>
  </si>
  <si>
    <t>BJ</t>
  </si>
  <si>
    <t>BN</t>
  </si>
  <si>
    <t>KH</t>
  </si>
  <si>
    <t>CM</t>
  </si>
  <si>
    <t>KY</t>
  </si>
  <si>
    <t>CL</t>
  </si>
  <si>
    <t>CO</t>
  </si>
  <si>
    <t>CG</t>
  </si>
  <si>
    <t>CK</t>
  </si>
  <si>
    <t>CU</t>
  </si>
  <si>
    <t>DM</t>
  </si>
  <si>
    <t>DO</t>
  </si>
  <si>
    <t>EC</t>
  </si>
  <si>
    <t>FK</t>
  </si>
  <si>
    <t>FO</t>
  </si>
  <si>
    <t>FJ</t>
  </si>
  <si>
    <t>GM</t>
  </si>
  <si>
    <t>GE</t>
  </si>
  <si>
    <t>GD</t>
  </si>
  <si>
    <t>GU</t>
  </si>
  <si>
    <t>HT</t>
  </si>
  <si>
    <t>IN</t>
  </si>
  <si>
    <t>ID</t>
  </si>
  <si>
    <t>IR</t>
  </si>
  <si>
    <t>IL</t>
  </si>
  <si>
    <t>JM</t>
  </si>
  <si>
    <t>KE</t>
  </si>
  <si>
    <t>KI</t>
  </si>
  <si>
    <t>KW</t>
  </si>
  <si>
    <t>LB</t>
  </si>
  <si>
    <t>MG</t>
  </si>
  <si>
    <t>MY</t>
  </si>
  <si>
    <t>MV</t>
  </si>
  <si>
    <t>MH</t>
  </si>
  <si>
    <t>MU</t>
  </si>
  <si>
    <t>FM</t>
  </si>
  <si>
    <t>ME</t>
  </si>
  <si>
    <t>MZ</t>
  </si>
  <si>
    <t>NC</t>
  </si>
  <si>
    <t>NZ</t>
  </si>
  <si>
    <t>OM</t>
  </si>
  <si>
    <t>PW</t>
  </si>
  <si>
    <t>PG</t>
  </si>
  <si>
    <t>PE</t>
  </si>
  <si>
    <t>PF</t>
  </si>
  <si>
    <t>PR</t>
  </si>
  <si>
    <t>KN</t>
  </si>
  <si>
    <t>WS</t>
  </si>
  <si>
    <t>SA</t>
  </si>
  <si>
    <t>RS</t>
  </si>
  <si>
    <t>SC</t>
  </si>
  <si>
    <t>SG</t>
  </si>
  <si>
    <t>SB</t>
  </si>
  <si>
    <t>LK</t>
  </si>
  <si>
    <t>LC</t>
  </si>
  <si>
    <t>CH</t>
  </si>
  <si>
    <t>TZ</t>
  </si>
  <si>
    <t>TH</t>
  </si>
  <si>
    <t>TG</t>
  </si>
  <si>
    <t>TO</t>
  </si>
  <si>
    <t>TV</t>
  </si>
  <si>
    <t>VI</t>
  </si>
  <si>
    <t>UA</t>
  </si>
  <si>
    <t>AE</t>
  </si>
  <si>
    <t>VN</t>
  </si>
  <si>
    <t>FieldID</t>
  </si>
  <si>
    <t>Order</t>
  </si>
  <si>
    <t>Subform</t>
  </si>
  <si>
    <t>Item</t>
  </si>
  <si>
    <t>FieldType</t>
  </si>
  <si>
    <t>FldNameEN</t>
  </si>
  <si>
    <t>FldNameFR</t>
  </si>
  <si>
    <t>FldNameES</t>
  </si>
  <si>
    <t>FldInstructEN</t>
  </si>
  <si>
    <t>FldInstructFR</t>
  </si>
  <si>
    <t>FldInstructES</t>
  </si>
  <si>
    <t>T00</t>
  </si>
  <si>
    <t>n/a</t>
  </si>
  <si>
    <t>T01</t>
  </si>
  <si>
    <t>subtitle</t>
  </si>
  <si>
    <t>ICCAT</t>
  </si>
  <si>
    <t>CICTA</t>
  </si>
  <si>
    <t>CICAA</t>
  </si>
  <si>
    <t>section</t>
  </si>
  <si>
    <t>T04</t>
  </si>
  <si>
    <t>field</t>
  </si>
  <si>
    <t>(fixed)</t>
  </si>
  <si>
    <t>Versión</t>
  </si>
  <si>
    <t>ICCAT code</t>
  </si>
  <si>
    <t>H00</t>
  </si>
  <si>
    <t>Cabecera</t>
  </si>
  <si>
    <t>(auto)</t>
  </si>
  <si>
    <t>H10</t>
  </si>
  <si>
    <t>Corresponsal estadístico</t>
  </si>
  <si>
    <t>H11</t>
  </si>
  <si>
    <t>subsection</t>
  </si>
  <si>
    <t>H12</t>
  </si>
  <si>
    <t>H20</t>
  </si>
  <si>
    <t>Réservé au Secrétariat</t>
  </si>
  <si>
    <t>Reservado a la Secretaría</t>
  </si>
  <si>
    <t>H21</t>
  </si>
  <si>
    <t>Filtering criteria</t>
  </si>
  <si>
    <t>Critères de filtrage</t>
  </si>
  <si>
    <t>Criterios de filtrado</t>
  </si>
  <si>
    <t>H30</t>
  </si>
  <si>
    <t>H40</t>
  </si>
  <si>
    <t>Other attributes</t>
  </si>
  <si>
    <t>Autres attributs</t>
  </si>
  <si>
    <t>Otros atributos</t>
  </si>
  <si>
    <t>hName</t>
  </si>
  <si>
    <t>hEmail</t>
  </si>
  <si>
    <t>hPhone</t>
  </si>
  <si>
    <t>hInstit</t>
  </si>
  <si>
    <t>hDepart</t>
  </si>
  <si>
    <t>hAddress</t>
  </si>
  <si>
    <t>hCountry</t>
  </si>
  <si>
    <t>hFlagrep</t>
  </si>
  <si>
    <t>Reporting Flag</t>
  </si>
  <si>
    <t>hYearC</t>
  </si>
  <si>
    <t>integer</t>
  </si>
  <si>
    <t>hVersion</t>
  </si>
  <si>
    <t>Version reported</t>
  </si>
  <si>
    <t>Version transmise</t>
  </si>
  <si>
    <t>Versión declarada</t>
  </si>
  <si>
    <t>hDaterep</t>
  </si>
  <si>
    <t>date</t>
  </si>
  <si>
    <t>Date reported</t>
  </si>
  <si>
    <t>Date de déclaration</t>
  </si>
  <si>
    <t>Fecha de notificación</t>
  </si>
  <si>
    <t>Reservado a la Sacretaría</t>
  </si>
  <si>
    <t>hRef</t>
  </si>
  <si>
    <t>Reference Nº</t>
  </si>
  <si>
    <t>Nº Reference</t>
  </si>
  <si>
    <t>Nº Referencia</t>
  </si>
  <si>
    <t>hFName</t>
  </si>
  <si>
    <t>File name (proposed)</t>
  </si>
  <si>
    <t>Nom du fichier (proposé)</t>
  </si>
  <si>
    <t>Nombre de archivo (propuesto)</t>
  </si>
  <si>
    <t>Send the form to ICCAT with the proposed file name (if required, suffix it with an ID at the end)</t>
  </si>
  <si>
    <t>Envoyez le formulaire à l'ICCAT avec le nom du fichier proposé (si nécessaire, ajouter un suffixe d'ID à la fin)</t>
  </si>
  <si>
    <t>Enviar el formulario a ICCAT con el nombre del archivo propuesto (si necesario, añadir como sufijo un ID al final)</t>
  </si>
  <si>
    <t>hFilter1</t>
  </si>
  <si>
    <t>boolean</t>
  </si>
  <si>
    <t>Filter 1</t>
  </si>
  <si>
    <t>Filtre 1</t>
  </si>
  <si>
    <t>Filtro 1</t>
  </si>
  <si>
    <t>hFilter2</t>
  </si>
  <si>
    <t>Filter 2</t>
  </si>
  <si>
    <t>Filtre 2</t>
  </si>
  <si>
    <t>Filtro 2</t>
  </si>
  <si>
    <t>hNotes</t>
  </si>
  <si>
    <t>a)</t>
  </si>
  <si>
    <t>b)</t>
  </si>
  <si>
    <t>c)</t>
  </si>
  <si>
    <t>d)</t>
  </si>
  <si>
    <t>Table. Version types</t>
  </si>
  <si>
    <t>VersionDescript</t>
  </si>
  <si>
    <t>Final</t>
  </si>
  <si>
    <t>Final estimations (no changes expected)</t>
  </si>
  <si>
    <t>Preliminary</t>
  </si>
  <si>
    <t>Preliminary estimates (changes expected)</t>
  </si>
  <si>
    <t>Table. Content types</t>
  </si>
  <si>
    <t>Content</t>
  </si>
  <si>
    <t>ContentDescript</t>
  </si>
  <si>
    <t>Revision (FULL)</t>
  </si>
  <si>
    <t>Revision (PARTIAL)</t>
  </si>
  <si>
    <t>Identification</t>
  </si>
  <si>
    <t>Identificación</t>
  </si>
  <si>
    <t>e)</t>
  </si>
  <si>
    <t>G00</t>
  </si>
  <si>
    <t>General</t>
  </si>
  <si>
    <t>Instructions</t>
  </si>
  <si>
    <t>Instrucciones</t>
  </si>
  <si>
    <t>Instructions to complete the form</t>
  </si>
  <si>
    <t>Instructions pour remplir le formulaire</t>
  </si>
  <si>
    <t>Instrucciones para cumplimentar el formulario</t>
  </si>
  <si>
    <t>G01</t>
  </si>
  <si>
    <t>G01a</t>
  </si>
  <si>
    <t>item</t>
  </si>
  <si>
    <t>General01</t>
  </si>
  <si>
    <t>Complete as far as possible the Header and Detail sections (don't leave fields empty when information is known)</t>
  </si>
  <si>
    <t>Remplir, dans la mesure du possible, les sections "en-tête" et "information détaillée" (ne pas laisser de champs vides lorsque l'information est connue)</t>
  </si>
  <si>
    <t>Cumplimentar con la mayor información posible las secciones "cabecera" e "información detallada" (no dejar campos vacíos cuando se conoce la información)</t>
  </si>
  <si>
    <t>G01b</t>
  </si>
  <si>
    <t>General02</t>
  </si>
  <si>
    <t>In Header section, only white cells can be filled (manually or by selecting from the Combo Box the corresponding code)</t>
  </si>
  <si>
    <t>Dans la section d'en-tête, seules les cellules vides peuvent être remplies (manuellement ou en sélectionnant le code correspondant dans le menu déroulant)</t>
  </si>
  <si>
    <t>En la sección de cabecera, sólo pueden cumplimentarse las celdas en blanco (manualmente o seleccionando en la pestaña desplegable el código correspondiente)</t>
  </si>
  <si>
    <t>G01c</t>
  </si>
  <si>
    <t>General03</t>
  </si>
  <si>
    <t>Always use ICCAT standard codes (when element "OTHERS" of various fields is required it must be explicitly described in "Notes")</t>
  </si>
  <si>
    <t>Toujours utiliser les codes standard ICCAT (si l'élément "AUTRES" de divers champs est requis, celui-ci doit être explicitement décrit dans la rubrique "notes")</t>
  </si>
  <si>
    <t>Utilice siempre los códigos estándar ICCAT (cuando se requiere el elemento "OTROS" de varios campos, éste debe describirse explícitamente en las "Notas")</t>
  </si>
  <si>
    <t>G01d</t>
  </si>
  <si>
    <t>General04</t>
  </si>
  <si>
    <t>Recomendación para los usuarios con bases de datos: para pegar un conjunto de datos completo en la sección de información detallada (debe tener la misma estructura y formato) se debe utilizar "Paste special (values)"</t>
  </si>
  <si>
    <t>G01e</t>
  </si>
  <si>
    <t>General05</t>
  </si>
  <si>
    <t>G02</t>
  </si>
  <si>
    <t>Specific</t>
  </si>
  <si>
    <t>Specific (by field)</t>
  </si>
  <si>
    <t>Spécifique (par champ)</t>
  </si>
  <si>
    <t>Específico (por campo)</t>
  </si>
  <si>
    <t>SC01</t>
  </si>
  <si>
    <t>Form</t>
  </si>
  <si>
    <t>Formulaire</t>
  </si>
  <si>
    <t>Formulario</t>
  </si>
  <si>
    <t>SC02</t>
  </si>
  <si>
    <t>Sub-form</t>
  </si>
  <si>
    <t>Sous-formulaire</t>
  </si>
  <si>
    <t>Subformulario</t>
  </si>
  <si>
    <t>SC03</t>
  </si>
  <si>
    <t>Part</t>
  </si>
  <si>
    <t>Partie</t>
  </si>
  <si>
    <t>Parte</t>
  </si>
  <si>
    <t>SC04</t>
  </si>
  <si>
    <t xml:space="preserve">Section </t>
  </si>
  <si>
    <t>Sección</t>
  </si>
  <si>
    <t>SC05</t>
  </si>
  <si>
    <t>Sub-section</t>
  </si>
  <si>
    <t>Sous-section</t>
  </si>
  <si>
    <t>Sub-secciones</t>
  </si>
  <si>
    <t>SC06</t>
  </si>
  <si>
    <t>Field (name)</t>
  </si>
  <si>
    <t>Champ (nom)</t>
  </si>
  <si>
    <t>Campo (nombre)</t>
  </si>
  <si>
    <t>SC07</t>
  </si>
  <si>
    <t>Field (format)</t>
  </si>
  <si>
    <t>Champ (format)</t>
  </si>
  <si>
    <t>Campo (formato)</t>
  </si>
  <si>
    <t>SC08</t>
  </si>
  <si>
    <t>Detail</t>
  </si>
  <si>
    <t>Translation for Forms</t>
  </si>
  <si>
    <t>LangFieldID</t>
  </si>
  <si>
    <t>LangNameID</t>
  </si>
  <si>
    <t>Mainland, ETRO, MEDI, Recreational (or Sport), Guadeloupe, Martinique</t>
  </si>
  <si>
    <t>Burkina Faso</t>
  </si>
  <si>
    <t>BFA</t>
  </si>
  <si>
    <t>BF</t>
  </si>
  <si>
    <r>
      <t xml:space="preserve">Table. </t>
    </r>
    <r>
      <rPr>
        <sz val="8"/>
        <rFont val="Calibri"/>
        <family val="2"/>
        <scheme val="minor"/>
      </rPr>
      <t>Reporting Flags, Flags of Vessel / Countries (A2 &amp; A3 ISO 3166)</t>
    </r>
  </si>
  <si>
    <t>T02</t>
  </si>
  <si>
    <t>T05</t>
  </si>
  <si>
    <t>Title</t>
  </si>
  <si>
    <t>Titre</t>
  </si>
  <si>
    <t>Título</t>
  </si>
  <si>
    <t>Form Title</t>
  </si>
  <si>
    <t>Titre du formulaire</t>
  </si>
  <si>
    <t>Título del formulario</t>
  </si>
  <si>
    <t>string</t>
  </si>
  <si>
    <t>D00</t>
  </si>
  <si>
    <t>Content (data)</t>
  </si>
  <si>
    <t>ICCATSerialNo</t>
  </si>
  <si>
    <t>D10</t>
  </si>
  <si>
    <t>D20</t>
  </si>
  <si>
    <t>hContent</t>
  </si>
  <si>
    <t>Contenu (données)</t>
  </si>
  <si>
    <t>Contenido (datos)</t>
  </si>
  <si>
    <t>VesselName</t>
  </si>
  <si>
    <t>FlagVesCd</t>
  </si>
  <si>
    <t>Détail</t>
  </si>
  <si>
    <t>Detalle</t>
  </si>
  <si>
    <t>AUT</t>
  </si>
  <si>
    <t>AT</t>
  </si>
  <si>
    <t>Djibouti</t>
  </si>
  <si>
    <t>DJI</t>
  </si>
  <si>
    <t>DJ</t>
  </si>
  <si>
    <t>New (FULL)</t>
  </si>
  <si>
    <t>New data (never reported to ICCAT): FULL coverage</t>
  </si>
  <si>
    <t>New (PARTIAL)</t>
  </si>
  <si>
    <t>New data (never reported to ICCAT): PARTIAL coverage</t>
  </si>
  <si>
    <t>Revised data (FULL): to fully replace the previously reported data</t>
  </si>
  <si>
    <t>Revised data (PARTIAL): to partially replace the previously reported data</t>
  </si>
  <si>
    <t>ST08-FadsDep</t>
  </si>
  <si>
    <t>Month</t>
  </si>
  <si>
    <t>Specify the month of the deployment</t>
  </si>
  <si>
    <t>Corresponding longitude of deployment: (+) East (-) West</t>
  </si>
  <si>
    <t>Purse Seiner</t>
  </si>
  <si>
    <t>Support Vessel</t>
  </si>
  <si>
    <t>Bait Boat</t>
  </si>
  <si>
    <t>Table. Tropical Tuna Vessel Types</t>
  </si>
  <si>
    <t>AFAD</t>
  </si>
  <si>
    <t>Anchored FAD</t>
  </si>
  <si>
    <t>DFAD</t>
  </si>
  <si>
    <t>Drifting artifical FAD</t>
  </si>
  <si>
    <t>FALOG</t>
  </si>
  <si>
    <t>HALOG</t>
  </si>
  <si>
    <t>ANLOG</t>
  </si>
  <si>
    <t>Natural log of animal origin</t>
  </si>
  <si>
    <t>VNLOG</t>
  </si>
  <si>
    <t>Natural log of plant origin</t>
  </si>
  <si>
    <t>BeaconType</t>
  </si>
  <si>
    <t>NoBouy</t>
  </si>
  <si>
    <t xml:space="preserve">FAD without Bouy signal </t>
  </si>
  <si>
    <t>RDF</t>
  </si>
  <si>
    <t>Radio direction finder</t>
  </si>
  <si>
    <t>RDFGPS</t>
  </si>
  <si>
    <t>Radio direction finder and GPS</t>
  </si>
  <si>
    <t>GPS</t>
  </si>
  <si>
    <t>SON</t>
  </si>
  <si>
    <t>Sonar</t>
  </si>
  <si>
    <t>SONES</t>
  </si>
  <si>
    <t>Sonar with echo-sounder</t>
  </si>
  <si>
    <t>SATES</t>
  </si>
  <si>
    <t>Satellite and echo-sounder</t>
  </si>
  <si>
    <t>SAT</t>
  </si>
  <si>
    <t>Satellite without echo-sounder</t>
  </si>
  <si>
    <t>ST08A</t>
  </si>
  <si>
    <t>ST08B</t>
  </si>
  <si>
    <t>AvgNOperatFADs</t>
  </si>
  <si>
    <t>(automatic completion obtained from ST08A)</t>
  </si>
  <si>
    <t>FormID</t>
  </si>
  <si>
    <t>ST08</t>
  </si>
  <si>
    <t>Titles</t>
  </si>
  <si>
    <t>tVersion</t>
  </si>
  <si>
    <t>tLang</t>
  </si>
  <si>
    <t>VessTypeCd</t>
  </si>
  <si>
    <t>FadTypeCd</t>
  </si>
  <si>
    <t>FADTypeCd</t>
  </si>
  <si>
    <t>Always use the lastest version of this form</t>
  </si>
  <si>
    <t>Name (full OR Name &amp; Surname) of the Statistical Correspondent (officially nominated by the CPC)</t>
  </si>
  <si>
    <t>Email address of the Statistical Correspondent</t>
  </si>
  <si>
    <t>Telephone number of the Statistical Correspondent</t>
  </si>
  <si>
    <t>Department within the Institution, where applicable</t>
  </si>
  <si>
    <t>Country in which the Institution is based</t>
  </si>
  <si>
    <t>Choose the Flag CPC reporting the data (ICCAT codes)</t>
  </si>
  <si>
    <t>The calendar year (4 digits) to which the data relate</t>
  </si>
  <si>
    <t>Specify if this submission is Preliminary (subject to revision) or Final (already validated)</t>
  </si>
  <si>
    <t>Enter the ICCAT Vessel Serial Number if applicable</t>
  </si>
  <si>
    <t>Utiliser toujours la dernière version de ce formulaire</t>
  </si>
  <si>
    <t>Adresse email du Correspondant statistique</t>
  </si>
  <si>
    <t>Numéro de téléphone du Correspondant statistique</t>
  </si>
  <si>
    <t>Institution (ministère, agence, institut de recherche, etc.) à laquelle le Correspondant statistique est affilié</t>
  </si>
  <si>
    <t>Département au sein de l'institution, le cas échéant</t>
  </si>
  <si>
    <t>Adresse postale de l'institution (rue, numéro, ville, état)</t>
  </si>
  <si>
    <t>Pays dans lequel l'institution est installée</t>
  </si>
  <si>
    <t>L'année civile (4 chiffres) à laquelle les données correspondent</t>
  </si>
  <si>
    <t>Préciser si cette soumission est préliminaire (sujette à révision) ou finale (déjà validée)</t>
  </si>
  <si>
    <t>Ajouter des notes additionnelles (complémentaires) en ce qui concerne le jeu de données global (si nécessaire)</t>
  </si>
  <si>
    <t>Recommandation aux utilisateurs de bases de données : pour copier tout un jeu de données dans la section "Information détaillée" (qui doit avoir les mêmes structure et format), utiliser "Paste special (values)"</t>
  </si>
  <si>
    <t>Utilice siempre la última versión de este formulario</t>
  </si>
  <si>
    <t>Dirección de correo electrónico del corresponsal estadístico</t>
  </si>
  <si>
    <t>Número de teléfono del corresponsal estadístico</t>
  </si>
  <si>
    <t>Institución (Ministerio, Agencia, instituto de investigación, etc.) al que pertenece el corresponsal estadístico</t>
  </si>
  <si>
    <t>Departamento dentro de la institución, si procede</t>
  </si>
  <si>
    <t>Dirección postal de la institución (calle, número, ciudad, estado)</t>
  </si>
  <si>
    <t>País en el que tiene su sede la institución</t>
  </si>
  <si>
    <t>Escoger la CPC del pabellón que comunica los datos (códigos ICCAT)</t>
  </si>
  <si>
    <t>Año civil (cuatro dígitos) al que se refieren los datos</t>
  </si>
  <si>
    <t>Especificar si la presentación es preliminar (sujeta a revisión) o final (ya validada)</t>
  </si>
  <si>
    <t>Añadir notas adicionales (complementarias) para el conjunto de datos global (si se requieren)</t>
  </si>
  <si>
    <t>Laisser en blanc les champs pour lesquels vous ne recueillez pas d'informations</t>
  </si>
  <si>
    <t>Deje en blanco los campos para los que no se ha recopilado información</t>
  </si>
  <si>
    <t>Leave blank the fields for which you don't collect information</t>
  </si>
  <si>
    <t>Table.  FAD (FOB) type</t>
  </si>
  <si>
    <t>Remarks</t>
  </si>
  <si>
    <t>NoFADsDep</t>
  </si>
  <si>
    <t>NoFADsLost</t>
  </si>
  <si>
    <t>NoFADsTransf</t>
  </si>
  <si>
    <t>Vessel attributes</t>
  </si>
  <si>
    <t>H00b</t>
  </si>
  <si>
    <t>Choose the language (ENG, FRA, ESP) for form translation</t>
  </si>
  <si>
    <t>Choisisser la langue (ENG, FRA, ESP) pour la traduction du formulaire</t>
  </si>
  <si>
    <t>Elija el idioma (ENG, FRA, ESP) para la traducción del formulario</t>
  </si>
  <si>
    <t>ICCAT Serial number</t>
  </si>
  <si>
    <t>Numéro de série ICCAT</t>
  </si>
  <si>
    <t>Número de serie ICCAT</t>
  </si>
  <si>
    <t>Deployment (NEW FADs) details by vessel/month/1x1</t>
  </si>
  <si>
    <t>Mois</t>
  </si>
  <si>
    <t>Observations</t>
  </si>
  <si>
    <t>Observaciones</t>
  </si>
  <si>
    <t>D30</t>
  </si>
  <si>
    <t>FAD type (cod)</t>
  </si>
  <si>
    <t>Losses &amp; Transfers by vessel/month/1x1</t>
  </si>
  <si>
    <t>Attributs du navire</t>
  </si>
  <si>
    <t>SP (Purse seiner)</t>
  </si>
  <si>
    <t>LP (Pole and liner)</t>
  </si>
  <si>
    <t>SV (Support vessel)</t>
  </si>
  <si>
    <t>Vessel type</t>
  </si>
  <si>
    <t>FadTtypeName</t>
  </si>
  <si>
    <t>Table. Beacon (bouy) types</t>
  </si>
  <si>
    <t>IsscfvCod/Name</t>
  </si>
  <si>
    <t>Vessel type (cod)</t>
  </si>
  <si>
    <t>Type navire (cod)</t>
  </si>
  <si>
    <t>Tipo buque (cod)</t>
  </si>
  <si>
    <t>Indicate the type of FAD (FOB) deployed</t>
  </si>
  <si>
    <t>Choose the type of vessel code</t>
  </si>
  <si>
    <t>Choose the flag of vessel code</t>
  </si>
  <si>
    <t>Choisir le type de code bateau</t>
  </si>
  <si>
    <t>Elegir el tipo de código de buque</t>
  </si>
  <si>
    <t>NoVessels</t>
  </si>
  <si>
    <t>Latitude (+N/-S)</t>
  </si>
  <si>
    <t>Latitud (+N/-S)</t>
  </si>
  <si>
    <t>Longitude (+E/-W)</t>
  </si>
  <si>
    <t>Longitud (+E/-W)</t>
  </si>
  <si>
    <t>Avg Number Operating FADs</t>
  </si>
  <si>
    <t>D00b</t>
  </si>
  <si>
    <t>Corresponding latitude of deployment: (+) North  (-) South</t>
  </si>
  <si>
    <t>Choose the overall data content type: NEW (full or partial submission) OR a REVISION (full or partial submission)</t>
  </si>
  <si>
    <t>Flag of vessel (cod)</t>
  </si>
  <si>
    <t>Pavillon du bateau (cod)</t>
  </si>
  <si>
    <t>Pabellón del buque (cod)</t>
  </si>
  <si>
    <t>BeaconTypeCd</t>
  </si>
  <si>
    <t>Tipo baliza/boya (cód)</t>
  </si>
  <si>
    <t>Type de Balise/bouée (cod)</t>
  </si>
  <si>
    <t>Recommendation for users with databases: To Paste an entire dataset into the Detail section (must have the same structure and format) use "Paste special (values)"</t>
  </si>
  <si>
    <t>COMISIÓN INTERNACIONAL PARA LA CONSERVACIÓN DEL ATÚN DEL ATLÁNTICO</t>
  </si>
  <si>
    <t>FAD/Beacon deployment monthly report</t>
  </si>
  <si>
    <t xml:space="preserve">Rapport mensuel de déploiement de DCP/balises </t>
  </si>
  <si>
    <t>Informe mensual de plantado de DCP/balizas</t>
  </si>
  <si>
    <t>FAD/Beacon density monthly report</t>
  </si>
  <si>
    <t xml:space="preserve">Rapport mensuel de densité de DCP/balises </t>
  </si>
  <si>
    <t>Informe mensual de densidad de DCP/balizas</t>
  </si>
  <si>
    <t>En-tête</t>
  </si>
  <si>
    <t>(remplissage automatique obtenu à partir du ST08A)</t>
  </si>
  <si>
    <t>(cumplimentación automática obtenida de ST08A)</t>
  </si>
  <si>
    <t>Nom (complet OU prénom et nom) du correspondant statistique (officiellement désigné par la CPC)</t>
  </si>
  <si>
    <t>Nombre (completo o nombre y apellido) del corresponsal estadístico designado oficialmente por la CPC</t>
  </si>
  <si>
    <t>Institute (ministry, agency, research Institute, etc.) to which the Statistical Correspondent is affiliated</t>
  </si>
  <si>
    <t>Postal address of the Institution (street, number, city, state)</t>
  </si>
  <si>
    <t>Choisir la CPC de pavillon qui déclare les données (codes ICCAT)</t>
  </si>
  <si>
    <t>Année civile</t>
  </si>
  <si>
    <t>Choisir le type de contenu de données global: NOUVEAU (présentation complète ou partielle) ou une RÉVISION (présentation complète ou partielle)</t>
  </si>
  <si>
    <t>Elegir el tipo de contenido de datos global: NUEVO (presentación completa o parcial) O una REVISIÓN (presentación completa o parcial)</t>
  </si>
  <si>
    <t>Add additional (complementary) notes in respect of the overall dataset (if needed)</t>
  </si>
  <si>
    <t>Complete this section for each vessel FAD/Beacon deployment operation by month and 1x1 squares</t>
  </si>
  <si>
    <t>Remplir cette section pour chaque opération de déploiement de DCP/balise de chaque navire par mois et par carrés de 1 x1</t>
  </si>
  <si>
    <t xml:space="preserve">Cumplimentar esta sección para cada operación de plantado de DCP/baliza de cada buque por mes y cuadrículas 1x1 </t>
  </si>
  <si>
    <r>
      <t>Density estimation of active FADs by flag/month/1x1</t>
    </r>
    <r>
      <rPr>
        <sz val="9"/>
        <rFont val="Calibri"/>
        <family val="2"/>
      </rPr>
      <t>. If spatial information (1x1 squares) is NOT available please indicate the spatial level used for the estimation in the "Remarks" column</t>
    </r>
  </si>
  <si>
    <t>Estimation de la densité de DCP actifs par pavillon/mois/1x1. Si l'information spatiale (carrés 1x1) n'est PAS disponible, indiquer le niveau spatial utilisé pour l'estimation dans la colonne "Commentaires".</t>
  </si>
  <si>
    <t>Estimación de la densidad de DCP activos por pabellón/mes/1x1. Si la información espacial (cuadrículas 1x1) NO está disponible, indique el nivel espacial utilizado para la estimación en la columna de "Comentarios"</t>
  </si>
  <si>
    <t>Atributos del buque</t>
  </si>
  <si>
    <t>Détails du déploiement (nouveaux DCP) par navire/mois/1x1 pertes et transferts par navire/mois/1x1</t>
  </si>
  <si>
    <t>Detalles del plantado (nuevos DCP) por buques/mes/1x1</t>
  </si>
  <si>
    <t>Complete this section for each vessel FAD/Beacon operation by month and 1x1 lat-lon</t>
  </si>
  <si>
    <t>Compléter cette section pour chaque opération de déploiement de DCP/balise pour chaque navire par mois et carré 1x1 lat-long</t>
  </si>
  <si>
    <t>Pertes et transferts par navire/mois/1x1</t>
  </si>
  <si>
    <t>Pérdidas y transferencias por buque/mes/1x1</t>
  </si>
  <si>
    <t>Choisir le code du pavillon du navire</t>
  </si>
  <si>
    <t>Elegir el código del pabellón del buque</t>
  </si>
  <si>
    <t>Mes</t>
  </si>
  <si>
    <t>Préciser le mois du déploiement</t>
  </si>
  <si>
    <t>Especificar el mes de plantado</t>
  </si>
  <si>
    <t>Latitude correspondante du déploiement: (+) Nord (-) Sud</t>
  </si>
  <si>
    <t>Latitud correspondiente del plantado: (+) Norte  (-) Sur</t>
  </si>
  <si>
    <t>Longitude correspondante du déploiement:(+) Nord (-) Sud</t>
  </si>
  <si>
    <t>Longitud correspondiente del plantado: (+) Norte  (-) Sur</t>
  </si>
  <si>
    <t>Type de DCP (cod)</t>
  </si>
  <si>
    <t>Tipo de DCP (cod)</t>
  </si>
  <si>
    <t>Indiquer le type de DCP (FOB) déployé</t>
  </si>
  <si>
    <t>Indicar el tipo de DCP (FOB) plantado</t>
  </si>
  <si>
    <t>Beacon/buoy type (cod)</t>
  </si>
  <si>
    <t>Indicate the type of beacon (buoy) deployed with these FADs</t>
  </si>
  <si>
    <t>Indiquer le type de balise (bouée) déployée avec ces DCP</t>
  </si>
  <si>
    <t>Indicar el tipo de baliza (boya) colocada con dichos DCP</t>
  </si>
  <si>
    <t>Total number of FADs deployed in 1x1 degree square refers only to the first deployment of a FAD with its beacon and the deployment of a beacon on a log [see CECOFAD categories] that was not previously tracked by any vessel, i.e. beacon transfer events are not reported here (i.e. the change of  beacon)</t>
  </si>
  <si>
    <t>Le nombre total de DCP déployés dans un carré de 1×1 correspond uniquement au premier déploiement d’un DCP avec sa balise et au déploiement d’une balise sur un tronc [voir catégories CECOFAD] qui n’a pas été suivi auparavant par un navire, c.-à-d. que les cas de transfert de balises ne sont pas déclarés ici (p.ex. le changement de balises)</t>
  </si>
  <si>
    <t>El número total de DCP plantados en cuadrículas de 1x1 se refiere solo al primer plantado de un DCP con su baliza y al plantado de una baliza en un tronco [ver categorías de CECOFAD] que no haya sido previamente rastreado por ningún buque, es decir, los casos de transferencia de balizas no se declaran aquí (por ejemplo, cambio de balizas)</t>
  </si>
  <si>
    <t>Total number of FADs (FOBs) that can no longer be tracked by a vessel because the information of the beacon attached is no longer received, the communication has been intentionally stopped by deactivating the beacon attached or the FAD has been left at sea without a beacon. It is estimated by summing up the total number of lost FADs (FOBs) and abandoned FADs (FOBs) per entire month in each 1x1 degree square</t>
  </si>
  <si>
    <t>Nombre total de DCP (FOB) qui ne peuvent plus être suivis par un navire parce que les informations de la balise attachée ne sont plus reçues, que la communication a été interrompue intentionnellement en désactivant la balise attachée ou que le DCP a été laissé en mer sans balise.  Il est estimé en additionnant le nombre total de DCP perdus (FOB) et de DCP abandonnés (FOB) par mois entier dans chaque carré de 1x1.</t>
  </si>
  <si>
    <t>Número total de DCP (FOB) que ya no pueden ser rastreados por un buque porque la información de la baliza colocada en ellos ya no se recibe, la comunicación ha sido intencionadamente detenida desactivando la baliza o se ha dejado en el mar sin baliza. Se estima sumando el número total de DCP (FOB) perdidos y DCP (FOB) abandonados por mes completo en cada cuadrícula de 1x1.</t>
  </si>
  <si>
    <t>Total number of FADs transfers or encountered at sea (including also reactivated BEACONs)</t>
  </si>
  <si>
    <t>Nombre total de DCP transférés ou trouvés en mer (y compris les BALISES réactivées)</t>
  </si>
  <si>
    <t>Número total de transferencias de DCP o encuentros en el mar (incluyendo también las BALIZAS reactivadas).</t>
  </si>
  <si>
    <t>Number of Active Vessels with FAD/FOB beacons in the month 1x1 lat-lon area</t>
  </si>
  <si>
    <t>Nombre de navires actifs équipés de balises DCP/FOB avec balises au cours du mois par carré 1x1 lat-lon</t>
  </si>
  <si>
    <t>Número de buques activos con DCP/FOB con balizas en el mes por cuadrículas 1x1</t>
  </si>
  <si>
    <t xml:space="preserve">Nombre moyen de DCP opérationnels </t>
  </si>
  <si>
    <t>Número medio de DCP operativos</t>
  </si>
  <si>
    <t>Average number of operational beacons belonging to the vessels reported over the month. Estimated by summing up the total number of operational beacons recorded per day over the entire month and dividing by the total number of days</t>
  </si>
  <si>
    <t>Nombre moyen de balises opérationnelles appartenant aux navires déclarées au cours du mois. Estimation en faisant la somme du nombre total de balises opérationnelles enregistrées par jour pendant tout le mois et en le divisant par le nombre total de jours</t>
  </si>
  <si>
    <t>Número medio de balizas operativas que pertenecen a los buques declarados en el mes. Estimado sumando el número total de balizas operativas consignadas por día durante el mes completo y dividiéndolo entre el número total de días.</t>
  </si>
  <si>
    <t>Add additional "record based" remarks (e.g. other spatial area when no 1x1 resolution is possible)</t>
  </si>
  <si>
    <t>Ajouter des remarques supplémentaires "basées sur les registres"  (par exemple une autre zone spatiale lorsque la résolution 1x1 n'est pas possible)</t>
  </si>
  <si>
    <t>Añadir observaciones adicionales "basadas en registros" (por ejemplo, otra zona cuando no es posible la resolución 1x1)</t>
  </si>
  <si>
    <t>Nº DCPs plantados</t>
  </si>
  <si>
    <t>Nº FADs deployed</t>
  </si>
  <si>
    <t>Nº DCPs déployés</t>
  </si>
  <si>
    <t>Nº FADs lost</t>
  </si>
  <si>
    <t>Nº DCPs perdidos</t>
  </si>
  <si>
    <t>Nº DCPs perdus</t>
  </si>
  <si>
    <t>Nº DCPs transférés (d'autres navires)</t>
  </si>
  <si>
    <t>Nº FADs transferred (from other vessels)</t>
  </si>
  <si>
    <t>Nº de DCPs transferidos (de otros buques)</t>
  </si>
  <si>
    <t xml:space="preserve">Nº Active Vessels </t>
  </si>
  <si>
    <t>Nº navires actifs</t>
  </si>
  <si>
    <t>Nº buques activos</t>
  </si>
  <si>
    <t>id</t>
  </si>
  <si>
    <t>number</t>
  </si>
  <si>
    <t>Artificial log resulting from related to human activity and related to fishing activities</t>
  </si>
  <si>
    <t>Artificial log resulting from human activity not related to fishing activities</t>
  </si>
  <si>
    <t>CZE</t>
  </si>
  <si>
    <t>CZ</t>
  </si>
  <si>
    <t>FIN</t>
  </si>
  <si>
    <t>FI</t>
  </si>
  <si>
    <t>LUX</t>
  </si>
  <si>
    <t>LU</t>
  </si>
  <si>
    <t>SVK</t>
  </si>
  <si>
    <t>SK</t>
  </si>
  <si>
    <t>Bosnia and Herzegovina</t>
  </si>
  <si>
    <t>BIH</t>
  </si>
  <si>
    <t>BA</t>
  </si>
  <si>
    <t>Isle of Man</t>
  </si>
  <si>
    <t>IMN</t>
  </si>
  <si>
    <t>IM</t>
  </si>
  <si>
    <t>Mongolia</t>
  </si>
  <si>
    <t>MNG</t>
  </si>
  <si>
    <t>MN</t>
  </si>
  <si>
    <t>MKD</t>
  </si>
  <si>
    <t>MK</t>
  </si>
  <si>
    <t>ContentCode</t>
  </si>
  <si>
    <t>NF</t>
  </si>
  <si>
    <t>NP</t>
  </si>
  <si>
    <t>RF</t>
  </si>
  <si>
    <t>RP</t>
  </si>
  <si>
    <t>ENG</t>
  </si>
  <si>
    <t>form specific</t>
  </si>
  <si>
    <t>In force</t>
  </si>
  <si>
    <t>In "codes" sheet</t>
  </si>
  <si>
    <t>global</t>
  </si>
  <si>
    <t>Detail section must be filled-in using ICCAT codes</t>
  </si>
  <si>
    <t>[all fields]</t>
  </si>
  <si>
    <t>Header section must be complete</t>
  </si>
  <si>
    <t>Data must come in one of the valid SCRS electronic forms/Exchange formats</t>
  </si>
  <si>
    <t>Valid set</t>
  </si>
  <si>
    <t>Type</t>
  </si>
  <si>
    <t>Filter</t>
  </si>
  <si>
    <t>SCRS Filter criteria for acceptance/rejection of the data reported</t>
  </si>
  <si>
    <t>FlagCode</t>
  </si>
  <si>
    <t>VesselTypeCode</t>
  </si>
  <si>
    <t>FadTypeCode</t>
  </si>
  <si>
    <t>BeaconTypeCode</t>
  </si>
  <si>
    <t xml:space="preserve">NONE available </t>
  </si>
  <si>
    <t>waiting SCRS</t>
  </si>
  <si>
    <t>Lat1</t>
  </si>
  <si>
    <t>Lon2</t>
  </si>
  <si>
    <t>Lon1</t>
  </si>
  <si>
    <t>Lat2</t>
  </si>
  <si>
    <t>float</t>
  </si>
  <si>
    <t>Corresponding latitude (+) North  (-) South</t>
  </si>
  <si>
    <t>Corresponding longitude (+) East (-) West</t>
  </si>
  <si>
    <t>Qatar</t>
  </si>
  <si>
    <t>QAT</t>
  </si>
  <si>
    <t>QA</t>
  </si>
  <si>
    <t>StatusCPC</t>
  </si>
  <si>
    <t>TÂCHE 3 - DISPOSITIFS DE CONCENTRATION DU POISSON (DCP) DÉPLOYÉS DANS L'ANNÉE</t>
  </si>
  <si>
    <t>TAREA 3 - DISPOSITIVOS DE CONCENTRACIÓN DE PECES (DCP) PLANTADOS EN EL AÑO</t>
  </si>
  <si>
    <t>TASK 3 - FISHING AGGREGATING DEVICES (FADs) DEPLOYED IN THE YEAR</t>
  </si>
  <si>
    <t>EU-Austria</t>
  </si>
  <si>
    <t>EU-AUT</t>
  </si>
  <si>
    <t>EU-Belgium</t>
  </si>
  <si>
    <t>EU-BEL</t>
  </si>
  <si>
    <t>EU-Bulgaria</t>
  </si>
  <si>
    <t>EU-BGR</t>
  </si>
  <si>
    <t>EU-Croatia</t>
  </si>
  <si>
    <t>EU-HRV</t>
  </si>
  <si>
    <t>EU-Cyprus</t>
  </si>
  <si>
    <t>EU-CYP</t>
  </si>
  <si>
    <t>EU-Czechia</t>
  </si>
  <si>
    <t>EU-CZE</t>
  </si>
  <si>
    <t>EU-Denmark</t>
  </si>
  <si>
    <t>EU-DNK</t>
  </si>
  <si>
    <t>EU-España</t>
  </si>
  <si>
    <t>EU-ESP</t>
  </si>
  <si>
    <t>EU-Estonia</t>
  </si>
  <si>
    <t>EU-EST</t>
  </si>
  <si>
    <t>EU-Finland</t>
  </si>
  <si>
    <t>EU-FIN</t>
  </si>
  <si>
    <t>EU-France</t>
  </si>
  <si>
    <t>EU-FRA</t>
  </si>
  <si>
    <t>EU-Germany</t>
  </si>
  <si>
    <t>EU-DEU</t>
  </si>
  <si>
    <t>EU-Greece</t>
  </si>
  <si>
    <t>EU-GRC</t>
  </si>
  <si>
    <t>EU-Hungary</t>
  </si>
  <si>
    <t>EU-HUN</t>
  </si>
  <si>
    <t>EU-Ireland</t>
  </si>
  <si>
    <t>EU-IRL</t>
  </si>
  <si>
    <t>EU-Italy</t>
  </si>
  <si>
    <t>EU-ITA</t>
  </si>
  <si>
    <t>EU-Latvia</t>
  </si>
  <si>
    <t>EU-LVA</t>
  </si>
  <si>
    <t>EU-Lithuania</t>
  </si>
  <si>
    <t>EU-LTU</t>
  </si>
  <si>
    <t>EU-Luxemburg</t>
  </si>
  <si>
    <t>EU-LUX</t>
  </si>
  <si>
    <t>EU-Malta</t>
  </si>
  <si>
    <t>EU-MLT</t>
  </si>
  <si>
    <t>EU-Netherlands</t>
  </si>
  <si>
    <t>EU-NLD</t>
  </si>
  <si>
    <t>EU-Poland</t>
  </si>
  <si>
    <t>EU-POL</t>
  </si>
  <si>
    <t>EU-Portugal</t>
  </si>
  <si>
    <t>EU-PRT</t>
  </si>
  <si>
    <t>EU-Rumania</t>
  </si>
  <si>
    <t>EU-ROU</t>
  </si>
  <si>
    <t>EU-Slovakia</t>
  </si>
  <si>
    <t>EU-SVK</t>
  </si>
  <si>
    <t>EU-Slovenia</t>
  </si>
  <si>
    <t>EU-SVN</t>
  </si>
  <si>
    <t>EU-Sweden</t>
  </si>
  <si>
    <t>EU-SWE</t>
  </si>
  <si>
    <t>England</t>
  </si>
  <si>
    <t>GB-ENG</t>
  </si>
  <si>
    <t>FR-St Pierre et Miquelon</t>
  </si>
  <si>
    <t>FR-SPM</t>
  </si>
  <si>
    <t>Great Britain</t>
  </si>
  <si>
    <t>Guinée Rep</t>
  </si>
  <si>
    <t>Korea Rep</t>
  </si>
  <si>
    <t>Northern Ireland</t>
  </si>
  <si>
    <t>GB-NIR</t>
  </si>
  <si>
    <t>NIR</t>
  </si>
  <si>
    <t>S Tomé e Príncipe</t>
  </si>
  <si>
    <t>Scotland</t>
  </si>
  <si>
    <t>GB-SCT</t>
  </si>
  <si>
    <t>SCT</t>
  </si>
  <si>
    <t>St Vincent and Grenadines</t>
  </si>
  <si>
    <t>UK-Bermuda</t>
  </si>
  <si>
    <t>UK-BMU</t>
  </si>
  <si>
    <t>UK-British Virgin Islands</t>
  </si>
  <si>
    <t>UK-VGB</t>
  </si>
  <si>
    <t>UK-Sta Helena</t>
  </si>
  <si>
    <t>UK-SHN</t>
  </si>
  <si>
    <t>UK-Turks and Caicos</t>
  </si>
  <si>
    <t>UK-TCA</t>
  </si>
  <si>
    <t>Wales</t>
  </si>
  <si>
    <t>GB-WLS</t>
  </si>
  <si>
    <t>WLS</t>
  </si>
  <si>
    <t>Gibraltar</t>
  </si>
  <si>
    <t>GIB</t>
  </si>
  <si>
    <t>GI</t>
  </si>
  <si>
    <t>North Macedonia Rep</t>
  </si>
  <si>
    <t>San Marino</t>
  </si>
  <si>
    <t>SMR</t>
  </si>
  <si>
    <t>SM</t>
  </si>
  <si>
    <t>Sta Lucia</t>
  </si>
  <si>
    <t>Türkiye</t>
  </si>
  <si>
    <t>2024a</t>
  </si>
  <si>
    <t>* Suffix "a" refers to the sub-version (revisions with minor corrections &amp; no changes in structure) within a year. Sequentially issued (a,b,...) if required (i.e.: 2024a, 2024b,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</si>
</sst>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0"/>
      <name val="Arial"/>
    </font>
    <font>
      <u/>
      <sz val="10"/>
      <color indexed="12"/>
      <name val="Arial"/>
      <family val="2"/>
    </font>
    <font>
      <sz val="10"/>
      <name val="Arial"/>
      <family val="2"/>
    </font>
    <font>
      <b/>
      <u/>
      <sz val="9"/>
      <name val="Calibri"/>
      <family val="2"/>
      <scheme val="minor"/>
    </font>
    <font>
      <sz val="9"/>
      <name val="Calibri"/>
      <family val="2"/>
      <scheme val="minor"/>
    </font>
    <font>
      <b/>
      <sz val="9"/>
      <name val="Calibri"/>
      <family val="2"/>
      <scheme val="minor"/>
    </font>
    <font>
      <b/>
      <sz val="8"/>
      <color theme="0"/>
      <name val="Calibri"/>
      <family val="2"/>
      <scheme val="minor"/>
    </font>
    <font>
      <sz val="9"/>
      <color theme="1"/>
      <name val="Calibri"/>
      <family val="2"/>
      <scheme val="minor"/>
    </font>
    <font>
      <b/>
      <sz val="16"/>
      <color rgb="FF0070C0"/>
      <name val="Cambria"/>
      <family val="1"/>
      <scheme val="major"/>
    </font>
    <font>
      <b/>
      <sz val="9"/>
      <color rgb="FF0070C0"/>
      <name val="Cambria"/>
      <family val="1"/>
      <scheme val="major"/>
    </font>
    <font>
      <b/>
      <sz val="9"/>
      <color rgb="FF00B050"/>
      <name val="Cambria"/>
      <family val="1"/>
      <scheme val="major"/>
    </font>
    <font>
      <b/>
      <sz val="14"/>
      <color theme="0"/>
      <name val="Cambria"/>
      <family val="1"/>
      <scheme val="major"/>
    </font>
    <font>
      <sz val="8"/>
      <name val="Calibri"/>
      <family val="2"/>
      <scheme val="minor"/>
    </font>
    <font>
      <b/>
      <sz val="9"/>
      <color rgb="FFFF0000"/>
      <name val="Cambria"/>
      <family val="1"/>
      <scheme val="major"/>
    </font>
    <font>
      <b/>
      <u/>
      <sz val="8"/>
      <name val="Calibri"/>
      <family val="2"/>
      <scheme val="minor"/>
    </font>
    <font>
      <b/>
      <sz val="8"/>
      <color rgb="FF0070C0"/>
      <name val="Calibri"/>
      <family val="2"/>
      <scheme val="minor"/>
    </font>
    <font>
      <b/>
      <sz val="8"/>
      <name val="Calibri"/>
      <family val="2"/>
      <scheme val="minor"/>
    </font>
    <font>
      <u/>
      <sz val="8"/>
      <name val="Calibri"/>
      <family val="2"/>
      <scheme val="minor"/>
    </font>
    <font>
      <u/>
      <sz val="8"/>
      <color indexed="12"/>
      <name val="Calibri"/>
      <family val="2"/>
      <scheme val="minor"/>
    </font>
    <font>
      <b/>
      <sz val="8"/>
      <color rgb="FF00B050"/>
      <name val="Calibri"/>
      <family val="2"/>
      <scheme val="minor"/>
    </font>
    <font>
      <sz val="8"/>
      <color theme="0" tint="-0.14999847407452621"/>
      <name val="Calibri"/>
      <family val="2"/>
      <scheme val="minor"/>
    </font>
    <font>
      <b/>
      <sz val="8"/>
      <color indexed="8"/>
      <name val="Calibri"/>
      <family val="2"/>
      <scheme val="minor"/>
    </font>
    <font>
      <sz val="8"/>
      <color indexed="8"/>
      <name val="Calibri"/>
      <family val="2"/>
      <scheme val="minor"/>
    </font>
    <font>
      <sz val="8"/>
      <color rgb="FFFF0000"/>
      <name val="Calibri"/>
      <family val="2"/>
      <scheme val="minor"/>
    </font>
    <font>
      <b/>
      <sz val="8"/>
      <color rgb="FF0000FF"/>
      <name val="Calibri"/>
      <family val="2"/>
      <scheme val="minor"/>
    </font>
    <font>
      <sz val="8"/>
      <color theme="1"/>
      <name val="Calibri"/>
      <family val="2"/>
      <scheme val="minor"/>
    </font>
    <font>
      <sz val="10"/>
      <color indexed="8"/>
      <name val="Arial"/>
      <family val="2"/>
    </font>
    <font>
      <b/>
      <sz val="8"/>
      <color rgb="FF000000"/>
      <name val="Calibri"/>
      <family val="2"/>
      <scheme val="minor"/>
    </font>
    <font>
      <sz val="8"/>
      <color rgb="FF000000"/>
      <name val="Calibri"/>
      <family val="2"/>
      <scheme val="minor"/>
    </font>
    <font>
      <b/>
      <sz val="11"/>
      <name val="Calibri"/>
      <family val="2"/>
      <scheme val="minor"/>
    </font>
    <font>
      <sz val="8"/>
      <color rgb="FF0000FF"/>
      <name val="Calibri"/>
      <family val="2"/>
      <scheme val="minor"/>
    </font>
    <font>
      <sz val="9"/>
      <name val="Calibri"/>
      <family val="2"/>
    </font>
    <font>
      <b/>
      <sz val="12"/>
      <color theme="0"/>
      <name val="Cambria"/>
      <family val="1"/>
      <scheme val="major"/>
    </font>
    <font>
      <sz val="10"/>
      <name val="Cambria"/>
      <family val="1"/>
      <scheme val="major"/>
    </font>
    <font>
      <sz val="9"/>
      <name val="Cambria"/>
      <family val="1"/>
      <scheme val="major"/>
    </font>
    <font>
      <sz val="11"/>
      <color rgb="FF0070C0"/>
      <name val="Cambria"/>
      <family val="1"/>
      <scheme val="major"/>
    </font>
    <font>
      <sz val="9"/>
      <color rgb="FFFF0000"/>
      <name val="Calibri"/>
      <family val="2"/>
      <scheme val="minor"/>
    </font>
    <font>
      <sz val="9"/>
      <color rgb="FFFF0000"/>
      <name val="Calibri"/>
      <family val="2"/>
    </font>
    <font>
      <b/>
      <sz val="9"/>
      <name val="Calibri"/>
      <family val="2"/>
    </font>
    <font>
      <sz val="9"/>
      <color rgb="FF000000"/>
      <name val="Calibri"/>
      <family val="2"/>
    </font>
    <font>
      <b/>
      <sz val="14"/>
      <color rgb="FF0070C0"/>
      <name val="Calibri"/>
      <family val="2"/>
    </font>
    <font>
      <i/>
      <sz val="8"/>
      <name val="Calibri"/>
      <family val="2"/>
      <scheme val="minor"/>
    </font>
    <font>
      <sz val="10"/>
      <color rgb="FFFF0000"/>
      <name val="Calibri"/>
      <family val="2"/>
      <scheme val="minor"/>
    </font>
    <font>
      <sz val="10"/>
      <name val="Calibri"/>
      <family val="2"/>
      <scheme val="minor"/>
    </font>
  </fonts>
  <fills count="13">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8" tint="0.79998168889431442"/>
        <bgColor indexed="64"/>
      </patternFill>
    </fill>
  </fills>
  <borders count="29">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medium">
        <color theme="0" tint="-4.9989318521683403E-2"/>
      </left>
      <right/>
      <top style="medium">
        <color theme="0" tint="-4.9989318521683403E-2"/>
      </top>
      <bottom/>
      <diagonal/>
    </border>
    <border>
      <left/>
      <right/>
      <top style="medium">
        <color theme="0" tint="-4.9989318521683403E-2"/>
      </top>
      <bottom/>
      <diagonal/>
    </border>
    <border>
      <left/>
      <right style="medium">
        <color theme="0" tint="-0.34998626667073579"/>
      </right>
      <top style="medium">
        <color theme="0" tint="-4.9989318521683403E-2"/>
      </top>
      <bottom/>
      <diagonal/>
    </border>
    <border>
      <left style="medium">
        <color theme="0" tint="-4.9989318521683403E-2"/>
      </left>
      <right/>
      <top/>
      <bottom style="medium">
        <color theme="0" tint="-0.34998626667073579"/>
      </bottom>
      <diagonal/>
    </border>
    <border>
      <left/>
      <right/>
      <top/>
      <bottom style="medium">
        <color theme="0" tint="-0.34998626667073579"/>
      </bottom>
      <diagonal/>
    </border>
    <border>
      <left/>
      <right style="medium">
        <color theme="0" tint="-0.34998626667073579"/>
      </right>
      <top/>
      <bottom style="medium">
        <color theme="0" tint="-0.34998626667073579"/>
      </bottom>
      <diagonal/>
    </border>
    <border>
      <left style="thick">
        <color theme="0" tint="-4.9989318521683403E-2"/>
      </left>
      <right/>
      <top style="thick">
        <color theme="0" tint="-4.9989318521683403E-2"/>
      </top>
      <bottom/>
      <diagonal/>
    </border>
    <border>
      <left/>
      <right/>
      <top style="thick">
        <color theme="0" tint="-4.9989318521683403E-2"/>
      </top>
      <bottom/>
      <diagonal/>
    </border>
    <border>
      <left/>
      <right style="thick">
        <color theme="0" tint="-0.24994659260841701"/>
      </right>
      <top style="thick">
        <color theme="0" tint="-4.9989318521683403E-2"/>
      </top>
      <bottom/>
      <diagonal/>
    </border>
    <border>
      <left style="thick">
        <color theme="0" tint="-4.9989318521683403E-2"/>
      </left>
      <right/>
      <top/>
      <bottom style="thick">
        <color theme="0" tint="-0.24994659260841701"/>
      </bottom>
      <diagonal/>
    </border>
    <border>
      <left/>
      <right/>
      <top/>
      <bottom style="thick">
        <color theme="0" tint="-0.24994659260841701"/>
      </bottom>
      <diagonal/>
    </border>
    <border>
      <left/>
      <right style="thick">
        <color theme="0" tint="-0.24994659260841701"/>
      </right>
      <top/>
      <bottom style="thick">
        <color theme="0" tint="-0.24994659260841701"/>
      </bottom>
      <diagonal/>
    </border>
  </borders>
  <cellStyleXfs count="4">
    <xf numFmtId="0" fontId="0" fillId="0" borderId="0"/>
    <xf numFmtId="0" fontId="1" fillId="0" borderId="0" applyNumberFormat="0" applyFill="0" applyBorder="0" applyAlignment="0" applyProtection="0">
      <alignment vertical="top"/>
      <protection locked="0"/>
    </xf>
    <xf numFmtId="0" fontId="2" fillId="0" borderId="0"/>
    <xf numFmtId="0" fontId="26" fillId="0" borderId="0"/>
  </cellStyleXfs>
  <cellXfs count="296">
    <xf numFmtId="0" fontId="0" fillId="0" borderId="0" xfId="0"/>
    <xf numFmtId="0" fontId="9" fillId="3" borderId="10" xfId="0" applyFont="1" applyFill="1" applyBorder="1" applyAlignment="1" applyProtection="1">
      <alignment horizontal="center" vertical="center"/>
      <protection hidden="1"/>
    </xf>
    <xf numFmtId="0" fontId="9" fillId="3" borderId="11" xfId="0" applyFont="1" applyFill="1" applyBorder="1" applyAlignment="1" applyProtection="1">
      <alignment horizontal="center" vertical="center"/>
      <protection hidden="1"/>
    </xf>
    <xf numFmtId="0" fontId="10" fillId="3" borderId="7" xfId="0" applyFont="1" applyFill="1" applyBorder="1" applyAlignment="1" applyProtection="1">
      <alignment horizontal="center" vertical="top"/>
      <protection hidden="1"/>
    </xf>
    <xf numFmtId="0" fontId="12" fillId="0" borderId="0" xfId="0" applyFont="1" applyAlignment="1" applyProtection="1">
      <alignment horizontal="center" vertical="top"/>
      <protection hidden="1"/>
    </xf>
    <xf numFmtId="0" fontId="12" fillId="0" borderId="0" xfId="0" applyFont="1" applyAlignment="1" applyProtection="1">
      <alignment horizontal="center" vertical="center"/>
      <protection hidden="1"/>
    </xf>
    <xf numFmtId="0" fontId="13" fillId="0" borderId="8" xfId="0" applyFont="1" applyBorder="1" applyAlignment="1" applyProtection="1">
      <alignment horizontal="center" vertical="top"/>
      <protection locked="0"/>
    </xf>
    <xf numFmtId="0" fontId="3" fillId="0" borderId="0" xfId="0" applyFont="1" applyAlignment="1">
      <alignment horizontal="center" vertical="top" wrapText="1"/>
    </xf>
    <xf numFmtId="0" fontId="4" fillId="0" borderId="0" xfId="0" applyFont="1" applyAlignment="1">
      <alignment vertical="top" wrapText="1"/>
    </xf>
    <xf numFmtId="0" fontId="4" fillId="0" borderId="0" xfId="2" applyFont="1" applyAlignment="1">
      <alignment vertical="top" wrapText="1"/>
    </xf>
    <xf numFmtId="0" fontId="4" fillId="0" borderId="0" xfId="0" applyFont="1" applyAlignment="1">
      <alignment horizontal="center" vertical="top" wrapText="1"/>
    </xf>
    <xf numFmtId="0" fontId="4" fillId="0" borderId="0" xfId="0" applyFont="1" applyAlignment="1">
      <alignment horizontal="center" wrapText="1"/>
    </xf>
    <xf numFmtId="0" fontId="4" fillId="0" borderId="0" xfId="0" quotePrefix="1" applyFont="1" applyAlignment="1">
      <alignment wrapText="1"/>
    </xf>
    <xf numFmtId="0" fontId="5" fillId="9" borderId="3" xfId="0" applyFont="1" applyFill="1" applyBorder="1" applyAlignment="1">
      <alignment vertical="top" wrapText="1"/>
    </xf>
    <xf numFmtId="0" fontId="12" fillId="0" borderId="0" xfId="0" applyFont="1" applyAlignment="1" applyProtection="1">
      <alignment vertical="top"/>
      <protection hidden="1"/>
    </xf>
    <xf numFmtId="0" fontId="6" fillId="0" borderId="0" xfId="0" applyFont="1" applyAlignment="1" applyProtection="1">
      <alignment vertical="top" wrapText="1"/>
      <protection hidden="1"/>
    </xf>
    <xf numFmtId="0" fontId="15" fillId="3" borderId="10" xfId="0" applyFont="1" applyFill="1" applyBorder="1" applyAlignment="1" applyProtection="1">
      <alignment horizontal="center" vertical="top" shrinkToFit="1"/>
      <protection hidden="1"/>
    </xf>
    <xf numFmtId="0" fontId="17" fillId="3" borderId="4" xfId="0" applyFont="1" applyFill="1" applyBorder="1" applyAlignment="1" applyProtection="1">
      <alignment horizontal="right" wrapText="1" shrinkToFit="1"/>
      <protection hidden="1"/>
    </xf>
    <xf numFmtId="0" fontId="12" fillId="3" borderId="0" xfId="0" applyFont="1" applyFill="1" applyAlignment="1" applyProtection="1">
      <alignment shrinkToFit="1"/>
      <protection hidden="1"/>
    </xf>
    <xf numFmtId="0" fontId="12" fillId="3" borderId="2" xfId="0" applyFont="1" applyFill="1" applyBorder="1" applyAlignment="1" applyProtection="1">
      <alignment horizontal="center" shrinkToFit="1"/>
      <protection hidden="1"/>
    </xf>
    <xf numFmtId="0" fontId="12" fillId="3" borderId="4" xfId="0" applyFont="1" applyFill="1" applyBorder="1" applyAlignment="1" applyProtection="1">
      <alignment horizontal="right" wrapText="1" shrinkToFit="1"/>
      <protection hidden="1"/>
    </xf>
    <xf numFmtId="0" fontId="12" fillId="3" borderId="0" xfId="0" applyFont="1" applyFill="1" applyAlignment="1" applyProtection="1">
      <alignment horizontal="right" shrinkToFit="1"/>
      <protection hidden="1"/>
    </xf>
    <xf numFmtId="0" fontId="17" fillId="3" borderId="4" xfId="0" applyFont="1" applyFill="1" applyBorder="1" applyAlignment="1" applyProtection="1">
      <alignment horizontal="right" vertical="top" shrinkToFit="1"/>
      <protection hidden="1"/>
    </xf>
    <xf numFmtId="0" fontId="17" fillId="3" borderId="0" xfId="0" applyFont="1" applyFill="1" applyAlignment="1" applyProtection="1">
      <alignment vertical="top" shrinkToFit="1"/>
      <protection hidden="1"/>
    </xf>
    <xf numFmtId="0" fontId="14" fillId="3" borderId="0" xfId="0" applyFont="1" applyFill="1" applyAlignment="1" applyProtection="1">
      <alignment vertical="top" shrinkToFit="1"/>
      <protection hidden="1"/>
    </xf>
    <xf numFmtId="0" fontId="12" fillId="3" borderId="4" xfId="0" applyFont="1" applyFill="1" applyBorder="1" applyAlignment="1" applyProtection="1">
      <alignment shrinkToFit="1"/>
      <protection hidden="1"/>
    </xf>
    <xf numFmtId="49" fontId="12" fillId="3" borderId="0" xfId="0" applyNumberFormat="1" applyFont="1" applyFill="1" applyAlignment="1" applyProtection="1">
      <alignment horizontal="right" vertical="top" shrinkToFit="1"/>
      <protection hidden="1"/>
    </xf>
    <xf numFmtId="0" fontId="12" fillId="3" borderId="4" xfId="0" applyFont="1" applyFill="1" applyBorder="1" applyAlignment="1" applyProtection="1">
      <alignment wrapText="1" shrinkToFit="1"/>
      <protection hidden="1"/>
    </xf>
    <xf numFmtId="0" fontId="12" fillId="3" borderId="4" xfId="0" applyFont="1" applyFill="1" applyBorder="1" applyAlignment="1" applyProtection="1">
      <alignment horizontal="right" vertical="top" wrapText="1" shrinkToFit="1"/>
      <protection hidden="1"/>
    </xf>
    <xf numFmtId="0" fontId="18" fillId="3" borderId="0" xfId="1" applyNumberFormat="1" applyFont="1" applyFill="1" applyBorder="1" applyAlignment="1" applyProtection="1">
      <alignment horizontal="right" vertical="top" shrinkToFit="1"/>
      <protection hidden="1"/>
    </xf>
    <xf numFmtId="0" fontId="12" fillId="3" borderId="6" xfId="0" applyFont="1" applyFill="1" applyBorder="1" applyAlignment="1" applyProtection="1">
      <alignment horizontal="right" vertical="top" wrapText="1" shrinkToFit="1"/>
      <protection hidden="1"/>
    </xf>
    <xf numFmtId="0" fontId="12" fillId="3" borderId="7" xfId="0" applyFont="1" applyFill="1" applyBorder="1" applyAlignment="1" applyProtection="1">
      <alignment shrinkToFit="1"/>
      <protection hidden="1"/>
    </xf>
    <xf numFmtId="0" fontId="14" fillId="3" borderId="7" xfId="0" applyFont="1" applyFill="1" applyBorder="1" applyAlignment="1" applyProtection="1">
      <alignment vertical="top" shrinkToFit="1"/>
      <protection hidden="1"/>
    </xf>
    <xf numFmtId="49" fontId="12" fillId="3" borderId="7" xfId="0" applyNumberFormat="1" applyFont="1" applyFill="1" applyBorder="1" applyAlignment="1" applyProtection="1">
      <alignment horizontal="right" vertical="top" shrinkToFit="1"/>
      <protection hidden="1"/>
    </xf>
    <xf numFmtId="0" fontId="12" fillId="3" borderId="6" xfId="0" applyFont="1" applyFill="1" applyBorder="1" applyAlignment="1" applyProtection="1">
      <alignment shrinkToFit="1"/>
      <protection hidden="1"/>
    </xf>
    <xf numFmtId="0" fontId="12" fillId="3" borderId="7" xfId="0" applyFont="1" applyFill="1" applyBorder="1" applyAlignment="1" applyProtection="1">
      <alignment horizontal="right" vertical="top" shrinkToFit="1"/>
      <protection hidden="1"/>
    </xf>
    <xf numFmtId="0" fontId="14" fillId="3" borderId="7" xfId="0" applyFont="1" applyFill="1" applyBorder="1" applyAlignment="1" applyProtection="1">
      <alignment horizontal="left" vertical="top" shrinkToFit="1"/>
      <protection hidden="1"/>
    </xf>
    <xf numFmtId="0" fontId="20" fillId="0" borderId="12" xfId="0" applyFont="1" applyBorder="1" applyAlignment="1" applyProtection="1">
      <alignment horizontal="left" vertical="top" wrapText="1"/>
      <protection hidden="1"/>
    </xf>
    <xf numFmtId="0" fontId="12" fillId="0" borderId="0" xfId="0" applyFont="1" applyProtection="1">
      <protection hidden="1"/>
    </xf>
    <xf numFmtId="0" fontId="12" fillId="8" borderId="9" xfId="0" applyFont="1" applyFill="1" applyBorder="1" applyAlignment="1" applyProtection="1">
      <alignment vertical="top"/>
      <protection hidden="1"/>
    </xf>
    <xf numFmtId="0" fontId="12" fillId="8" borderId="11" xfId="0" applyFont="1" applyFill="1" applyBorder="1" applyAlignment="1" applyProtection="1">
      <alignment vertical="top"/>
      <protection hidden="1"/>
    </xf>
    <xf numFmtId="0" fontId="12" fillId="0" borderId="4" xfId="0" applyFont="1" applyBorder="1" applyProtection="1">
      <protection hidden="1"/>
    </xf>
    <xf numFmtId="0" fontId="12" fillId="0" borderId="1" xfId="0" applyFont="1" applyBorder="1" applyProtection="1">
      <protection hidden="1"/>
    </xf>
    <xf numFmtId="0" fontId="12" fillId="0" borderId="6" xfId="0" applyFont="1" applyBorder="1" applyProtection="1">
      <protection hidden="1"/>
    </xf>
    <xf numFmtId="0" fontId="12" fillId="0" borderId="8" xfId="0" applyFont="1" applyBorder="1" applyProtection="1">
      <protection hidden="1"/>
    </xf>
    <xf numFmtId="0" fontId="19" fillId="3" borderId="0" xfId="0" applyFont="1" applyFill="1" applyAlignment="1" applyProtection="1">
      <alignment vertical="center" wrapText="1" shrinkToFit="1"/>
      <protection hidden="1"/>
    </xf>
    <xf numFmtId="0" fontId="4" fillId="0" borderId="0" xfId="0" applyFont="1" applyAlignment="1" applyProtection="1">
      <alignment vertical="top"/>
      <protection hidden="1"/>
    </xf>
    <xf numFmtId="0" fontId="4" fillId="0" borderId="0" xfId="2" applyFont="1"/>
    <xf numFmtId="0" fontId="4" fillId="0" borderId="2" xfId="2" applyFont="1" applyBorder="1"/>
    <xf numFmtId="0" fontId="20" fillId="0" borderId="0" xfId="0" applyFont="1" applyAlignment="1" applyProtection="1">
      <alignment horizontal="center" vertical="top" wrapText="1"/>
      <protection hidden="1"/>
    </xf>
    <xf numFmtId="0" fontId="12" fillId="0" borderId="0" xfId="0" applyFont="1" applyAlignment="1" applyProtection="1">
      <alignment vertical="top" wrapText="1"/>
      <protection hidden="1"/>
    </xf>
    <xf numFmtId="0" fontId="4" fillId="0" borderId="0" xfId="0" applyFont="1" applyAlignment="1" applyProtection="1">
      <alignment vertical="top" shrinkToFit="1"/>
      <protection locked="0"/>
    </xf>
    <xf numFmtId="0" fontId="12" fillId="3" borderId="8" xfId="0" applyFont="1" applyFill="1" applyBorder="1" applyAlignment="1" applyProtection="1">
      <alignment vertical="center" wrapText="1" shrinkToFit="1"/>
      <protection hidden="1"/>
    </xf>
    <xf numFmtId="0" fontId="12" fillId="3" borderId="1" xfId="0" applyFont="1" applyFill="1" applyBorder="1" applyProtection="1">
      <protection hidden="1"/>
    </xf>
    <xf numFmtId="0" fontId="12" fillId="0" borderId="0" xfId="0" applyFont="1" applyAlignment="1" applyProtection="1">
      <alignment horizontal="center"/>
      <protection hidden="1"/>
    </xf>
    <xf numFmtId="0" fontId="16" fillId="0" borderId="0" xfId="0" applyFont="1" applyAlignment="1" applyProtection="1">
      <alignment horizontal="left" vertical="top"/>
      <protection hidden="1"/>
    </xf>
    <xf numFmtId="0" fontId="4" fillId="0" borderId="2" xfId="0" applyFont="1" applyBorder="1" applyAlignment="1" applyProtection="1">
      <alignment vertical="top" wrapText="1"/>
      <protection hidden="1"/>
    </xf>
    <xf numFmtId="0" fontId="4" fillId="0" borderId="2" xfId="2" applyFont="1" applyBorder="1" applyAlignment="1">
      <alignment vertical="top"/>
    </xf>
    <xf numFmtId="0" fontId="4" fillId="0" borderId="2" xfId="0" applyFont="1" applyBorder="1" applyAlignment="1" applyProtection="1">
      <alignment wrapText="1"/>
      <protection hidden="1"/>
    </xf>
    <xf numFmtId="0" fontId="12" fillId="0" borderId="0" xfId="2" applyFont="1" applyAlignment="1" applyProtection="1">
      <alignment vertical="top"/>
      <protection hidden="1"/>
    </xf>
    <xf numFmtId="0" fontId="23" fillId="0" borderId="0" xfId="2" applyFont="1" applyAlignment="1" applyProtection="1">
      <alignment vertical="top"/>
      <protection hidden="1"/>
    </xf>
    <xf numFmtId="0" fontId="12" fillId="0" borderId="0" xfId="0" applyFont="1" applyAlignment="1">
      <alignment vertical="top"/>
    </xf>
    <xf numFmtId="0" fontId="12" fillId="0" borderId="0" xfId="0" applyFont="1" applyAlignment="1">
      <alignment vertical="top" wrapText="1"/>
    </xf>
    <xf numFmtId="0" fontId="12" fillId="0" borderId="0" xfId="0" applyFont="1" applyAlignment="1">
      <alignment vertical="top" wrapText="1" shrinkToFit="1"/>
    </xf>
    <xf numFmtId="0" fontId="12" fillId="0" borderId="0" xfId="2" applyFont="1" applyAlignment="1">
      <alignment vertical="top" wrapText="1"/>
    </xf>
    <xf numFmtId="0" fontId="4" fillId="0" borderId="1" xfId="0" applyFont="1" applyBorder="1" applyAlignment="1" applyProtection="1">
      <alignment vertical="top" wrapText="1"/>
      <protection hidden="1"/>
    </xf>
    <xf numFmtId="0" fontId="4" fillId="0" borderId="12" xfId="0" applyFont="1" applyBorder="1" applyAlignment="1" applyProtection="1">
      <alignment horizontal="center" vertical="top" wrapText="1"/>
      <protection hidden="1"/>
    </xf>
    <xf numFmtId="0" fontId="16" fillId="3" borderId="0" xfId="0" applyFont="1" applyFill="1" applyAlignment="1" applyProtection="1">
      <alignment vertical="top" wrapText="1" shrinkToFit="1"/>
      <protection hidden="1"/>
    </xf>
    <xf numFmtId="0" fontId="12" fillId="3" borderId="0" xfId="0" applyFont="1" applyFill="1" applyProtection="1">
      <protection hidden="1"/>
    </xf>
    <xf numFmtId="0" fontId="4" fillId="0" borderId="0" xfId="0" applyFont="1" applyAlignment="1" applyProtection="1">
      <alignment vertical="top"/>
      <protection locked="0"/>
    </xf>
    <xf numFmtId="0" fontId="2" fillId="0" borderId="0" xfId="0" applyFont="1" applyAlignment="1" applyProtection="1">
      <alignment horizontal="center"/>
      <protection locked="0"/>
    </xf>
    <xf numFmtId="0" fontId="2" fillId="0" borderId="0" xfId="0" applyFont="1" applyProtection="1">
      <protection locked="0"/>
    </xf>
    <xf numFmtId="0" fontId="12" fillId="3" borderId="7" xfId="0" applyFont="1" applyFill="1" applyBorder="1" applyAlignment="1" applyProtection="1">
      <alignment vertical="top"/>
      <protection hidden="1"/>
    </xf>
    <xf numFmtId="0" fontId="12" fillId="3" borderId="7" xfId="0" applyFont="1" applyFill="1" applyBorder="1" applyAlignment="1" applyProtection="1">
      <alignment vertical="top" wrapText="1" shrinkToFit="1"/>
      <protection hidden="1"/>
    </xf>
    <xf numFmtId="0" fontId="12" fillId="3" borderId="8" xfId="0" applyFont="1" applyFill="1" applyBorder="1" applyAlignment="1" applyProtection="1">
      <alignment vertical="top" wrapText="1" shrinkToFit="1"/>
      <protection hidden="1"/>
    </xf>
    <xf numFmtId="0" fontId="22" fillId="0" borderId="1" xfId="3" applyFont="1" applyBorder="1" applyAlignment="1" applyProtection="1">
      <alignment vertical="center"/>
      <protection hidden="1"/>
    </xf>
    <xf numFmtId="0" fontId="16" fillId="0" borderId="0" xfId="0" applyFont="1" applyAlignment="1" applyProtection="1">
      <alignment horizontal="center" vertical="center" shrinkToFit="1"/>
      <protection hidden="1"/>
    </xf>
    <xf numFmtId="0" fontId="16" fillId="0" borderId="0" xfId="0" applyFont="1" applyAlignment="1" applyProtection="1">
      <alignment horizontal="center" vertical="top"/>
      <protection hidden="1"/>
    </xf>
    <xf numFmtId="0" fontId="22" fillId="0" borderId="4" xfId="3" applyFont="1" applyBorder="1" applyAlignment="1" applyProtection="1">
      <alignment vertical="center"/>
      <protection hidden="1"/>
    </xf>
    <xf numFmtId="0" fontId="25" fillId="0" borderId="4" xfId="0" applyFont="1" applyBorder="1"/>
    <xf numFmtId="0" fontId="25" fillId="0" borderId="1" xfId="0" applyFont="1" applyBorder="1"/>
    <xf numFmtId="0" fontId="12" fillId="0" borderId="4" xfId="3" applyFont="1" applyBorder="1" applyProtection="1">
      <protection hidden="1"/>
    </xf>
    <xf numFmtId="0" fontId="25" fillId="0" borderId="6" xfId="0" applyFont="1" applyBorder="1"/>
    <xf numFmtId="0" fontId="25" fillId="0" borderId="8" xfId="0" applyFont="1" applyBorder="1"/>
    <xf numFmtId="0" fontId="28" fillId="11" borderId="4" xfId="0" applyFont="1" applyFill="1" applyBorder="1" applyAlignment="1" applyProtection="1">
      <alignment vertical="center"/>
      <protection hidden="1"/>
    </xf>
    <xf numFmtId="0" fontId="28" fillId="11" borderId="1" xfId="0" applyFont="1" applyFill="1" applyBorder="1" applyAlignment="1" applyProtection="1">
      <alignment vertical="center"/>
      <protection hidden="1"/>
    </xf>
    <xf numFmtId="0" fontId="28" fillId="0" borderId="4" xfId="0" applyFont="1" applyBorder="1" applyAlignment="1" applyProtection="1">
      <alignment vertical="center"/>
      <protection hidden="1"/>
    </xf>
    <xf numFmtId="0" fontId="28" fillId="0" borderId="1" xfId="0" applyFont="1" applyBorder="1" applyAlignment="1" applyProtection="1">
      <alignment vertical="center"/>
      <protection hidden="1"/>
    </xf>
    <xf numFmtId="0" fontId="28" fillId="0" borderId="6" xfId="0" applyFont="1" applyBorder="1" applyAlignment="1" applyProtection="1">
      <alignment vertical="center"/>
      <protection hidden="1"/>
    </xf>
    <xf numFmtId="0" fontId="28" fillId="0" borderId="8" xfId="0" applyFont="1" applyBorder="1" applyAlignment="1" applyProtection="1">
      <alignment vertical="center"/>
      <protection hidden="1"/>
    </xf>
    <xf numFmtId="0" fontId="22" fillId="8" borderId="5" xfId="3" applyFont="1" applyFill="1" applyBorder="1" applyAlignment="1" applyProtection="1">
      <alignment vertical="center"/>
      <protection hidden="1"/>
    </xf>
    <xf numFmtId="0" fontId="22" fillId="8" borderId="15" xfId="3" applyFont="1" applyFill="1" applyBorder="1" applyAlignment="1" applyProtection="1">
      <alignment vertical="center"/>
      <protection hidden="1"/>
    </xf>
    <xf numFmtId="0" fontId="20" fillId="0" borderId="0" xfId="0" applyFont="1" applyAlignment="1" applyProtection="1">
      <alignment horizontal="left" vertical="top" wrapText="1"/>
      <protection hidden="1"/>
    </xf>
    <xf numFmtId="0" fontId="16" fillId="0" borderId="0" xfId="0" applyFont="1" applyAlignment="1" applyProtection="1">
      <alignment horizontal="center" vertical="center" wrapText="1"/>
      <protection hidden="1"/>
    </xf>
    <xf numFmtId="0" fontId="21" fillId="8" borderId="9" xfId="3" applyFont="1" applyFill="1" applyBorder="1" applyAlignment="1" applyProtection="1">
      <alignment vertical="center"/>
      <protection hidden="1"/>
    </xf>
    <xf numFmtId="0" fontId="12" fillId="8" borderId="5" xfId="0" applyFont="1" applyFill="1" applyBorder="1" applyAlignment="1" applyProtection="1">
      <alignment vertical="top"/>
      <protection hidden="1"/>
    </xf>
    <xf numFmtId="0" fontId="12" fillId="8" borderId="15" xfId="0" applyFont="1" applyFill="1" applyBorder="1" applyAlignment="1" applyProtection="1">
      <alignment vertical="top"/>
      <protection hidden="1"/>
    </xf>
    <xf numFmtId="0" fontId="28" fillId="0" borderId="4" xfId="0" applyFont="1" applyBorder="1"/>
    <xf numFmtId="0" fontId="28" fillId="0" borderId="6" xfId="0" applyFont="1" applyBorder="1"/>
    <xf numFmtId="0" fontId="16" fillId="0" borderId="0" xfId="0" applyFont="1" applyAlignment="1" applyProtection="1">
      <alignment vertical="center" wrapText="1"/>
      <protection hidden="1"/>
    </xf>
    <xf numFmtId="0" fontId="12" fillId="3" borderId="7" xfId="0" applyFont="1" applyFill="1" applyBorder="1" applyProtection="1">
      <protection hidden="1"/>
    </xf>
    <xf numFmtId="0" fontId="12" fillId="3" borderId="2" xfId="0" applyFont="1" applyFill="1" applyBorder="1" applyAlignment="1" applyProtection="1">
      <alignment vertical="top" wrapText="1"/>
      <protection hidden="1"/>
    </xf>
    <xf numFmtId="0" fontId="12" fillId="0" borderId="0" xfId="0" applyFont="1" applyAlignment="1" applyProtection="1">
      <alignment vertical="top" shrinkToFit="1"/>
      <protection hidden="1"/>
    </xf>
    <xf numFmtId="0" fontId="18" fillId="3" borderId="2" xfId="1" applyFont="1" applyFill="1" applyBorder="1" applyAlignment="1" applyProtection="1">
      <alignment vertical="top" wrapText="1"/>
      <protection hidden="1"/>
    </xf>
    <xf numFmtId="0" fontId="18" fillId="3" borderId="15" xfId="1" applyFont="1" applyFill="1" applyBorder="1" applyAlignment="1" applyProtection="1">
      <alignment vertical="top" wrapText="1"/>
      <protection hidden="1"/>
    </xf>
    <xf numFmtId="0" fontId="12" fillId="0" borderId="0" xfId="0" applyFont="1" applyAlignment="1" applyProtection="1">
      <alignment vertical="top"/>
      <protection locked="0"/>
    </xf>
    <xf numFmtId="1" fontId="12" fillId="0" borderId="0" xfId="0" applyNumberFormat="1" applyFont="1" applyAlignment="1" applyProtection="1">
      <alignment vertical="top"/>
      <protection locked="0"/>
    </xf>
    <xf numFmtId="0" fontId="28" fillId="0" borderId="0" xfId="0" applyFont="1"/>
    <xf numFmtId="0" fontId="12" fillId="8" borderId="11" xfId="0" applyFont="1" applyFill="1" applyBorder="1" applyProtection="1">
      <protection hidden="1"/>
    </xf>
    <xf numFmtId="0" fontId="22" fillId="0" borderId="0" xfId="3" applyFont="1" applyAlignment="1" applyProtection="1">
      <alignment vertical="center"/>
      <protection hidden="1"/>
    </xf>
    <xf numFmtId="0" fontId="21" fillId="8" borderId="10" xfId="3" applyFont="1" applyFill="1" applyBorder="1" applyAlignment="1" applyProtection="1">
      <alignment vertical="center"/>
      <protection hidden="1"/>
    </xf>
    <xf numFmtId="0" fontId="28" fillId="0" borderId="7" xfId="0" applyFont="1" applyBorder="1"/>
    <xf numFmtId="0" fontId="22" fillId="0" borderId="1" xfId="3" applyFont="1" applyBorder="1" applyProtection="1">
      <protection hidden="1"/>
    </xf>
    <xf numFmtId="0" fontId="22" fillId="0" borderId="0" xfId="3" applyFont="1" applyProtection="1">
      <protection hidden="1"/>
    </xf>
    <xf numFmtId="0" fontId="22" fillId="0" borderId="8" xfId="3" applyFont="1" applyBorder="1" applyProtection="1">
      <protection hidden="1"/>
    </xf>
    <xf numFmtId="0" fontId="12" fillId="3" borderId="1" xfId="1" applyFont="1" applyFill="1" applyBorder="1" applyAlignment="1" applyProtection="1">
      <alignment vertical="center" wrapText="1"/>
      <protection hidden="1"/>
    </xf>
    <xf numFmtId="0" fontId="4" fillId="0" borderId="5" xfId="2" applyFont="1" applyBorder="1" applyAlignment="1">
      <alignment horizontal="center" vertical="top" wrapText="1"/>
    </xf>
    <xf numFmtId="0" fontId="5" fillId="9" borderId="9" xfId="0" applyFont="1" applyFill="1" applyBorder="1" applyAlignment="1">
      <alignment horizontal="center" vertical="top" wrapText="1"/>
    </xf>
    <xf numFmtId="0" fontId="4" fillId="0" borderId="5" xfId="0" applyFont="1" applyBorder="1" applyAlignment="1" applyProtection="1">
      <alignment horizontal="center" vertical="top" wrapText="1"/>
      <protection hidden="1"/>
    </xf>
    <xf numFmtId="0" fontId="4" fillId="0" borderId="3" xfId="2" applyFont="1" applyBorder="1" applyAlignment="1">
      <alignment vertical="top" wrapText="1"/>
    </xf>
    <xf numFmtId="0" fontId="4" fillId="0" borderId="12" xfId="2" applyFont="1" applyBorder="1" applyAlignment="1">
      <alignment vertical="top" wrapText="1"/>
    </xf>
    <xf numFmtId="0" fontId="4" fillId="0" borderId="12" xfId="0" applyFont="1" applyBorder="1" applyAlignment="1" applyProtection="1">
      <alignment vertical="top" wrapText="1"/>
      <protection hidden="1"/>
    </xf>
    <xf numFmtId="0" fontId="4" fillId="0" borderId="13" xfId="0" applyFont="1" applyBorder="1" applyAlignment="1" applyProtection="1">
      <alignment vertical="top" wrapText="1"/>
      <protection hidden="1"/>
    </xf>
    <xf numFmtId="0" fontId="4" fillId="0" borderId="3" xfId="2" applyFont="1" applyBorder="1"/>
    <xf numFmtId="0" fontId="4" fillId="0" borderId="9" xfId="2" applyFont="1" applyBorder="1" applyAlignment="1">
      <alignment horizontal="center" vertical="top" wrapText="1"/>
    </xf>
    <xf numFmtId="0" fontId="4" fillId="0" borderId="13" xfId="2" applyFont="1" applyBorder="1" applyAlignment="1">
      <alignment vertical="top" wrapText="1"/>
    </xf>
    <xf numFmtId="0" fontId="4" fillId="0" borderId="6" xfId="2" applyFont="1" applyBorder="1" applyAlignment="1">
      <alignment horizontal="center" vertical="top" wrapText="1"/>
    </xf>
    <xf numFmtId="0" fontId="4" fillId="0" borderId="0" xfId="0" applyFont="1" applyAlignment="1" applyProtection="1">
      <alignment vertical="top" wrapText="1"/>
      <protection hidden="1"/>
    </xf>
    <xf numFmtId="0" fontId="33" fillId="0" borderId="0" xfId="0" applyFont="1" applyProtection="1">
      <protection hidden="1"/>
    </xf>
    <xf numFmtId="0" fontId="34" fillId="3" borderId="7" xfId="0" applyFont="1" applyFill="1" applyBorder="1" applyAlignment="1" applyProtection="1">
      <alignment horizontal="center" vertical="top"/>
      <protection hidden="1"/>
    </xf>
    <xf numFmtId="0" fontId="34" fillId="3" borderId="8" xfId="0" applyFont="1" applyFill="1" applyBorder="1" applyAlignment="1" applyProtection="1">
      <alignment horizontal="center" vertical="center"/>
      <protection hidden="1"/>
    </xf>
    <xf numFmtId="1" fontId="12" fillId="0" borderId="0" xfId="0" applyNumberFormat="1" applyFont="1" applyAlignment="1" applyProtection="1">
      <alignment vertical="top" shrinkToFit="1"/>
      <protection locked="0"/>
    </xf>
    <xf numFmtId="0" fontId="12" fillId="0" borderId="0" xfId="0" applyFont="1" applyAlignment="1" applyProtection="1">
      <alignment horizontal="center"/>
      <protection locked="0"/>
    </xf>
    <xf numFmtId="0" fontId="12" fillId="0" borderId="0" xfId="0" applyFont="1" applyProtection="1">
      <protection locked="0"/>
    </xf>
    <xf numFmtId="0" fontId="12" fillId="10" borderId="2" xfId="0" applyFont="1" applyFill="1" applyBorder="1" applyAlignment="1" applyProtection="1">
      <alignment vertical="top" wrapText="1"/>
      <protection hidden="1"/>
    </xf>
    <xf numFmtId="0" fontId="18" fillId="10" borderId="2" xfId="1" applyFont="1" applyFill="1" applyBorder="1" applyAlignment="1" applyProtection="1">
      <alignment vertical="top" wrapText="1"/>
      <protection hidden="1"/>
    </xf>
    <xf numFmtId="0" fontId="12" fillId="10" borderId="5" xfId="1" applyFont="1" applyFill="1" applyBorder="1" applyAlignment="1" applyProtection="1">
      <alignment vertical="top" wrapText="1"/>
      <protection hidden="1"/>
    </xf>
    <xf numFmtId="0" fontId="16" fillId="10" borderId="0" xfId="0" applyFont="1" applyFill="1" applyAlignment="1" applyProtection="1">
      <alignment vertical="top" wrapText="1"/>
      <protection hidden="1"/>
    </xf>
    <xf numFmtId="0" fontId="16" fillId="10" borderId="0" xfId="0" applyFont="1" applyFill="1" applyAlignment="1" applyProtection="1">
      <alignment vertical="center" wrapText="1"/>
      <protection hidden="1"/>
    </xf>
    <xf numFmtId="0" fontId="12" fillId="3" borderId="0" xfId="0" applyFont="1" applyFill="1" applyAlignment="1" applyProtection="1">
      <alignment vertical="top" wrapText="1"/>
      <protection hidden="1"/>
    </xf>
    <xf numFmtId="0" fontId="12" fillId="3" borderId="0" xfId="0" applyFont="1" applyFill="1" applyAlignment="1" applyProtection="1">
      <alignment vertical="center" shrinkToFit="1"/>
      <protection hidden="1"/>
    </xf>
    <xf numFmtId="0" fontId="12" fillId="0" borderId="0" xfId="0" applyFont="1" applyAlignment="1" applyProtection="1">
      <alignment horizontal="left" vertical="top" shrinkToFit="1"/>
      <protection locked="0"/>
    </xf>
    <xf numFmtId="0" fontId="12" fillId="0" borderId="0" xfId="0" applyFont="1" applyAlignment="1" applyProtection="1">
      <alignment horizontal="left"/>
      <protection locked="0"/>
    </xf>
    <xf numFmtId="0" fontId="24" fillId="0" borderId="0" xfId="0" applyFont="1" applyAlignment="1" applyProtection="1">
      <alignment vertical="center"/>
      <protection hidden="1"/>
    </xf>
    <xf numFmtId="0" fontId="12" fillId="0" borderId="0" xfId="0" applyFont="1" applyAlignment="1" applyProtection="1">
      <alignment vertical="top" shrinkToFit="1"/>
      <protection locked="0"/>
    </xf>
    <xf numFmtId="22" fontId="12" fillId="0" borderId="0" xfId="0" applyNumberFormat="1" applyFont="1" applyAlignment="1" applyProtection="1">
      <alignment vertical="top"/>
      <protection locked="0"/>
    </xf>
    <xf numFmtId="14" fontId="12" fillId="0" borderId="0" xfId="0" applyNumberFormat="1" applyFont="1" applyAlignment="1" applyProtection="1">
      <alignment vertical="top"/>
      <protection locked="0"/>
    </xf>
    <xf numFmtId="0" fontId="12" fillId="6" borderId="0" xfId="0" applyFont="1" applyFill="1" applyAlignment="1" applyProtection="1">
      <alignment shrinkToFit="1"/>
      <protection locked="0"/>
    </xf>
    <xf numFmtId="0" fontId="7" fillId="0" borderId="16" xfId="0" applyFont="1" applyBorder="1"/>
    <xf numFmtId="0" fontId="12" fillId="3" borderId="0" xfId="0" applyFont="1" applyFill="1" applyAlignment="1" applyProtection="1">
      <alignment horizontal="right" vertical="top" shrinkToFit="1"/>
      <protection hidden="1"/>
    </xf>
    <xf numFmtId="0" fontId="12" fillId="3" borderId="0" xfId="0" applyFont="1" applyFill="1" applyAlignment="1" applyProtection="1">
      <alignment vertical="top" shrinkToFit="1"/>
      <protection hidden="1"/>
    </xf>
    <xf numFmtId="0" fontId="12" fillId="3" borderId="10" xfId="0" applyFont="1" applyFill="1" applyBorder="1" applyProtection="1">
      <protection hidden="1"/>
    </xf>
    <xf numFmtId="0" fontId="12" fillId="3" borderId="11" xfId="0" applyFont="1" applyFill="1" applyBorder="1" applyProtection="1">
      <protection hidden="1"/>
    </xf>
    <xf numFmtId="0" fontId="12" fillId="3" borderId="4" xfId="1" applyFont="1" applyFill="1" applyBorder="1" applyAlignment="1" applyProtection="1">
      <alignment horizontal="right" vertical="top" shrinkToFit="1"/>
      <protection hidden="1"/>
    </xf>
    <xf numFmtId="0" fontId="12" fillId="3" borderId="0" xfId="1" applyFont="1" applyFill="1" applyBorder="1" applyAlignment="1" applyProtection="1">
      <alignment horizontal="right" vertical="top" shrinkToFit="1"/>
      <protection hidden="1"/>
    </xf>
    <xf numFmtId="0" fontId="16" fillId="3" borderId="0" xfId="0" applyFont="1" applyFill="1" applyAlignment="1" applyProtection="1">
      <alignment vertical="top" shrinkToFit="1"/>
      <protection hidden="1"/>
    </xf>
    <xf numFmtId="0" fontId="14" fillId="3" borderId="0" xfId="0" applyFont="1" applyFill="1" applyAlignment="1" applyProtection="1">
      <alignment shrinkToFit="1"/>
      <protection hidden="1"/>
    </xf>
    <xf numFmtId="0" fontId="18" fillId="3" borderId="0" xfId="1" applyFont="1" applyFill="1" applyBorder="1" applyAlignment="1" applyProtection="1">
      <alignment horizontal="center" vertical="center"/>
    </xf>
    <xf numFmtId="0" fontId="12" fillId="3" borderId="0" xfId="0" applyFont="1" applyFill="1" applyAlignment="1" applyProtection="1">
      <alignment vertical="center" wrapText="1" shrinkToFit="1"/>
      <protection hidden="1"/>
    </xf>
    <xf numFmtId="0" fontId="12" fillId="3" borderId="12" xfId="0" applyFont="1" applyFill="1" applyBorder="1" applyAlignment="1" applyProtection="1">
      <alignment vertical="center" shrinkToFit="1"/>
      <protection hidden="1"/>
    </xf>
    <xf numFmtId="0" fontId="12" fillId="3" borderId="13" xfId="0" applyFont="1" applyFill="1" applyBorder="1" applyAlignment="1" applyProtection="1">
      <alignment vertical="center" shrinkToFit="1"/>
      <protection hidden="1"/>
    </xf>
    <xf numFmtId="0" fontId="31" fillId="0" borderId="0" xfId="2" applyFont="1" applyProtection="1">
      <protection hidden="1"/>
    </xf>
    <xf numFmtId="0" fontId="31" fillId="0" borderId="8" xfId="2" applyFont="1" applyBorder="1" applyAlignment="1" applyProtection="1">
      <alignment horizontal="center"/>
      <protection hidden="1"/>
    </xf>
    <xf numFmtId="0" fontId="31" fillId="0" borderId="7" xfId="2" applyFont="1" applyBorder="1" applyAlignment="1" applyProtection="1">
      <alignment horizontal="left" vertical="center" readingOrder="1"/>
      <protection hidden="1"/>
    </xf>
    <xf numFmtId="0" fontId="31" fillId="0" borderId="7" xfId="2" applyFont="1" applyBorder="1" applyProtection="1">
      <protection hidden="1"/>
    </xf>
    <xf numFmtId="0" fontId="31" fillId="0" borderId="7" xfId="2" applyFont="1" applyBorder="1" applyAlignment="1" applyProtection="1">
      <alignment horizontal="center"/>
      <protection hidden="1"/>
    </xf>
    <xf numFmtId="0" fontId="31" fillId="0" borderId="12" xfId="2" applyFont="1" applyBorder="1" applyAlignment="1" applyProtection="1">
      <alignment horizontal="center"/>
      <protection hidden="1"/>
    </xf>
    <xf numFmtId="0" fontId="31" fillId="0" borderId="1" xfId="2" applyFont="1" applyBorder="1" applyAlignment="1" applyProtection="1">
      <alignment horizontal="center"/>
      <protection hidden="1"/>
    </xf>
    <xf numFmtId="0" fontId="31" fillId="0" borderId="0" xfId="2" applyFont="1" applyAlignment="1" applyProtection="1">
      <alignment horizontal="center"/>
      <protection hidden="1"/>
    </xf>
    <xf numFmtId="0" fontId="31" fillId="0" borderId="3" xfId="2" applyFont="1" applyBorder="1" applyAlignment="1" applyProtection="1">
      <alignment horizontal="center"/>
      <protection hidden="1"/>
    </xf>
    <xf numFmtId="0" fontId="31" fillId="0" borderId="11" xfId="2" applyFont="1" applyBorder="1" applyAlignment="1" applyProtection="1">
      <alignment horizontal="center"/>
      <protection hidden="1"/>
    </xf>
    <xf numFmtId="0" fontId="31" fillId="0" borderId="10" xfId="2" applyFont="1" applyBorder="1" applyProtection="1">
      <protection hidden="1"/>
    </xf>
    <xf numFmtId="0" fontId="31" fillId="0" borderId="10" xfId="2" applyFont="1" applyBorder="1" applyAlignment="1" applyProtection="1">
      <alignment horizontal="center"/>
      <protection hidden="1"/>
    </xf>
    <xf numFmtId="0" fontId="39" fillId="0" borderId="0" xfId="2" applyFont="1" applyAlignment="1" applyProtection="1">
      <alignment vertical="center" readingOrder="1"/>
      <protection hidden="1"/>
    </xf>
    <xf numFmtId="0" fontId="39" fillId="0" borderId="10" xfId="2" applyFont="1" applyBorder="1" applyAlignment="1" applyProtection="1">
      <alignment vertical="center" readingOrder="1"/>
      <protection hidden="1"/>
    </xf>
    <xf numFmtId="0" fontId="38" fillId="12" borderId="2" xfId="2" applyFont="1" applyFill="1" applyBorder="1" applyAlignment="1" applyProtection="1">
      <alignment vertical="top"/>
      <protection hidden="1"/>
    </xf>
    <xf numFmtId="0" fontId="38" fillId="12" borderId="2" xfId="2" applyFont="1" applyFill="1" applyBorder="1" applyAlignment="1" applyProtection="1">
      <alignment vertical="top" wrapText="1"/>
      <protection hidden="1"/>
    </xf>
    <xf numFmtId="0" fontId="12" fillId="3" borderId="0" xfId="0" applyFont="1" applyFill="1" applyAlignment="1" applyProtection="1">
      <alignment vertical="top"/>
      <protection hidden="1"/>
    </xf>
    <xf numFmtId="0" fontId="41" fillId="0" borderId="0" xfId="0" applyFont="1" applyAlignment="1" applyProtection="1">
      <alignment vertical="top" shrinkToFit="1"/>
      <protection locked="0"/>
    </xf>
    <xf numFmtId="0" fontId="25" fillId="8" borderId="9" xfId="0" applyFont="1" applyFill="1" applyBorder="1"/>
    <xf numFmtId="0" fontId="25" fillId="8" borderId="10" xfId="0" applyFont="1" applyFill="1" applyBorder="1"/>
    <xf numFmtId="0" fontId="12" fillId="8" borderId="10" xfId="0" applyFont="1" applyFill="1" applyBorder="1" applyAlignment="1" applyProtection="1">
      <alignment vertical="top"/>
      <protection hidden="1"/>
    </xf>
    <xf numFmtId="0" fontId="25" fillId="8" borderId="11" xfId="0" applyFont="1" applyFill="1" applyBorder="1"/>
    <xf numFmtId="0" fontId="42" fillId="0" borderId="10" xfId="0" applyFont="1" applyBorder="1" applyAlignment="1" applyProtection="1">
      <alignment vertical="top"/>
      <protection hidden="1"/>
    </xf>
    <xf numFmtId="0" fontId="43" fillId="0" borderId="10" xfId="0" applyFont="1" applyBorder="1" applyAlignment="1" applyProtection="1">
      <alignment horizontal="left" vertical="top" readingOrder="1"/>
      <protection hidden="1"/>
    </xf>
    <xf numFmtId="0" fontId="43" fillId="0" borderId="11" xfId="0" applyFont="1" applyBorder="1" applyAlignment="1" applyProtection="1">
      <alignment horizontal="center" vertical="top"/>
      <protection hidden="1"/>
    </xf>
    <xf numFmtId="0" fontId="37" fillId="0" borderId="3" xfId="2" applyFont="1" applyBorder="1" applyAlignment="1" applyProtection="1">
      <alignment vertical="center" wrapText="1"/>
      <protection hidden="1"/>
    </xf>
    <xf numFmtId="0" fontId="37" fillId="0" borderId="13" xfId="2" applyFont="1" applyBorder="1" applyAlignment="1" applyProtection="1">
      <alignment vertical="center" wrapText="1"/>
      <protection hidden="1"/>
    </xf>
    <xf numFmtId="0" fontId="38" fillId="0" borderId="0" xfId="2" applyFont="1" applyAlignment="1" applyProtection="1">
      <alignment horizontal="center" vertical="center" textRotation="90"/>
      <protection hidden="1"/>
    </xf>
    <xf numFmtId="0" fontId="31" fillId="0" borderId="0" xfId="2" applyFont="1" applyAlignment="1" applyProtection="1">
      <alignment horizontal="center" vertical="top"/>
      <protection hidden="1"/>
    </xf>
    <xf numFmtId="0" fontId="31" fillId="0" borderId="0" xfId="2" applyFont="1" applyAlignment="1" applyProtection="1">
      <alignment horizontal="left" vertical="center" readingOrder="1"/>
      <protection hidden="1"/>
    </xf>
    <xf numFmtId="0" fontId="37" fillId="0" borderId="0" xfId="2" applyFont="1" applyAlignment="1" applyProtection="1">
      <alignment vertical="center" wrapText="1"/>
      <protection hidden="1"/>
    </xf>
    <xf numFmtId="0" fontId="7" fillId="0" borderId="0" xfId="0" applyFont="1"/>
    <xf numFmtId="0" fontId="7" fillId="0" borderId="0" xfId="0" applyFont="1" applyProtection="1">
      <protection hidden="1"/>
    </xf>
    <xf numFmtId="0" fontId="36" fillId="0" borderId="0" xfId="0" applyFont="1"/>
    <xf numFmtId="0" fontId="4" fillId="0" borderId="0" xfId="0" applyFont="1" applyProtection="1">
      <protection hidden="1"/>
    </xf>
    <xf numFmtId="0" fontId="4" fillId="0" borderId="0" xfId="0" applyFont="1"/>
    <xf numFmtId="0" fontId="12" fillId="10" borderId="2" xfId="1" applyFont="1" applyFill="1" applyBorder="1" applyAlignment="1" applyProtection="1">
      <alignment vertical="top" wrapText="1"/>
      <protection hidden="1"/>
    </xf>
    <xf numFmtId="0" fontId="12" fillId="6" borderId="3" xfId="0" applyFont="1" applyFill="1" applyBorder="1" applyAlignment="1" applyProtection="1">
      <alignment horizontal="center" shrinkToFit="1"/>
      <protection locked="0"/>
    </xf>
    <xf numFmtId="0" fontId="12" fillId="6" borderId="12" xfId="0" applyFont="1" applyFill="1" applyBorder="1" applyAlignment="1" applyProtection="1">
      <alignment horizontal="center" shrinkToFit="1"/>
      <protection locked="0"/>
    </xf>
    <xf numFmtId="0" fontId="12" fillId="3" borderId="4" xfId="0" applyFont="1" applyFill="1" applyBorder="1" applyAlignment="1" applyProtection="1">
      <alignment vertical="top" shrinkToFit="1"/>
      <protection hidden="1"/>
    </xf>
    <xf numFmtId="0" fontId="12" fillId="3" borderId="0" xfId="0" applyFont="1" applyFill="1" applyAlignment="1" applyProtection="1">
      <alignment vertical="top" shrinkToFit="1"/>
      <protection hidden="1"/>
    </xf>
    <xf numFmtId="0" fontId="11" fillId="4" borderId="9" xfId="0" applyFont="1" applyFill="1" applyBorder="1" applyAlignment="1" applyProtection="1">
      <alignment horizontal="center" vertical="center" wrapText="1"/>
      <protection hidden="1"/>
    </xf>
    <xf numFmtId="0" fontId="11" fillId="4" borderId="10" xfId="0" applyFont="1" applyFill="1" applyBorder="1" applyAlignment="1" applyProtection="1">
      <alignment horizontal="center" vertical="center" wrapText="1"/>
      <protection hidden="1"/>
    </xf>
    <xf numFmtId="0" fontId="11" fillId="4" borderId="6" xfId="0" applyFont="1" applyFill="1" applyBorder="1" applyAlignment="1" applyProtection="1">
      <alignment horizontal="center" vertical="center" wrapText="1"/>
      <protection hidden="1"/>
    </xf>
    <xf numFmtId="0" fontId="11" fillId="4" borderId="7" xfId="0" applyFont="1" applyFill="1" applyBorder="1" applyAlignment="1" applyProtection="1">
      <alignment horizontal="center" vertical="center" wrapText="1"/>
      <protection hidden="1"/>
    </xf>
    <xf numFmtId="0" fontId="8" fillId="3" borderId="10" xfId="0" applyFont="1" applyFill="1" applyBorder="1" applyAlignment="1" applyProtection="1">
      <alignment horizontal="center" vertical="center"/>
      <protection hidden="1"/>
    </xf>
    <xf numFmtId="0" fontId="35" fillId="3" borderId="7" xfId="0" applyFont="1" applyFill="1" applyBorder="1" applyAlignment="1" applyProtection="1">
      <alignment horizontal="center" vertical="center"/>
      <protection hidden="1"/>
    </xf>
    <xf numFmtId="0" fontId="12" fillId="0" borderId="0" xfId="0" applyFont="1" applyAlignment="1" applyProtection="1">
      <alignment vertical="top" shrinkToFit="1"/>
      <protection hidden="1"/>
    </xf>
    <xf numFmtId="0" fontId="14" fillId="3" borderId="9" xfId="0" applyFont="1" applyFill="1" applyBorder="1" applyAlignment="1" applyProtection="1">
      <alignment vertical="top" shrinkToFit="1"/>
      <protection hidden="1"/>
    </xf>
    <xf numFmtId="0" fontId="14" fillId="3" borderId="10" xfId="0" applyFont="1" applyFill="1" applyBorder="1" applyAlignment="1" applyProtection="1">
      <alignment vertical="top" shrinkToFit="1"/>
      <protection hidden="1"/>
    </xf>
    <xf numFmtId="0" fontId="16" fillId="3" borderId="9" xfId="0" applyFont="1" applyFill="1" applyBorder="1" applyAlignment="1" applyProtection="1">
      <alignment shrinkToFit="1"/>
      <protection hidden="1"/>
    </xf>
    <xf numFmtId="0" fontId="16" fillId="3" borderId="10" xfId="0" applyFont="1" applyFill="1" applyBorder="1" applyAlignment="1" applyProtection="1">
      <alignment shrinkToFit="1"/>
      <protection hidden="1"/>
    </xf>
    <xf numFmtId="0" fontId="18" fillId="3" borderId="10" xfId="1" applyFont="1" applyFill="1" applyBorder="1" applyAlignment="1" applyProtection="1">
      <alignment horizontal="center"/>
      <protection hidden="1"/>
    </xf>
    <xf numFmtId="0" fontId="18" fillId="3" borderId="11" xfId="1" applyFont="1" applyFill="1" applyBorder="1" applyAlignment="1" applyProtection="1">
      <alignment horizontal="center"/>
      <protection hidden="1"/>
    </xf>
    <xf numFmtId="0" fontId="19" fillId="3" borderId="0" xfId="0" applyFont="1" applyFill="1" applyAlignment="1" applyProtection="1">
      <alignment vertical="top" wrapText="1" shrinkToFit="1"/>
      <protection hidden="1"/>
    </xf>
    <xf numFmtId="0" fontId="12" fillId="3" borderId="24" xfId="0" applyFont="1" applyFill="1" applyBorder="1" applyAlignment="1" applyProtection="1">
      <alignment vertical="center" wrapText="1" shrinkToFit="1"/>
      <protection hidden="1"/>
    </xf>
    <xf numFmtId="0" fontId="12" fillId="3" borderId="25" xfId="0" applyFont="1" applyFill="1" applyBorder="1" applyAlignment="1" applyProtection="1">
      <alignment vertical="center" wrapText="1" shrinkToFit="1"/>
      <protection hidden="1"/>
    </xf>
    <xf numFmtId="0" fontId="12" fillId="3" borderId="27" xfId="0" applyFont="1" applyFill="1" applyBorder="1" applyAlignment="1" applyProtection="1">
      <alignment vertical="center" wrapText="1" shrinkToFit="1"/>
      <protection hidden="1"/>
    </xf>
    <xf numFmtId="0" fontId="12" fillId="3" borderId="28" xfId="0" applyFont="1" applyFill="1" applyBorder="1" applyAlignment="1" applyProtection="1">
      <alignment vertical="center" wrapText="1" shrinkToFit="1"/>
      <protection hidden="1"/>
    </xf>
    <xf numFmtId="0" fontId="18" fillId="3" borderId="23" xfId="1" quotePrefix="1" applyFont="1" applyFill="1" applyBorder="1" applyAlignment="1" applyProtection="1">
      <alignment horizontal="center" vertical="center"/>
    </xf>
    <xf numFmtId="0" fontId="18" fillId="3" borderId="26" xfId="1" applyFont="1" applyFill="1" applyBorder="1" applyAlignment="1" applyProtection="1">
      <alignment horizontal="center" vertical="center"/>
    </xf>
    <xf numFmtId="0" fontId="12" fillId="3" borderId="10" xfId="0" applyFont="1" applyFill="1" applyBorder="1" applyAlignment="1" applyProtection="1">
      <alignment vertical="top" shrinkToFit="1"/>
      <protection hidden="1"/>
    </xf>
    <xf numFmtId="0" fontId="12" fillId="3" borderId="11" xfId="0" applyFont="1" applyFill="1" applyBorder="1" applyAlignment="1" applyProtection="1">
      <alignment vertical="top" shrinkToFit="1"/>
      <protection hidden="1"/>
    </xf>
    <xf numFmtId="0" fontId="12" fillId="0" borderId="0" xfId="0" applyFont="1" applyAlignment="1" applyProtection="1">
      <alignment vertical="top" shrinkToFit="1"/>
      <protection locked="0"/>
    </xf>
    <xf numFmtId="0" fontId="12" fillId="3" borderId="4" xfId="0" applyFont="1" applyFill="1" applyBorder="1" applyAlignment="1" applyProtection="1">
      <alignment horizontal="right" vertical="top" shrinkToFit="1"/>
      <protection hidden="1"/>
    </xf>
    <xf numFmtId="0" fontId="12" fillId="3" borderId="0" xfId="0" applyFont="1" applyFill="1" applyAlignment="1" applyProtection="1">
      <alignment horizontal="right" vertical="top" shrinkToFit="1"/>
      <protection hidden="1"/>
    </xf>
    <xf numFmtId="0" fontId="18" fillId="0" borderId="0" xfId="1" applyFont="1" applyFill="1" applyBorder="1" applyAlignment="1" applyProtection="1">
      <alignment vertical="top" shrinkToFit="1"/>
      <protection locked="0"/>
    </xf>
    <xf numFmtId="0" fontId="17" fillId="0" borderId="0" xfId="1" applyFont="1" applyFill="1" applyBorder="1" applyAlignment="1" applyProtection="1">
      <alignment vertical="top" shrinkToFit="1"/>
      <protection locked="0"/>
    </xf>
    <xf numFmtId="49" fontId="12" fillId="0" borderId="0" xfId="0" applyNumberFormat="1" applyFont="1" applyAlignment="1" applyProtection="1">
      <alignment horizontal="center" shrinkToFit="1"/>
      <protection locked="0"/>
    </xf>
    <xf numFmtId="0" fontId="12" fillId="3" borderId="11" xfId="0" applyFont="1" applyFill="1" applyBorder="1" applyAlignment="1" applyProtection="1">
      <alignment horizontal="center" vertical="center" shrinkToFit="1"/>
      <protection hidden="1"/>
    </xf>
    <xf numFmtId="0" fontId="12" fillId="3" borderId="1" xfId="0" applyFont="1" applyFill="1" applyBorder="1" applyAlignment="1" applyProtection="1">
      <alignment horizontal="center" vertical="center" shrinkToFit="1"/>
      <protection hidden="1"/>
    </xf>
    <xf numFmtId="0" fontId="12" fillId="3" borderId="8" xfId="0" applyFont="1" applyFill="1" applyBorder="1" applyAlignment="1" applyProtection="1">
      <alignment horizontal="center" vertical="center" shrinkToFit="1"/>
      <protection hidden="1"/>
    </xf>
    <xf numFmtId="14" fontId="12" fillId="6" borderId="0" xfId="0" applyNumberFormat="1" applyFont="1" applyFill="1" applyAlignment="1" applyProtection="1">
      <alignment vertical="top" shrinkToFit="1"/>
      <protection locked="0"/>
    </xf>
    <xf numFmtId="49" fontId="12" fillId="6" borderId="0" xfId="0" applyNumberFormat="1" applyFont="1" applyFill="1" applyAlignment="1" applyProtection="1">
      <alignment horizontal="center" vertical="top" shrinkToFit="1"/>
      <protection locked="0"/>
    </xf>
    <xf numFmtId="49" fontId="12" fillId="0" borderId="0" xfId="0" applyNumberFormat="1" applyFont="1" applyAlignment="1" applyProtection="1">
      <alignment vertical="top" shrinkToFit="1"/>
      <protection locked="0"/>
    </xf>
    <xf numFmtId="0" fontId="6" fillId="5" borderId="4" xfId="0" applyFont="1" applyFill="1" applyBorder="1" applyAlignment="1" applyProtection="1">
      <alignment vertical="top" shrinkToFit="1"/>
      <protection hidden="1"/>
    </xf>
    <xf numFmtId="0" fontId="6" fillId="5" borderId="0" xfId="0" applyFont="1" applyFill="1" applyAlignment="1" applyProtection="1">
      <alignment vertical="top" shrinkToFit="1"/>
      <protection hidden="1"/>
    </xf>
    <xf numFmtId="0" fontId="30" fillId="3" borderId="5" xfId="0" applyFont="1" applyFill="1" applyBorder="1" applyAlignment="1" applyProtection="1">
      <alignment vertical="center"/>
      <protection hidden="1"/>
    </xf>
    <xf numFmtId="0" fontId="30" fillId="3" borderId="14" xfId="0" applyFont="1" applyFill="1" applyBorder="1" applyAlignment="1" applyProtection="1">
      <alignment vertical="center"/>
      <protection hidden="1"/>
    </xf>
    <xf numFmtId="0" fontId="30" fillId="3" borderId="15" xfId="0" applyFont="1" applyFill="1" applyBorder="1" applyAlignment="1" applyProtection="1">
      <alignment vertical="center"/>
      <protection hidden="1"/>
    </xf>
    <xf numFmtId="0" fontId="16" fillId="3" borderId="5" xfId="0" applyFont="1" applyFill="1" applyBorder="1" applyAlignment="1" applyProtection="1">
      <alignment vertical="center" wrapText="1"/>
      <protection hidden="1"/>
    </xf>
    <xf numFmtId="0" fontId="16" fillId="3" borderId="14" xfId="0" applyFont="1" applyFill="1" applyBorder="1" applyAlignment="1" applyProtection="1">
      <alignment vertical="center" wrapText="1"/>
      <protection hidden="1"/>
    </xf>
    <xf numFmtId="0" fontId="16" fillId="3" borderId="5" xfId="0" applyFont="1" applyFill="1" applyBorder="1" applyAlignment="1" applyProtection="1">
      <alignment horizontal="center" vertical="center" wrapText="1"/>
      <protection hidden="1"/>
    </xf>
    <xf numFmtId="0" fontId="16" fillId="3" borderId="15" xfId="0" applyFont="1" applyFill="1" applyBorder="1" applyAlignment="1" applyProtection="1">
      <alignment horizontal="center" vertical="center" wrapText="1"/>
      <protection hidden="1"/>
    </xf>
    <xf numFmtId="0" fontId="16" fillId="3" borderId="14" xfId="0" applyFont="1" applyFill="1" applyBorder="1" applyAlignment="1" applyProtection="1">
      <alignment horizontal="center" vertical="center" wrapText="1"/>
      <protection hidden="1"/>
    </xf>
    <xf numFmtId="0" fontId="19" fillId="0" borderId="0" xfId="0" applyFont="1" applyAlignment="1" applyProtection="1">
      <alignment vertical="top" shrinkToFit="1"/>
      <protection locked="0"/>
    </xf>
    <xf numFmtId="0" fontId="18" fillId="3" borderId="4" xfId="1" applyFont="1" applyFill="1" applyBorder="1" applyAlignment="1" applyProtection="1">
      <alignment horizontal="right" vertical="top" shrinkToFit="1"/>
      <protection hidden="1"/>
    </xf>
    <xf numFmtId="0" fontId="18" fillId="3" borderId="0" xfId="1" applyFont="1" applyFill="1" applyBorder="1" applyAlignment="1" applyProtection="1">
      <alignment horizontal="right" vertical="top" shrinkToFit="1"/>
      <protection hidden="1"/>
    </xf>
    <xf numFmtId="0" fontId="12" fillId="3" borderId="7" xfId="0" applyFont="1" applyFill="1" applyBorder="1" applyAlignment="1" applyProtection="1">
      <alignment vertical="top" shrinkToFit="1"/>
      <protection hidden="1"/>
    </xf>
    <xf numFmtId="0" fontId="12" fillId="0" borderId="0" xfId="0" applyFont="1" applyAlignment="1" applyProtection="1">
      <alignment horizontal="center" vertical="top" wrapText="1" shrinkToFit="1"/>
      <protection locked="0"/>
    </xf>
    <xf numFmtId="0" fontId="12" fillId="0" borderId="1" xfId="0" applyFont="1" applyBorder="1" applyAlignment="1" applyProtection="1">
      <alignment horizontal="center" vertical="top" wrapText="1" shrinkToFit="1"/>
      <protection locked="0"/>
    </xf>
    <xf numFmtId="0" fontId="14" fillId="3" borderId="10" xfId="0" applyFont="1" applyFill="1" applyBorder="1" applyAlignment="1" applyProtection="1">
      <alignment shrinkToFit="1"/>
      <protection hidden="1"/>
    </xf>
    <xf numFmtId="0" fontId="32" fillId="4" borderId="9" xfId="0" applyFont="1" applyFill="1" applyBorder="1" applyAlignment="1" applyProtection="1">
      <alignment horizontal="center" vertical="center" wrapText="1"/>
      <protection hidden="1"/>
    </xf>
    <xf numFmtId="0" fontId="32" fillId="4" borderId="10" xfId="0" applyFont="1" applyFill="1" applyBorder="1" applyAlignment="1" applyProtection="1">
      <alignment horizontal="center" vertical="center" wrapText="1"/>
      <protection hidden="1"/>
    </xf>
    <xf numFmtId="0" fontId="32" fillId="4" borderId="6" xfId="0" applyFont="1" applyFill="1" applyBorder="1" applyAlignment="1" applyProtection="1">
      <alignment horizontal="center" vertical="center" wrapText="1"/>
      <protection hidden="1"/>
    </xf>
    <xf numFmtId="0" fontId="32" fillId="4" borderId="7" xfId="0" applyFont="1" applyFill="1" applyBorder="1" applyAlignment="1" applyProtection="1">
      <alignment horizontal="center" vertical="center" wrapText="1"/>
      <protection hidden="1"/>
    </xf>
    <xf numFmtId="0" fontId="12" fillId="3" borderId="4" xfId="1" applyFont="1" applyFill="1" applyBorder="1" applyAlignment="1" applyProtection="1">
      <alignment horizontal="right" vertical="top" shrinkToFit="1"/>
      <protection hidden="1"/>
    </xf>
    <xf numFmtId="0" fontId="12" fillId="3" borderId="0" xfId="1" applyFont="1" applyFill="1" applyBorder="1" applyAlignment="1" applyProtection="1">
      <alignment horizontal="right" vertical="top" shrinkToFit="1"/>
      <protection hidden="1"/>
    </xf>
    <xf numFmtId="0" fontId="16" fillId="3" borderId="0" xfId="0" applyFont="1" applyFill="1" applyAlignment="1" applyProtection="1">
      <alignment vertical="top" shrinkToFit="1"/>
      <protection hidden="1"/>
    </xf>
    <xf numFmtId="0" fontId="14" fillId="3" borderId="0" xfId="0" applyFont="1" applyFill="1" applyAlignment="1" applyProtection="1">
      <alignment shrinkToFit="1"/>
      <protection hidden="1"/>
    </xf>
    <xf numFmtId="0" fontId="18" fillId="3" borderId="17" xfId="1" applyFont="1" applyFill="1" applyBorder="1" applyAlignment="1" applyProtection="1">
      <alignment horizontal="center" vertical="center"/>
      <protection hidden="1"/>
    </xf>
    <xf numFmtId="0" fontId="18" fillId="3" borderId="20" xfId="1" applyFont="1" applyFill="1" applyBorder="1" applyAlignment="1" applyProtection="1">
      <alignment horizontal="center" vertical="center"/>
      <protection hidden="1"/>
    </xf>
    <xf numFmtId="0" fontId="30" fillId="10" borderId="5" xfId="0" applyFont="1" applyFill="1" applyBorder="1" applyAlignment="1" applyProtection="1">
      <alignment vertical="center" wrapText="1"/>
      <protection hidden="1"/>
    </xf>
    <xf numFmtId="0" fontId="30" fillId="10" borderId="14" xfId="0" applyFont="1" applyFill="1" applyBorder="1" applyAlignment="1" applyProtection="1">
      <alignment vertical="center" wrapText="1"/>
      <protection hidden="1"/>
    </xf>
    <xf numFmtId="0" fontId="30" fillId="10" borderId="15" xfId="0" applyFont="1" applyFill="1" applyBorder="1" applyAlignment="1" applyProtection="1">
      <alignment vertical="center" wrapText="1"/>
      <protection hidden="1"/>
    </xf>
    <xf numFmtId="0" fontId="12" fillId="3" borderId="18" xfId="1" applyFont="1" applyFill="1" applyBorder="1" applyAlignment="1" applyProtection="1">
      <alignment horizontal="center" vertical="center" wrapText="1"/>
      <protection hidden="1"/>
    </xf>
    <xf numFmtId="0" fontId="12" fillId="3" borderId="19" xfId="1" applyFont="1" applyFill="1" applyBorder="1" applyAlignment="1" applyProtection="1">
      <alignment horizontal="center" vertical="center" wrapText="1"/>
      <protection hidden="1"/>
    </xf>
    <xf numFmtId="0" fontId="12" fillId="3" borderId="21" xfId="1" applyFont="1" applyFill="1" applyBorder="1" applyAlignment="1" applyProtection="1">
      <alignment horizontal="center" vertical="center" wrapText="1"/>
      <protection hidden="1"/>
    </xf>
    <xf numFmtId="0" fontId="12" fillId="3" borderId="22" xfId="1" applyFont="1" applyFill="1" applyBorder="1" applyAlignment="1" applyProtection="1">
      <alignment horizontal="center" vertical="center" wrapText="1"/>
      <protection hidden="1"/>
    </xf>
    <xf numFmtId="0" fontId="27" fillId="0" borderId="0" xfId="0" applyFont="1" applyAlignment="1" applyProtection="1">
      <alignment vertical="center"/>
      <protection hidden="1"/>
    </xf>
    <xf numFmtId="0" fontId="16" fillId="2" borderId="0" xfId="0" applyFont="1" applyFill="1" applyAlignment="1" applyProtection="1">
      <alignment vertical="top"/>
      <protection hidden="1"/>
    </xf>
    <xf numFmtId="0" fontId="16" fillId="0" borderId="0" xfId="0" applyFont="1" applyProtection="1">
      <protection hidden="1"/>
    </xf>
    <xf numFmtId="0" fontId="16" fillId="0" borderId="7" xfId="0" applyFont="1" applyBorder="1" applyProtection="1">
      <protection hidden="1"/>
    </xf>
    <xf numFmtId="0" fontId="4" fillId="10" borderId="2" xfId="2" applyFont="1" applyFill="1" applyBorder="1" applyAlignment="1">
      <alignment horizontal="center" vertical="center" wrapText="1"/>
    </xf>
    <xf numFmtId="0" fontId="5" fillId="0" borderId="2" xfId="2" applyFont="1" applyBorder="1" applyAlignment="1">
      <alignment horizontal="center" vertical="center" textRotation="90"/>
    </xf>
    <xf numFmtId="0" fontId="4" fillId="0" borderId="0" xfId="0" applyFont="1" applyAlignment="1">
      <alignment vertical="top"/>
    </xf>
    <xf numFmtId="0" fontId="5" fillId="0" borderId="7" xfId="0" applyFont="1" applyBorder="1" applyAlignment="1">
      <alignment wrapText="1"/>
    </xf>
    <xf numFmtId="0" fontId="4" fillId="10" borderId="2" xfId="2" applyFont="1" applyFill="1" applyBorder="1" applyAlignment="1" applyProtection="1">
      <alignment horizontal="center" vertical="center"/>
      <protection hidden="1"/>
    </xf>
    <xf numFmtId="0" fontId="7" fillId="0" borderId="2" xfId="2" applyFont="1" applyBorder="1" applyAlignment="1">
      <alignment horizontal="center" vertical="center" textRotation="255"/>
    </xf>
    <xf numFmtId="0" fontId="4" fillId="0" borderId="2" xfId="2" applyFont="1" applyBorder="1" applyAlignment="1">
      <alignment horizontal="center" vertical="center" wrapText="1"/>
    </xf>
    <xf numFmtId="0" fontId="4" fillId="0" borderId="2" xfId="2" applyFont="1" applyBorder="1" applyAlignment="1">
      <alignment horizontal="center" vertical="center"/>
    </xf>
    <xf numFmtId="0" fontId="7" fillId="10" borderId="2" xfId="2" applyFont="1" applyFill="1" applyBorder="1" applyAlignment="1">
      <alignment horizontal="center" vertical="center" textRotation="255"/>
    </xf>
    <xf numFmtId="0" fontId="7" fillId="3" borderId="2" xfId="2" applyFont="1" applyFill="1" applyBorder="1" applyAlignment="1">
      <alignment horizontal="center" vertical="center" textRotation="255"/>
    </xf>
    <xf numFmtId="0" fontId="4" fillId="3" borderId="2" xfId="2" applyFont="1" applyFill="1" applyBorder="1" applyAlignment="1">
      <alignment horizontal="center" vertical="center" wrapText="1"/>
    </xf>
    <xf numFmtId="0" fontId="29" fillId="9" borderId="0" xfId="0" applyFont="1" applyFill="1" applyAlignment="1">
      <alignment vertical="top" wrapText="1"/>
    </xf>
    <xf numFmtId="0" fontId="5" fillId="0" borderId="0" xfId="0" applyFont="1" applyAlignment="1">
      <alignment vertical="top" wrapText="1"/>
    </xf>
    <xf numFmtId="0" fontId="40" fillId="12" borderId="0" xfId="2" applyFont="1" applyFill="1" applyAlignment="1" applyProtection="1">
      <alignment vertical="center" readingOrder="1"/>
      <protection hidden="1"/>
    </xf>
    <xf numFmtId="0" fontId="38" fillId="0" borderId="3" xfId="2" applyFont="1" applyBorder="1" applyAlignment="1" applyProtection="1">
      <alignment horizontal="center" vertical="center" textRotation="90"/>
      <protection hidden="1"/>
    </xf>
    <xf numFmtId="0" fontId="38" fillId="0" borderId="12" xfId="2" applyFont="1" applyBorder="1" applyAlignment="1" applyProtection="1">
      <alignment horizontal="center" vertical="center" textRotation="90"/>
      <protection hidden="1"/>
    </xf>
    <xf numFmtId="0" fontId="38" fillId="0" borderId="13" xfId="2" applyFont="1" applyBorder="1" applyAlignment="1" applyProtection="1">
      <alignment horizontal="center" vertical="center" textRotation="90"/>
      <protection hidden="1"/>
    </xf>
    <xf numFmtId="0" fontId="31" fillId="0" borderId="3" xfId="2" applyFont="1" applyBorder="1" applyAlignment="1" applyProtection="1">
      <alignment horizontal="center" vertical="top"/>
      <protection hidden="1"/>
    </xf>
    <xf numFmtId="0" fontId="31" fillId="0" borderId="13" xfId="2" applyFont="1" applyBorder="1" applyAlignment="1" applyProtection="1">
      <alignment horizontal="center" vertical="top"/>
      <protection hidden="1"/>
    </xf>
    <xf numFmtId="0" fontId="31" fillId="0" borderId="12" xfId="2" applyFont="1" applyBorder="1" applyAlignment="1" applyProtection="1">
      <alignment horizontal="center" vertical="top"/>
      <protection hidden="1"/>
    </xf>
    <xf numFmtId="0" fontId="31" fillId="0" borderId="0" xfId="2" applyFont="1" applyProtection="1">
      <protection hidden="1"/>
    </xf>
    <xf numFmtId="0" fontId="16" fillId="7" borderId="0" xfId="0" applyFont="1" applyFill="1" applyAlignment="1" applyProtection="1">
      <alignment vertical="top"/>
      <protection hidden="1"/>
    </xf>
  </cellXfs>
  <cellStyles count="4">
    <cellStyle name="Hyperlink" xfId="1" builtinId="8"/>
    <cellStyle name="Normal" xfId="0" builtinId="0"/>
    <cellStyle name="Normal 2" xfId="2" xr:uid="{00000000-0005-0000-0000-000002000000}"/>
    <cellStyle name="Normal_codes" xfId="3" xr:uid="{B3CD07BC-6F37-47AB-A71E-93FA207067B8}"/>
  </cellStyles>
  <dxfs count="48">
    <dxf>
      <fill>
        <patternFill>
          <bgColor rgb="FFFFFF00"/>
        </patternFill>
      </fill>
    </dxf>
    <dxf>
      <fill>
        <patternFill>
          <bgColor rgb="FFFFFF0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1" indent="0" justifyLastLine="0" shrinkToFit="0" readingOrder="0"/>
    </dxf>
    <dxf>
      <font>
        <b val="0"/>
        <strike val="0"/>
        <outline val="0"/>
        <shadow val="0"/>
        <u val="none"/>
        <vertAlign val="baseline"/>
        <sz val="8"/>
        <color auto="1"/>
        <name val="Calibri"/>
        <family val="2"/>
        <scheme val="minor"/>
      </font>
      <fill>
        <patternFill patternType="none">
          <fgColor indexed="64"/>
          <bgColor auto="1"/>
        </patternFill>
      </fill>
      <alignment horizontal="general" vertical="top" textRotation="0" wrapText="1" indent="0" justifyLastLine="0" readingOrder="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center" vertical="bottom" textRotation="0" wrapText="0"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indexed="65"/>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indexed="65"/>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indexed="65"/>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center" vertical="bottom" textRotation="0" wrapText="0" indent="0" justifyLastLine="0" shrinkToFit="0" readingOrder="0"/>
      <protection locked="0" hidden="0"/>
    </dxf>
    <dxf>
      <font>
        <b val="0"/>
        <i val="0"/>
        <strike val="0"/>
        <condense val="0"/>
        <extend val="0"/>
        <outline val="0"/>
        <shadow val="0"/>
        <u val="none"/>
        <vertAlign val="baseline"/>
        <sz val="8"/>
        <color auto="1"/>
        <name val="Calibri"/>
        <family val="2"/>
        <scheme val="minor"/>
      </font>
      <numFmt numFmtId="1" formatCode="0"/>
      <fill>
        <patternFill patternType="none">
          <fgColor indexed="64"/>
          <bgColor indexed="65"/>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8"/>
        <color auto="1"/>
        <name val="Calibri"/>
        <family val="2"/>
        <scheme val="minor"/>
      </font>
      <numFmt numFmtId="1" formatCode="0"/>
      <fill>
        <patternFill patternType="none">
          <fgColor indexed="64"/>
          <bgColor indexed="65"/>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8"/>
        <color auto="1"/>
        <name val="Calibri"/>
        <family val="2"/>
        <scheme val="minor"/>
      </font>
      <numFmt numFmtId="1" formatCode="0"/>
      <fill>
        <patternFill patternType="none">
          <fgColor indexed="64"/>
          <bgColor indexed="65"/>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left" vertical="bottom" textRotation="0" wrapText="0" indent="0" justifyLastLine="0" shrinkToFit="0" readingOrder="0"/>
      <protection locked="0" hidden="0"/>
    </dxf>
    <dxf>
      <border outline="0">
        <right style="thin">
          <color theme="4" tint="0.39997558519241921"/>
        </right>
        <top style="thin">
          <color indexed="64"/>
        </top>
      </border>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center" vertical="bottom" textRotation="0" wrapText="0" indent="0" justifyLastLine="0" shrinkToFit="0" readingOrder="0"/>
      <protection locked="0" hidden="0"/>
    </dxf>
    <dxf>
      <font>
        <b/>
        <i val="0"/>
        <strike val="0"/>
        <condense val="0"/>
        <extend val="0"/>
        <outline val="0"/>
        <shadow val="0"/>
        <u val="none"/>
        <vertAlign val="baseline"/>
        <sz val="8"/>
        <color auto="1"/>
        <name val="Calibri"/>
        <family val="2"/>
        <scheme val="minor"/>
      </font>
      <fill>
        <patternFill patternType="solid">
          <fgColor indexed="64"/>
          <bgColor theme="4" tint="0.79998168889431442"/>
        </patternFill>
      </fill>
      <alignment horizontal="general" vertical="center" textRotation="0" wrapText="1" indent="0" justifyLastLine="0" shrinkToFit="0" readingOrder="0"/>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1"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1"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1"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indexed="65"/>
        </patternFill>
      </fill>
      <alignment horizontal="general" vertical="top" textRotation="0" wrapText="0" indent="0" justifyLastLine="0" shrinkToFit="1"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1"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1"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1" readingOrder="0"/>
      <protection locked="0" hidden="0"/>
    </dxf>
    <dxf>
      <font>
        <b val="0"/>
        <i val="0"/>
        <strike val="0"/>
        <condense val="0"/>
        <extend val="0"/>
        <outline val="0"/>
        <shadow val="0"/>
        <u val="none"/>
        <vertAlign val="baseline"/>
        <sz val="8"/>
        <color auto="1"/>
        <name val="Calibri"/>
        <family val="2"/>
        <scheme val="minor"/>
      </font>
      <numFmt numFmtId="1" formatCode="0"/>
      <fill>
        <patternFill patternType="none">
          <fgColor indexed="64"/>
          <bgColor auto="1"/>
        </patternFill>
      </fill>
      <alignment horizontal="general" vertical="top" textRotation="0" wrapText="0" indent="0" justifyLastLine="0" shrinkToFit="1"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1" readingOrder="0"/>
      <protection locked="0" hidden="0"/>
    </dxf>
    <dxf>
      <font>
        <b val="0"/>
        <i/>
        <strike val="0"/>
        <condense val="0"/>
        <extend val="0"/>
        <outline val="0"/>
        <shadow val="0"/>
        <u val="none"/>
        <vertAlign val="baseline"/>
        <sz val="8"/>
        <color auto="1"/>
        <name val="Calibri"/>
        <family val="2"/>
        <scheme val="minor"/>
      </font>
      <fill>
        <patternFill patternType="none">
          <fgColor indexed="64"/>
          <bgColor indexed="65"/>
        </patternFill>
      </fill>
      <alignment horizontal="general" vertical="top" textRotation="0" wrapText="0" indent="0" justifyLastLine="0" shrinkToFit="1" readingOrder="0"/>
      <protection locked="0" hidden="0"/>
    </dxf>
    <dxf>
      <font>
        <b val="0"/>
        <i/>
        <strike val="0"/>
        <condense val="0"/>
        <extend val="0"/>
        <outline val="0"/>
        <shadow val="0"/>
        <u val="none"/>
        <vertAlign val="baseline"/>
        <sz val="8"/>
        <color auto="1"/>
        <name val="Calibri"/>
        <family val="2"/>
        <scheme val="minor"/>
      </font>
      <fill>
        <patternFill patternType="none">
          <fgColor indexed="64"/>
          <bgColor indexed="65"/>
        </patternFill>
      </fill>
      <alignment horizontal="general" vertical="top" textRotation="0" wrapText="0" indent="0" justifyLastLine="0" shrinkToFit="1" readingOrder="0"/>
      <protection locked="0" hidden="0"/>
    </dxf>
    <dxf>
      <font>
        <b val="0"/>
        <i/>
        <strike val="0"/>
        <condense val="0"/>
        <extend val="0"/>
        <outline val="0"/>
        <shadow val="0"/>
        <u val="none"/>
        <vertAlign val="baseline"/>
        <sz val="8"/>
        <color auto="1"/>
        <name val="Calibri"/>
        <family val="2"/>
        <scheme val="minor"/>
      </font>
      <fill>
        <patternFill patternType="none">
          <fgColor indexed="64"/>
          <bgColor indexed="65"/>
        </patternFill>
      </fill>
      <alignment horizontal="general" vertical="top" textRotation="0" wrapText="0" indent="0" justifyLastLine="0" shrinkToFit="1"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1" readingOrder="0"/>
      <protection locked="0" hidden="0"/>
    </dxf>
    <dxf>
      <font>
        <b val="0"/>
        <strike val="0"/>
        <outline val="0"/>
        <shadow val="0"/>
        <u val="none"/>
        <vertAlign val="baseline"/>
        <sz val="8"/>
        <color auto="1"/>
        <name val="Calibri"/>
        <family val="2"/>
        <scheme val="minor"/>
      </font>
      <fill>
        <patternFill patternType="solid">
          <fgColor indexed="64"/>
          <bgColor theme="0" tint="-0.14999847407452621"/>
        </patternFill>
      </fill>
      <alignment horizontal="general" textRotation="0" indent="0" justifyLastLine="0" readingOrder="0"/>
      <protection locked="1" hidden="1"/>
    </dxf>
  </dxfs>
  <tableStyles count="0" defaultTableStyle="TableStyleMedium9"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0</xdr:colOff>
      <xdr:row>0</xdr:row>
      <xdr:rowOff>0</xdr:rowOff>
    </xdr:from>
    <xdr:to>
      <xdr:col>10</xdr:col>
      <xdr:colOff>86458</xdr:colOff>
      <xdr:row>1</xdr:row>
      <xdr:rowOff>240323</xdr:rowOff>
    </xdr:to>
    <xdr:pic>
      <xdr:nvPicPr>
        <xdr:cNvPr id="2" name="Picture 17" descr="LOGOTIPO" hidden="1">
          <a:extLst>
            <a:ext uri="{FF2B5EF4-FFF2-40B4-BE49-F238E27FC236}">
              <a16:creationId xmlns:a16="http://schemas.microsoft.com/office/drawing/2014/main" id="{00000000-0008-0000-0100-00000200000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039975" y="0"/>
          <a:ext cx="505558" cy="421298"/>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0000000}" name="tblST10A" displayName="tblST10A" ref="A25:L50" totalsRowShown="0" headerRowDxfId="47" dataDxfId="46">
  <autoFilter ref="A25:L50" xr:uid="{00000000-0009-0000-0100-000008000000}"/>
  <tableColumns count="12">
    <tableColumn id="5" xr3:uid="{00000000-0010-0000-0000-000005000000}" name="ICCATSerialNo" dataDxfId="45"/>
    <tableColumn id="6" xr3:uid="{00000000-0010-0000-0000-000006000000}" name="VesselName" dataDxfId="44"/>
    <tableColumn id="7" xr3:uid="{00000000-0010-0000-0000-000007000000}" name="VessTypeCd" dataDxfId="43"/>
    <tableColumn id="1" xr3:uid="{00000000-0010-0000-0000-000001000000}" name="FlagVesCd" dataDxfId="42"/>
    <tableColumn id="2" xr3:uid="{00000000-0010-0000-0000-000002000000}" name="Month" dataDxfId="41"/>
    <tableColumn id="3" xr3:uid="{00000000-0010-0000-0000-000003000000}" name="Lat1" dataDxfId="40"/>
    <tableColumn id="4" xr3:uid="{00000000-0010-0000-0000-000004000000}" name="Lon1" dataDxfId="39"/>
    <tableColumn id="9" xr3:uid="{00000000-0010-0000-0000-000009000000}" name="FadTypeCd" dataDxfId="38"/>
    <tableColumn id="8" xr3:uid="{00000000-0010-0000-0000-000008000000}" name="BeaconTypeCd" dataDxfId="37"/>
    <tableColumn id="11" xr3:uid="{00000000-0010-0000-0000-00000B000000}" name="NoFADsDep" dataDxfId="36"/>
    <tableColumn id="10" xr3:uid="{F43356C9-B986-4F77-A7BB-1DC8BBAA823D}" name="NoFADsLost" dataDxfId="35"/>
    <tableColumn id="12" xr3:uid="{86E1F8AF-BCCD-42CC-92ED-208C4B15906C}" name="NoFADsTransf" dataDxfId="34"/>
  </tableColumns>
  <tableStyleInfo name="TableStyleLight1" showFirstColumn="0" showLastColumn="0" showRowStripes="0"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ST10B" displayName="tblST10B" ref="A18:I40" totalsRowShown="0" headerRowDxfId="33" dataDxfId="32" tableBorderDxfId="31">
  <autoFilter ref="A18:I40" xr:uid="{00000000-0009-0000-0100-000002000000}"/>
  <tableColumns count="9">
    <tableColumn id="1" xr3:uid="{00000000-0010-0000-0100-000001000000}" name="FlagVesCd" dataDxfId="30"/>
    <tableColumn id="2" xr3:uid="{00000000-0010-0000-0100-000002000000}" name="Month" dataDxfId="29"/>
    <tableColumn id="12" xr3:uid="{C996CE04-043B-4CAD-AA3F-1D203509011F}" name="Lat2" dataDxfId="28"/>
    <tableColumn id="13" xr3:uid="{FFAACA6E-296F-4AD8-A464-7A32B61F9BD6}" name="Lon2" dataDxfId="27"/>
    <tableColumn id="3" xr3:uid="{00000000-0010-0000-0100-000003000000}" name="NoVessels" dataDxfId="26"/>
    <tableColumn id="4" xr3:uid="{00000000-0010-0000-0100-000004000000}" name="FadTypeCd" dataDxfId="25"/>
    <tableColumn id="5" xr3:uid="{00000000-0010-0000-0100-000005000000}" name="BeaconTypeCd" dataDxfId="24"/>
    <tableColumn id="6" xr3:uid="{00000000-0010-0000-0100-000006000000}" name="AvgNOperatFADs" dataDxfId="23"/>
    <tableColumn id="14" xr3:uid="{D8764C79-4C05-4B9C-B49C-497FA961BBDD}" name="Remarks" dataDxfId="22"/>
  </tableColumns>
  <tableStyleInfo name="TableStyleLight2" showFirstColumn="0" showLastColumn="0" showRowStripes="0"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blTrans3Langs" displayName="tblTrans3Langs" ref="A4:M75" totalsRowShown="0" headerRowDxfId="21" dataDxfId="20">
  <autoFilter ref="A4:M75" xr:uid="{E1C621B0-00E7-47F1-A167-DB7DE1A5CF5C}"/>
  <tableColumns count="13">
    <tableColumn id="1" xr3:uid="{00000000-0010-0000-0200-000001000000}" name="FieldID" dataDxfId="19"/>
    <tableColumn id="2" xr3:uid="{00000000-0010-0000-0200-000002000000}" name="Order" dataDxfId="18"/>
    <tableColumn id="13" xr3:uid="{65D2DB7B-E385-4400-BA9A-DAADCC6F0835}" name="FormID" dataDxfId="17"/>
    <tableColumn id="3" xr3:uid="{00000000-0010-0000-0200-000003000000}" name="Subform" dataDxfId="16"/>
    <tableColumn id="4" xr3:uid="{00000000-0010-0000-0200-000004000000}" name="Section" dataDxfId="15"/>
    <tableColumn id="5" xr3:uid="{00000000-0010-0000-0200-000005000000}" name="Item" dataDxfId="14"/>
    <tableColumn id="6" xr3:uid="{00000000-0010-0000-0200-000006000000}" name="FieldType" dataDxfId="13"/>
    <tableColumn id="7" xr3:uid="{00000000-0010-0000-0200-000007000000}" name="FldNameEN" dataDxfId="12"/>
    <tableColumn id="8" xr3:uid="{00000000-0010-0000-0200-000008000000}" name="FldNameFR" dataDxfId="11"/>
    <tableColumn id="9" xr3:uid="{00000000-0010-0000-0200-000009000000}" name="FldNameES" dataDxfId="10"/>
    <tableColumn id="10" xr3:uid="{00000000-0010-0000-0200-00000A000000}" name="FldInstructEN" dataDxfId="9"/>
    <tableColumn id="11" xr3:uid="{00000000-0010-0000-0200-00000B000000}" name="FldInstructFR" dataDxfId="8"/>
    <tableColumn id="12" xr3:uid="{00000000-0010-0000-0200-00000C000000}" name="FldInstructES" dataDxfId="7"/>
  </tableColumns>
  <tableStyleInfo name="TableStyleLight1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00B0F0"/>
    <pageSetUpPr autoPageBreaks="0"/>
  </sheetPr>
  <dimension ref="A1:R50"/>
  <sheetViews>
    <sheetView tabSelected="1" showOutlineSymbols="0" zoomScaleNormal="100" zoomScaleSheetLayoutView="100" workbookViewId="0">
      <selection activeCell="R2" sqref="R2"/>
    </sheetView>
  </sheetViews>
  <sheetFormatPr defaultColWidth="9.07421875" defaultRowHeight="12" x14ac:dyDescent="0.3"/>
  <cols>
    <col min="1" max="1" width="11.4609375" style="69" bestFit="1" customWidth="1"/>
    <col min="2" max="2" width="21.07421875" style="69" bestFit="1" customWidth="1"/>
    <col min="3" max="3" width="10.23046875" style="51" bestFit="1" customWidth="1"/>
    <col min="4" max="4" width="9.07421875" style="69" bestFit="1" customWidth="1"/>
    <col min="5" max="5" width="7.07421875" style="69" bestFit="1" customWidth="1"/>
    <col min="6" max="7" width="7.4609375" style="69" customWidth="1"/>
    <col min="8" max="8" width="8.4609375" style="69" customWidth="1"/>
    <col min="9" max="9" width="10.765625" style="69" customWidth="1"/>
    <col min="10" max="11" width="10.23046875" style="69" bestFit="1" customWidth="1"/>
    <col min="12" max="12" width="14.07421875" style="69" customWidth="1"/>
    <col min="13" max="13" width="4" style="69" customWidth="1"/>
    <col min="14" max="14" width="7.4609375" style="69" customWidth="1"/>
    <col min="15" max="15" width="5.4609375" style="69" customWidth="1"/>
    <col min="16" max="16" width="2" style="69" bestFit="1" customWidth="1"/>
    <col min="17" max="17" width="7.07421875" style="69" bestFit="1" customWidth="1"/>
    <col min="18" max="18" width="8.23046875" style="69" bestFit="1" customWidth="1"/>
    <col min="19" max="16384" width="9.07421875" style="69"/>
  </cols>
  <sheetData>
    <row r="1" spans="1:18" s="46" customFormat="1" ht="19.75" x14ac:dyDescent="0.3">
      <c r="A1" s="202" t="str">
        <f>VLOOKUP("T00",tblTrans3Langs[],LangFieldID,FALSE)</f>
        <v>ST08-FadsDep</v>
      </c>
      <c r="B1" s="203"/>
      <c r="C1" s="206" t="str">
        <f>VLOOKUP("T00",tblTrans3Langs[],LangNameID,FALSE)</f>
        <v>TASK 3 - FISHING AGGREGATING DEVICES (FADs) DEPLOYED IN THE YEAR</v>
      </c>
      <c r="D1" s="206"/>
      <c r="E1" s="206"/>
      <c r="F1" s="206"/>
      <c r="G1" s="206"/>
      <c r="H1" s="206"/>
      <c r="I1" s="206"/>
      <c r="J1" s="206"/>
      <c r="K1" s="206"/>
      <c r="L1" s="206"/>
      <c r="M1" s="206"/>
      <c r="N1" s="206"/>
      <c r="O1" s="206"/>
      <c r="P1" s="206"/>
      <c r="Q1" s="1" t="str">
        <f>VLOOKUP("tVersion",tblTrans3Langs[],LangFieldID,FALSE)</f>
        <v>Version</v>
      </c>
      <c r="R1" s="2" t="str">
        <f>VLOOKUP("tLang",tblTrans3Langs[],LangFieldID,FALSE)</f>
        <v>Language</v>
      </c>
    </row>
    <row r="2" spans="1:18" s="46" customFormat="1" ht="14.15" x14ac:dyDescent="0.3">
      <c r="A2" s="204"/>
      <c r="B2" s="205"/>
      <c r="C2" s="207" t="str">
        <f>VLOOKUP("T01",tblTrans3Langs[],LangFieldID,FALSE)&amp;": "&amp;VLOOKUP("T01",tblTrans3Langs[],LangNameID,FALSE)</f>
        <v>ICCAT: INTERNATIONAL COMMISSION FOR THE CONSERVATION OF ATLANTIC TUNAS</v>
      </c>
      <c r="D2" s="207"/>
      <c r="E2" s="207"/>
      <c r="F2" s="207"/>
      <c r="G2" s="207"/>
      <c r="H2" s="207"/>
      <c r="I2" s="207"/>
      <c r="J2" s="207"/>
      <c r="K2" s="207"/>
      <c r="L2" s="207"/>
      <c r="M2" s="207"/>
      <c r="N2" s="207"/>
      <c r="O2" s="207"/>
      <c r="P2" s="207"/>
      <c r="Q2" s="3" t="s">
        <v>1074</v>
      </c>
      <c r="R2" s="6" t="s">
        <v>952</v>
      </c>
    </row>
    <row r="3" spans="1:18" s="14" customFormat="1" ht="10.75" x14ac:dyDescent="0.3">
      <c r="A3" s="208"/>
      <c r="B3" s="208"/>
      <c r="C3" s="208"/>
      <c r="D3" s="208"/>
      <c r="E3" s="208"/>
      <c r="F3" s="208"/>
      <c r="G3" s="208"/>
      <c r="H3" s="208"/>
      <c r="I3" s="102"/>
      <c r="J3" s="102"/>
      <c r="K3" s="102"/>
      <c r="L3" s="102"/>
      <c r="M3" s="102"/>
      <c r="N3" s="102"/>
      <c r="O3" s="102"/>
      <c r="P3" s="102"/>
      <c r="Q3" s="102"/>
      <c r="R3" s="102"/>
    </row>
    <row r="4" spans="1:18" s="14" customFormat="1" ht="10.75" x14ac:dyDescent="0.3">
      <c r="A4" s="209" t="str">
        <f>VLOOKUP("H10",tblTrans3Langs[],LangFieldID,FALSE)</f>
        <v>Statistical correspondent</v>
      </c>
      <c r="B4" s="210"/>
      <c r="C4" s="210"/>
      <c r="D4" s="210"/>
      <c r="E4" s="210"/>
      <c r="F4" s="210"/>
      <c r="G4" s="210"/>
      <c r="H4" s="210"/>
      <c r="I4" s="210"/>
      <c r="J4" s="16" t="str">
        <f>IF(AND(C5&gt;0,C6&gt;0,G6&gt;0,C7&gt;0,C8&gt;0,C9&gt;0,G9&gt;0),"ok","inc")</f>
        <v>inc</v>
      </c>
      <c r="K4" s="211" t="str">
        <f>VLOOKUP("H20",tblTrans3Langs[],LangFieldID,FALSE)</f>
        <v>Secretariat use only</v>
      </c>
      <c r="L4" s="212"/>
      <c r="M4" s="212"/>
      <c r="N4" s="212"/>
      <c r="O4" s="212"/>
      <c r="P4" s="213" t="str">
        <f>VLOOKUP("H21",tblTrans3Langs[],LangFieldID,FALSE)</f>
        <v>Filtering criteria</v>
      </c>
      <c r="Q4" s="213"/>
      <c r="R4" s="214"/>
    </row>
    <row r="5" spans="1:18" s="14" customFormat="1" ht="10.75" x14ac:dyDescent="0.3">
      <c r="A5" s="17" t="str">
        <f>VLOOKUP("H11",tblTrans3Langs[],LangFieldID,FALSE)</f>
        <v>Identification</v>
      </c>
      <c r="B5" s="149" t="str">
        <f>VLOOKUP("hName",tblTrans3Langs[],LangFieldID,FALSE)</f>
        <v>Name</v>
      </c>
      <c r="C5" s="224"/>
      <c r="D5" s="224"/>
      <c r="E5" s="224"/>
      <c r="F5" s="224"/>
      <c r="G5" s="224"/>
      <c r="H5" s="224"/>
      <c r="I5" s="224"/>
      <c r="J5" s="18"/>
      <c r="K5" s="225" t="str">
        <f>VLOOKUP("hDaterep",tblTrans3Langs[],LangFieldID,FALSE)</f>
        <v>Date reported</v>
      </c>
      <c r="L5" s="226"/>
      <c r="M5" s="233"/>
      <c r="N5" s="233"/>
      <c r="O5" s="18"/>
      <c r="P5" s="18"/>
      <c r="Q5" s="19" t="str">
        <f>VLOOKUP("hFilter1",tblTrans3Langs[],LangFieldID,FALSE)</f>
        <v>Filter 1</v>
      </c>
      <c r="R5" s="19" t="str">
        <f>VLOOKUP("hFilter2",tblTrans3Langs[],LangFieldID,FALSE)</f>
        <v>Filter 2</v>
      </c>
    </row>
    <row r="6" spans="1:18" s="14" customFormat="1" ht="10.75" x14ac:dyDescent="0.3">
      <c r="A6" s="20"/>
      <c r="B6" s="149" t="str">
        <f>VLOOKUP("hEmail",tblTrans3Langs[],LangFieldID,FALSE)</f>
        <v>E-mail</v>
      </c>
      <c r="C6" s="227"/>
      <c r="D6" s="228"/>
      <c r="E6" s="228"/>
      <c r="F6" s="149" t="str">
        <f>VLOOKUP("hPhone",tblTrans3Langs[],LangFieldID,FALSE)</f>
        <v>Phone</v>
      </c>
      <c r="G6" s="229"/>
      <c r="H6" s="229"/>
      <c r="I6" s="229"/>
      <c r="J6" s="150"/>
      <c r="K6" s="225" t="str">
        <f>VLOOKUP("hRef",tblTrans3Langs[],LangFieldID,FALSE)</f>
        <v>Reference Nº</v>
      </c>
      <c r="L6" s="226"/>
      <c r="M6" s="234"/>
      <c r="N6" s="234"/>
      <c r="O6" s="18"/>
      <c r="P6" s="21" t="s">
        <v>589</v>
      </c>
      <c r="Q6" s="198">
        <v>0</v>
      </c>
      <c r="R6" s="230" t="s">
        <v>515</v>
      </c>
    </row>
    <row r="7" spans="1:18" s="14" customFormat="1" ht="10.75" x14ac:dyDescent="0.3">
      <c r="A7" s="22" t="str">
        <f>VLOOKUP("H12",tblTrans3Langs[],LangFieldID,FALSE)</f>
        <v>Affiliation</v>
      </c>
      <c r="B7" s="149" t="str">
        <f>VLOOKUP("hInstit",tblTrans3Langs[],LangFieldID,FALSE)</f>
        <v>Institution</v>
      </c>
      <c r="C7" s="224"/>
      <c r="D7" s="224"/>
      <c r="E7" s="224"/>
      <c r="F7" s="224"/>
      <c r="G7" s="23"/>
      <c r="H7" s="18"/>
      <c r="I7" s="24"/>
      <c r="J7" s="150"/>
      <c r="K7" s="25"/>
      <c r="L7" s="21" t="s">
        <v>924</v>
      </c>
      <c r="M7" s="147"/>
      <c r="N7" s="18"/>
      <c r="O7" s="26"/>
      <c r="P7" s="21" t="s">
        <v>590</v>
      </c>
      <c r="Q7" s="199">
        <v>0</v>
      </c>
      <c r="R7" s="231"/>
    </row>
    <row r="8" spans="1:18" s="14" customFormat="1" ht="10.75" x14ac:dyDescent="0.3">
      <c r="A8" s="27"/>
      <c r="B8" s="149" t="str">
        <f>VLOOKUP("hDepart",tblTrans3Langs[],LangFieldID,FALSE)</f>
        <v>Department</v>
      </c>
      <c r="C8" s="224"/>
      <c r="D8" s="224"/>
      <c r="E8" s="224"/>
      <c r="F8" s="224"/>
      <c r="G8" s="23"/>
      <c r="H8" s="18"/>
      <c r="I8" s="24"/>
      <c r="J8" s="150"/>
      <c r="K8" s="200" t="str">
        <f>VLOOKUP("hFName",tblTrans3Langs[],LangFieldID,FALSE)</f>
        <v>File name (proposed)</v>
      </c>
      <c r="L8" s="201"/>
      <c r="M8" s="201"/>
      <c r="N8" s="201"/>
      <c r="O8" s="150"/>
      <c r="P8" s="21" t="s">
        <v>591</v>
      </c>
      <c r="Q8" s="199">
        <v>0</v>
      </c>
      <c r="R8" s="231"/>
    </row>
    <row r="9" spans="1:18" s="14" customFormat="1" ht="10.75" x14ac:dyDescent="0.3">
      <c r="A9" s="28"/>
      <c r="B9" s="149" t="str">
        <f>VLOOKUP("hAddress",tblTrans3Langs[],LangFieldID,FALSE)</f>
        <v>Address</v>
      </c>
      <c r="C9" s="224"/>
      <c r="D9" s="224"/>
      <c r="E9" s="224"/>
      <c r="F9" s="29" t="str">
        <f>VLOOKUP("hCountry",tblTrans3Langs[],LangFieldID,FALSE)</f>
        <v>Country</v>
      </c>
      <c r="G9" s="235"/>
      <c r="H9" s="235"/>
      <c r="I9" s="235"/>
      <c r="J9" s="18"/>
      <c r="K9" s="236" t="str">
        <f>IF(AND(J4="ok",J11="ok"),"ST08_"&amp;E12&amp;C13&amp;LEFT(C17,1)&amp;"-"&amp;LEFT(C19,2)&amp;"#"&amp;M6&amp;".xlsx","")</f>
        <v/>
      </c>
      <c r="L9" s="237"/>
      <c r="M9" s="237"/>
      <c r="N9" s="237"/>
      <c r="O9" s="150"/>
      <c r="P9" s="21" t="s">
        <v>592</v>
      </c>
      <c r="Q9" s="159"/>
      <c r="R9" s="231"/>
    </row>
    <row r="10" spans="1:18" s="14" customFormat="1" ht="10.75" x14ac:dyDescent="0.3">
      <c r="A10" s="30"/>
      <c r="B10" s="31"/>
      <c r="C10" s="31"/>
      <c r="D10" s="31"/>
      <c r="E10" s="31"/>
      <c r="F10" s="31"/>
      <c r="G10" s="31"/>
      <c r="H10" s="31"/>
      <c r="I10" s="32"/>
      <c r="J10" s="33"/>
      <c r="K10" s="34"/>
      <c r="L10" s="31"/>
      <c r="M10" s="31"/>
      <c r="N10" s="31"/>
      <c r="O10" s="33"/>
      <c r="P10" s="33"/>
      <c r="Q10" s="160"/>
      <c r="R10" s="232"/>
    </row>
    <row r="11" spans="1:18" s="14" customFormat="1" ht="10.75" x14ac:dyDescent="0.3">
      <c r="A11" s="209" t="str">
        <f>VLOOKUP("H30",tblTrans3Langs[],LangFieldID,FALSE)</f>
        <v>Data set characteristics</v>
      </c>
      <c r="B11" s="210"/>
      <c r="C11" s="210"/>
      <c r="D11" s="210"/>
      <c r="E11" s="210"/>
      <c r="F11" s="252"/>
      <c r="G11" s="252"/>
      <c r="H11" s="252"/>
      <c r="I11" s="252"/>
      <c r="J11" s="16" t="str">
        <f>IF(E12="","inc",IF(AND(C13&gt;0,C17&gt;0,C18&gt;0),"ok","inc"))</f>
        <v>inc</v>
      </c>
      <c r="K11" s="222" t="str">
        <f>VLOOKUP("hNotes",tblTrans3Langs[],LangFieldID,FALSE)</f>
        <v>Notes</v>
      </c>
      <c r="L11" s="222"/>
      <c r="M11" s="222"/>
      <c r="N11" s="222"/>
      <c r="O11" s="222"/>
      <c r="P11" s="222"/>
      <c r="Q11" s="222"/>
      <c r="R11" s="223"/>
    </row>
    <row r="12" spans="1:18" s="14" customFormat="1" ht="12.15" customHeight="1" x14ac:dyDescent="0.3">
      <c r="A12" s="247" t="str">
        <f>VLOOKUP("hFlagrep",tblTrans3Langs[],LangFieldID,FALSE)</f>
        <v>Reporting Flag</v>
      </c>
      <c r="B12" s="248"/>
      <c r="C12" s="224"/>
      <c r="D12" s="224"/>
      <c r="E12" s="150" t="str">
        <f>IFERROR(IF(C12&gt;0,VLOOKUP(C12,Codes!A3:B175,2,FALSE),""),"")</f>
        <v/>
      </c>
      <c r="F12" s="215"/>
      <c r="G12" s="215"/>
      <c r="H12" s="215"/>
      <c r="I12" s="215"/>
      <c r="J12" s="156"/>
      <c r="K12" s="250"/>
      <c r="L12" s="250"/>
      <c r="M12" s="250"/>
      <c r="N12" s="250"/>
      <c r="O12" s="250"/>
      <c r="P12" s="250"/>
      <c r="Q12" s="250"/>
      <c r="R12" s="251"/>
    </row>
    <row r="13" spans="1:18" s="14" customFormat="1" ht="12.15" customHeight="1" x14ac:dyDescent="0.3">
      <c r="A13" s="225" t="str">
        <f>VLOOKUP("hYearC",tblTrans3Langs[],LangFieldID,FALSE)</f>
        <v>Calendar year</v>
      </c>
      <c r="B13" s="226"/>
      <c r="C13" s="144"/>
      <c r="D13" s="150"/>
      <c r="E13" s="150"/>
      <c r="F13" s="215"/>
      <c r="G13" s="215"/>
      <c r="H13" s="215"/>
      <c r="I13" s="215"/>
      <c r="J13" s="45"/>
      <c r="K13" s="250"/>
      <c r="L13" s="250"/>
      <c r="M13" s="250"/>
      <c r="N13" s="250"/>
      <c r="O13" s="250"/>
      <c r="P13" s="250"/>
      <c r="Q13" s="250"/>
      <c r="R13" s="251"/>
    </row>
    <row r="14" spans="1:18" s="14" customFormat="1" ht="11.15" thickBot="1" x14ac:dyDescent="0.35">
      <c r="A14" s="27"/>
      <c r="B14" s="18"/>
      <c r="C14" s="18"/>
      <c r="D14" s="150"/>
      <c r="E14" s="24"/>
      <c r="F14" s="67"/>
      <c r="G14" s="67"/>
      <c r="H14" s="67"/>
      <c r="I14" s="67"/>
      <c r="J14" s="45"/>
      <c r="K14" s="250"/>
      <c r="L14" s="250"/>
      <c r="M14" s="250"/>
      <c r="N14" s="250"/>
      <c r="O14" s="250"/>
      <c r="P14" s="250"/>
      <c r="Q14" s="250"/>
      <c r="R14" s="251"/>
    </row>
    <row r="15" spans="1:18" s="14" customFormat="1" ht="11.15" thickTop="1" x14ac:dyDescent="0.3">
      <c r="A15" s="177"/>
      <c r="B15" s="177"/>
      <c r="C15" s="177"/>
      <c r="D15" s="177"/>
      <c r="E15" s="24"/>
      <c r="F15" s="220" t="str">
        <f>VLOOKUP("T05",tblTrans3Langs[],LangFieldID,FALSE)</f>
        <v>ST08B</v>
      </c>
      <c r="G15" s="216" t="str">
        <f>VLOOKUP("T05",tblTrans3Langs[],LangNameID,FALSE)</f>
        <v>FAD/Beacon density monthly report</v>
      </c>
      <c r="H15" s="216"/>
      <c r="I15" s="217"/>
      <c r="J15" s="45"/>
      <c r="K15" s="250"/>
      <c r="L15" s="250"/>
      <c r="M15" s="250"/>
      <c r="N15" s="250"/>
      <c r="O15" s="250"/>
      <c r="P15" s="250"/>
      <c r="Q15" s="250"/>
      <c r="R15" s="251"/>
    </row>
    <row r="16" spans="1:18" s="14" customFormat="1" ht="12.15" customHeight="1" thickBot="1" x14ac:dyDescent="0.35">
      <c r="A16" s="177"/>
      <c r="B16" s="177"/>
      <c r="C16" s="177"/>
      <c r="D16" s="177"/>
      <c r="E16" s="24"/>
      <c r="F16" s="221"/>
      <c r="G16" s="218"/>
      <c r="H16" s="218"/>
      <c r="I16" s="219"/>
      <c r="J16" s="45"/>
      <c r="K16" s="250"/>
      <c r="L16" s="250"/>
      <c r="M16" s="250"/>
      <c r="N16" s="250"/>
      <c r="O16" s="250"/>
      <c r="P16" s="250"/>
      <c r="Q16" s="250"/>
      <c r="R16" s="251"/>
    </row>
    <row r="17" spans="1:18" s="14" customFormat="1" ht="12.15" customHeight="1" thickTop="1" x14ac:dyDescent="0.3">
      <c r="A17" s="247" t="str">
        <f>VLOOKUP("hVersion",tblTrans3Langs[],LangFieldID,FALSE)</f>
        <v>Version reported</v>
      </c>
      <c r="B17" s="248"/>
      <c r="C17" s="224"/>
      <c r="D17" s="224"/>
      <c r="E17" s="24"/>
      <c r="F17" s="157"/>
      <c r="G17" s="158"/>
      <c r="H17" s="158"/>
      <c r="I17" s="158"/>
      <c r="J17" s="45"/>
      <c r="K17" s="250"/>
      <c r="L17" s="250"/>
      <c r="M17" s="250"/>
      <c r="N17" s="250"/>
      <c r="O17" s="250"/>
      <c r="P17" s="250"/>
      <c r="Q17" s="250"/>
      <c r="R17" s="251"/>
    </row>
    <row r="18" spans="1:18" s="14" customFormat="1" ht="12.15" customHeight="1" x14ac:dyDescent="0.3">
      <c r="A18" s="247" t="str">
        <f>VLOOKUP("hContent",tblTrans3Langs[],LangFieldID,FALSE)</f>
        <v>Content (data)</v>
      </c>
      <c r="B18" s="248"/>
      <c r="C18" s="246"/>
      <c r="D18" s="246"/>
      <c r="E18" s="24"/>
      <c r="F18" s="157"/>
      <c r="G18" s="158"/>
      <c r="H18" s="158"/>
      <c r="I18" s="158"/>
      <c r="J18" s="45"/>
      <c r="K18" s="250"/>
      <c r="L18" s="250"/>
      <c r="M18" s="250"/>
      <c r="N18" s="250"/>
      <c r="O18" s="250"/>
      <c r="P18" s="250"/>
      <c r="Q18" s="250"/>
      <c r="R18" s="251"/>
    </row>
    <row r="19" spans="1:18" s="14" customFormat="1" ht="10.75" x14ac:dyDescent="0.3">
      <c r="A19" s="30"/>
      <c r="B19" s="35"/>
      <c r="C19" s="249" t="str">
        <f>IF(C18&gt;0,VLOOKUP(C18,Codes!$H$38:$J$41,3,FALSE) &amp; ": "&amp; VLOOKUP(C18,Codes!$H$38:$J$41,2,FALSE),"")</f>
        <v/>
      </c>
      <c r="D19" s="249"/>
      <c r="E19" s="249"/>
      <c r="F19" s="249"/>
      <c r="G19" s="249"/>
      <c r="H19" s="249"/>
      <c r="I19" s="72"/>
      <c r="J19" s="36"/>
      <c r="K19" s="73"/>
      <c r="L19" s="73"/>
      <c r="M19" s="73"/>
      <c r="N19" s="73"/>
      <c r="O19" s="73"/>
      <c r="P19" s="73"/>
      <c r="Q19" s="73"/>
      <c r="R19" s="74"/>
    </row>
    <row r="20" spans="1:18" s="14" customFormat="1" ht="10.75" x14ac:dyDescent="0.3">
      <c r="C20" s="102"/>
    </row>
    <row r="21" spans="1:18" s="14" customFormat="1" ht="10.75" x14ac:dyDescent="0.3">
      <c r="A21" s="238" t="str">
        <f>VLOOKUP("D00",tblTrans3Langs[],LangFieldID,FALSE) &amp; ": " &amp;VLOOKUP("D00",tblTrans3Langs[],LangNameID,FALSE)</f>
        <v>Detail: Complete this section for each vessel FAD/Beacon deployment operation by month and 1x1 squares</v>
      </c>
      <c r="B21" s="239"/>
      <c r="C21" s="239"/>
      <c r="D21" s="239"/>
      <c r="E21" s="239"/>
      <c r="F21" s="239"/>
      <c r="G21" s="239"/>
      <c r="H21" s="239"/>
      <c r="I21" s="239"/>
      <c r="J21" s="239"/>
      <c r="K21" s="239"/>
      <c r="L21" s="240"/>
      <c r="M21" s="143"/>
      <c r="N21" s="143"/>
    </row>
    <row r="22" spans="1:18" s="4" customFormat="1" ht="11.25" customHeight="1" x14ac:dyDescent="0.3">
      <c r="A22" s="241" t="str">
        <f>VLOOKUP("D10",tblTrans3Langs[],LangFieldID,FALSE)</f>
        <v>Vessel attributes</v>
      </c>
      <c r="B22" s="242"/>
      <c r="C22" s="242"/>
      <c r="D22" s="242"/>
      <c r="E22" s="243" t="str">
        <f>VLOOKUP("D20",tblTrans3Langs[],LangFieldID,FALSE)</f>
        <v>Deployment (NEW FADs) details by vessel/month/1x1</v>
      </c>
      <c r="F22" s="245"/>
      <c r="G22" s="245"/>
      <c r="H22" s="245"/>
      <c r="I22" s="245"/>
      <c r="J22" s="245"/>
      <c r="K22" s="243" t="str">
        <f>VLOOKUP("D30",tblTrans3Langs[],LangFieldID,FALSE)</f>
        <v>Losses &amp; Transfers by vessel/month/1x1</v>
      </c>
      <c r="L22" s="244"/>
      <c r="M22" s="93"/>
      <c r="N22" s="99"/>
      <c r="P22" s="55"/>
    </row>
    <row r="23" spans="1:18" s="5" customFormat="1" ht="21.15" customHeight="1" x14ac:dyDescent="0.3">
      <c r="A23" s="101" t="str">
        <f>VLOOKUP(A$25,tblTrans3Langs[],LangFieldID,FALSE)</f>
        <v>ICCAT Serial number</v>
      </c>
      <c r="B23" s="101" t="str">
        <f>VLOOKUP(B$25,tblTrans3Langs[],LangFieldID,FALSE)</f>
        <v>Vessel Name</v>
      </c>
      <c r="C23" s="103" t="str">
        <f>VLOOKUP(C$25,tblTrans3Langs[],LangFieldID,FALSE)</f>
        <v>Vessel type (cod)</v>
      </c>
      <c r="D23" s="103" t="str">
        <f>VLOOKUP(D$25,tblTrans3Langs[],LangFieldID,FALSE)</f>
        <v>Flag of vessel (cod)</v>
      </c>
      <c r="E23" s="101" t="str">
        <f>VLOOKUP(E$25,tblTrans3Langs[],LangFieldID,FALSE)</f>
        <v>Month</v>
      </c>
      <c r="F23" s="101" t="str">
        <f>VLOOKUP(F$25,tblTrans3Langs[],LangFieldID,FALSE)</f>
        <v>Latitude (+N/-S)</v>
      </c>
      <c r="G23" s="101" t="str">
        <f>VLOOKUP(G$25,tblTrans3Langs[],LangFieldID,FALSE)</f>
        <v>Longitude (+E/-W)</v>
      </c>
      <c r="H23" s="103" t="str">
        <f>VLOOKUP(H$25,tblTrans3Langs[],LangFieldID,FALSE)</f>
        <v>FAD type (cod)</v>
      </c>
      <c r="I23" s="104" t="str">
        <f>VLOOKUP(I$25,tblTrans3Langs[],LangFieldID,FALSE)</f>
        <v>Beacon/buoy type (cod)</v>
      </c>
      <c r="J23" s="101" t="str">
        <f>VLOOKUP(J$25,tblTrans3Langs[],LangFieldID,FALSE)</f>
        <v>Nº FADs deployed</v>
      </c>
      <c r="K23" s="101" t="str">
        <f>VLOOKUP(K$25,tblTrans3Langs[],LangFieldID,FALSE)</f>
        <v>Nº FADs lost</v>
      </c>
      <c r="L23" s="101" t="str">
        <f>VLOOKUP(L$25,tblTrans3Langs[],LangFieldID,FALSE)</f>
        <v>Nº FADs transferred (from other vessels)</v>
      </c>
    </row>
    <row r="24" spans="1:18" s="14" customFormat="1" ht="11.25" customHeight="1" x14ac:dyDescent="0.3">
      <c r="A24" s="37" t="str">
        <f>REPT("+",13)</f>
        <v>+++++++++++++</v>
      </c>
      <c r="B24" s="37" t="str">
        <f>REPT("+",30)</f>
        <v>++++++++++++++++++++++++++++++</v>
      </c>
      <c r="C24" s="37" t="str">
        <f>REPT("+",8)</f>
        <v>++++++++</v>
      </c>
      <c r="D24" s="37" t="str">
        <f t="shared" ref="D24:L24" si="0">REPT("+",8)</f>
        <v>++++++++</v>
      </c>
      <c r="E24" s="37" t="str">
        <f t="shared" si="0"/>
        <v>++++++++</v>
      </c>
      <c r="F24" s="37" t="str">
        <f t="shared" si="0"/>
        <v>++++++++</v>
      </c>
      <c r="G24" s="37" t="str">
        <f t="shared" si="0"/>
        <v>++++++++</v>
      </c>
      <c r="H24" s="37" t="str">
        <f t="shared" si="0"/>
        <v>++++++++</v>
      </c>
      <c r="I24" s="37" t="str">
        <f t="shared" si="0"/>
        <v>++++++++</v>
      </c>
      <c r="J24" s="37" t="str">
        <f t="shared" si="0"/>
        <v>++++++++</v>
      </c>
      <c r="K24" s="37" t="str">
        <f t="shared" si="0"/>
        <v>++++++++</v>
      </c>
      <c r="L24" s="37" t="str">
        <f t="shared" si="0"/>
        <v>++++++++</v>
      </c>
    </row>
    <row r="25" spans="1:18" s="4" customFormat="1" ht="10.75" x14ac:dyDescent="0.3">
      <c r="A25" s="139" t="s">
        <v>689</v>
      </c>
      <c r="B25" s="139" t="s">
        <v>695</v>
      </c>
      <c r="C25" s="139" t="s">
        <v>753</v>
      </c>
      <c r="D25" s="139" t="s">
        <v>696</v>
      </c>
      <c r="E25" s="139" t="s">
        <v>711</v>
      </c>
      <c r="F25" s="139" t="s">
        <v>971</v>
      </c>
      <c r="G25" s="139" t="s">
        <v>973</v>
      </c>
      <c r="H25" s="139" t="s">
        <v>754</v>
      </c>
      <c r="I25" s="140" t="s">
        <v>839</v>
      </c>
      <c r="J25" s="139" t="s">
        <v>793</v>
      </c>
      <c r="K25" s="139" t="s">
        <v>794</v>
      </c>
      <c r="L25" s="139" t="s">
        <v>795</v>
      </c>
      <c r="M25" s="76"/>
      <c r="N25" s="77"/>
      <c r="R25" s="14"/>
    </row>
    <row r="26" spans="1:18" s="105" customFormat="1" ht="10.75" x14ac:dyDescent="0.3">
      <c r="A26" s="144"/>
      <c r="B26" s="144"/>
      <c r="C26" s="144"/>
      <c r="D26" s="144"/>
      <c r="E26" s="131"/>
      <c r="F26" s="144"/>
      <c r="G26" s="144"/>
      <c r="H26" s="144"/>
      <c r="I26" s="144"/>
      <c r="J26" s="144"/>
      <c r="K26" s="144"/>
      <c r="L26" s="144"/>
    </row>
    <row r="27" spans="1:18" s="105" customFormat="1" ht="11.25" customHeight="1" x14ac:dyDescent="0.3">
      <c r="A27" s="144"/>
      <c r="B27" s="144"/>
      <c r="C27" s="144"/>
      <c r="D27" s="144"/>
      <c r="E27" s="131"/>
      <c r="F27" s="144"/>
      <c r="G27" s="144"/>
      <c r="H27" s="144"/>
      <c r="I27" s="144"/>
      <c r="J27" s="144"/>
      <c r="K27" s="144"/>
      <c r="L27" s="144"/>
    </row>
    <row r="28" spans="1:18" s="105" customFormat="1" ht="11.25" customHeight="1" x14ac:dyDescent="0.3">
      <c r="A28" s="144"/>
      <c r="B28" s="144"/>
      <c r="C28" s="144"/>
      <c r="D28" s="144"/>
      <c r="E28" s="131"/>
      <c r="F28" s="144"/>
      <c r="G28" s="144"/>
      <c r="H28" s="144"/>
      <c r="I28" s="144"/>
      <c r="J28" s="144"/>
      <c r="K28" s="144"/>
      <c r="L28" s="144"/>
    </row>
    <row r="29" spans="1:18" s="105" customFormat="1" ht="11.25" customHeight="1" x14ac:dyDescent="0.3">
      <c r="A29" s="144"/>
      <c r="B29" s="144"/>
      <c r="C29" s="144"/>
      <c r="D29" s="144"/>
      <c r="E29" s="131"/>
      <c r="F29" s="144"/>
      <c r="G29" s="144"/>
      <c r="H29" s="144"/>
      <c r="I29" s="144"/>
      <c r="J29" s="144"/>
      <c r="K29" s="144"/>
      <c r="L29" s="144"/>
    </row>
    <row r="30" spans="1:18" s="105" customFormat="1" ht="11.25" customHeight="1" x14ac:dyDescent="0.3">
      <c r="A30" s="144"/>
      <c r="B30" s="144"/>
      <c r="C30" s="144"/>
      <c r="D30" s="144"/>
      <c r="E30" s="131"/>
      <c r="F30" s="144"/>
      <c r="G30" s="144"/>
      <c r="H30" s="144"/>
      <c r="I30" s="144"/>
      <c r="J30" s="144"/>
      <c r="K30" s="144"/>
      <c r="L30" s="144"/>
    </row>
    <row r="31" spans="1:18" s="105" customFormat="1" ht="11.25" customHeight="1" x14ac:dyDescent="0.3">
      <c r="A31" s="144"/>
      <c r="B31" s="144"/>
      <c r="C31" s="144"/>
      <c r="D31" s="144"/>
      <c r="E31" s="131"/>
      <c r="F31" s="144"/>
      <c r="G31" s="144"/>
      <c r="H31" s="144"/>
      <c r="I31" s="144"/>
      <c r="J31" s="144"/>
      <c r="K31" s="144"/>
      <c r="L31" s="144"/>
    </row>
    <row r="32" spans="1:18" s="105" customFormat="1" ht="11.25" customHeight="1" x14ac:dyDescent="0.3">
      <c r="A32" s="144"/>
      <c r="B32" s="144"/>
      <c r="C32" s="144"/>
      <c r="D32" s="144"/>
      <c r="E32" s="131"/>
      <c r="F32" s="144"/>
      <c r="G32" s="144"/>
      <c r="H32" s="144"/>
      <c r="I32" s="144"/>
      <c r="J32" s="144"/>
      <c r="K32" s="144"/>
      <c r="L32" s="144"/>
    </row>
    <row r="33" spans="1:18" s="105" customFormat="1" ht="11.25" customHeight="1" x14ac:dyDescent="0.3">
      <c r="A33" s="144"/>
      <c r="B33" s="144"/>
      <c r="C33" s="144"/>
      <c r="D33" s="144"/>
      <c r="E33" s="131"/>
      <c r="F33" s="144"/>
      <c r="G33" s="144"/>
      <c r="H33" s="144"/>
      <c r="I33" s="144"/>
      <c r="J33" s="144"/>
      <c r="K33" s="144"/>
      <c r="L33" s="144"/>
    </row>
    <row r="34" spans="1:18" s="105" customFormat="1" ht="11.25" customHeight="1" x14ac:dyDescent="0.3">
      <c r="A34" s="144"/>
      <c r="B34" s="144"/>
      <c r="C34" s="144"/>
      <c r="D34" s="144"/>
      <c r="E34" s="131"/>
      <c r="F34" s="144"/>
      <c r="G34" s="144"/>
      <c r="H34" s="144"/>
      <c r="I34" s="144"/>
      <c r="J34" s="144"/>
      <c r="K34" s="144"/>
      <c r="L34" s="144"/>
    </row>
    <row r="35" spans="1:18" s="105" customFormat="1" ht="10.75" x14ac:dyDescent="0.3">
      <c r="A35" s="144"/>
      <c r="B35" s="144"/>
      <c r="C35" s="144"/>
      <c r="D35" s="144"/>
      <c r="E35" s="131"/>
      <c r="F35" s="144"/>
      <c r="G35" s="144"/>
      <c r="H35" s="144"/>
      <c r="I35" s="144"/>
      <c r="J35" s="144"/>
      <c r="K35" s="144"/>
      <c r="L35" s="144"/>
    </row>
    <row r="36" spans="1:18" s="105" customFormat="1" ht="10.75" x14ac:dyDescent="0.3">
      <c r="A36" s="144"/>
      <c r="B36" s="144"/>
      <c r="C36" s="144"/>
      <c r="D36" s="144"/>
      <c r="E36" s="131"/>
      <c r="F36" s="144"/>
      <c r="G36" s="144"/>
      <c r="H36" s="144"/>
      <c r="I36" s="144"/>
      <c r="J36" s="144"/>
      <c r="K36" s="144"/>
      <c r="L36" s="144"/>
    </row>
    <row r="37" spans="1:18" s="105" customFormat="1" ht="10.75" x14ac:dyDescent="0.3">
      <c r="A37" s="144"/>
      <c r="B37" s="144"/>
      <c r="C37" s="144"/>
      <c r="D37" s="144"/>
      <c r="E37" s="131"/>
      <c r="F37" s="144"/>
      <c r="G37" s="144"/>
      <c r="H37" s="144"/>
      <c r="I37" s="144"/>
      <c r="J37" s="144"/>
      <c r="K37" s="144"/>
      <c r="L37" s="144"/>
      <c r="R37" s="145"/>
    </row>
    <row r="38" spans="1:18" s="105" customFormat="1" ht="10.75" x14ac:dyDescent="0.3">
      <c r="A38" s="144"/>
      <c r="B38" s="144"/>
      <c r="C38" s="144"/>
      <c r="D38" s="144"/>
      <c r="E38" s="131"/>
      <c r="F38" s="144"/>
      <c r="G38" s="144"/>
      <c r="H38" s="144"/>
      <c r="I38" s="144"/>
      <c r="J38" s="144"/>
      <c r="K38" s="144"/>
      <c r="L38" s="144"/>
      <c r="R38" s="146"/>
    </row>
    <row r="39" spans="1:18" s="105" customFormat="1" ht="10.75" x14ac:dyDescent="0.3">
      <c r="A39" s="144"/>
      <c r="B39" s="144"/>
      <c r="C39" s="144"/>
      <c r="D39" s="144"/>
      <c r="E39" s="131"/>
      <c r="F39" s="144"/>
      <c r="G39" s="144"/>
      <c r="H39" s="144"/>
      <c r="I39" s="144"/>
      <c r="J39" s="144"/>
      <c r="K39" s="144"/>
      <c r="L39" s="144"/>
    </row>
    <row r="40" spans="1:18" s="105" customFormat="1" ht="10.75" x14ac:dyDescent="0.3">
      <c r="A40" s="144"/>
      <c r="B40" s="144"/>
      <c r="C40" s="144"/>
      <c r="D40" s="144"/>
      <c r="E40" s="131"/>
      <c r="F40" s="144"/>
      <c r="G40" s="144"/>
      <c r="H40" s="144"/>
      <c r="I40" s="144"/>
      <c r="J40" s="144"/>
      <c r="K40" s="144"/>
      <c r="L40" s="144"/>
    </row>
    <row r="41" spans="1:18" s="105" customFormat="1" ht="10.75" x14ac:dyDescent="0.3">
      <c r="A41" s="144"/>
      <c r="B41" s="144"/>
      <c r="C41" s="144"/>
      <c r="D41" s="144"/>
      <c r="E41" s="131"/>
      <c r="F41" s="144"/>
      <c r="G41" s="144"/>
      <c r="H41" s="144"/>
      <c r="I41" s="144"/>
      <c r="J41" s="144"/>
      <c r="K41" s="144"/>
      <c r="L41" s="144"/>
    </row>
    <row r="42" spans="1:18" s="105" customFormat="1" ht="10.75" x14ac:dyDescent="0.3">
      <c r="A42" s="178"/>
      <c r="B42" s="178"/>
      <c r="C42" s="178"/>
      <c r="D42" s="144"/>
      <c r="E42" s="131"/>
      <c r="F42" s="144"/>
      <c r="G42" s="144"/>
      <c r="H42" s="144"/>
      <c r="I42" s="144"/>
      <c r="J42" s="144"/>
      <c r="K42" s="144"/>
      <c r="L42" s="144"/>
    </row>
    <row r="43" spans="1:18" x14ac:dyDescent="0.3">
      <c r="A43" s="178"/>
      <c r="B43" s="178"/>
      <c r="C43" s="178"/>
      <c r="D43" s="144"/>
      <c r="E43" s="131"/>
      <c r="F43" s="144"/>
      <c r="G43" s="144"/>
      <c r="H43" s="144"/>
      <c r="I43" s="144"/>
      <c r="J43" s="144"/>
      <c r="K43" s="144"/>
      <c r="L43" s="144"/>
    </row>
    <row r="44" spans="1:18" x14ac:dyDescent="0.3">
      <c r="A44" s="178"/>
      <c r="B44" s="178"/>
      <c r="C44" s="178"/>
      <c r="D44" s="144"/>
      <c r="E44" s="131"/>
      <c r="F44" s="144"/>
      <c r="G44" s="144"/>
      <c r="H44" s="144"/>
      <c r="I44" s="144"/>
      <c r="J44" s="144"/>
      <c r="K44" s="144"/>
      <c r="L44" s="144"/>
    </row>
    <row r="45" spans="1:18" x14ac:dyDescent="0.3">
      <c r="A45" s="178"/>
      <c r="B45" s="178"/>
      <c r="C45" s="178"/>
      <c r="D45" s="144"/>
      <c r="E45" s="131"/>
      <c r="F45" s="144"/>
      <c r="G45" s="144"/>
      <c r="H45" s="144"/>
      <c r="I45" s="144"/>
      <c r="J45" s="144"/>
      <c r="K45" s="144"/>
      <c r="L45" s="144"/>
    </row>
    <row r="46" spans="1:18" x14ac:dyDescent="0.3">
      <c r="A46" s="178"/>
      <c r="B46" s="178"/>
      <c r="C46" s="178"/>
      <c r="D46" s="144"/>
      <c r="E46" s="131"/>
      <c r="F46" s="144"/>
      <c r="G46" s="144"/>
      <c r="H46" s="144"/>
      <c r="I46" s="144"/>
      <c r="J46" s="144"/>
      <c r="K46" s="144"/>
      <c r="L46" s="144"/>
    </row>
    <row r="47" spans="1:18" x14ac:dyDescent="0.3">
      <c r="A47" s="178"/>
      <c r="B47" s="178"/>
      <c r="C47" s="178"/>
      <c r="D47" s="144"/>
      <c r="E47" s="131"/>
      <c r="F47" s="144"/>
      <c r="G47" s="144"/>
      <c r="H47" s="144"/>
      <c r="I47" s="144"/>
      <c r="J47" s="144"/>
      <c r="K47" s="144"/>
      <c r="L47" s="144"/>
    </row>
    <row r="48" spans="1:18" x14ac:dyDescent="0.3">
      <c r="A48" s="178"/>
      <c r="B48" s="178"/>
      <c r="C48" s="178"/>
      <c r="D48" s="144"/>
      <c r="E48" s="131"/>
      <c r="F48" s="144"/>
      <c r="G48" s="144"/>
      <c r="H48" s="144"/>
      <c r="I48" s="144"/>
      <c r="J48" s="144"/>
      <c r="K48" s="144"/>
      <c r="L48" s="144"/>
    </row>
    <row r="49" spans="1:12" x14ac:dyDescent="0.3">
      <c r="A49" s="178"/>
      <c r="B49" s="178"/>
      <c r="C49" s="178"/>
      <c r="D49" s="144"/>
      <c r="E49" s="131"/>
      <c r="F49" s="144"/>
      <c r="G49" s="144"/>
      <c r="H49" s="144"/>
      <c r="I49" s="144"/>
      <c r="J49" s="144"/>
      <c r="K49" s="144"/>
      <c r="L49" s="144"/>
    </row>
    <row r="50" spans="1:12" x14ac:dyDescent="0.3">
      <c r="A50" s="178"/>
      <c r="B50" s="178"/>
      <c r="C50" s="178"/>
      <c r="D50" s="144"/>
      <c r="E50" s="131"/>
      <c r="F50" s="144"/>
      <c r="G50" s="144"/>
      <c r="H50" s="144"/>
      <c r="I50" s="144"/>
      <c r="J50" s="144"/>
      <c r="K50" s="144"/>
      <c r="L50" s="144"/>
    </row>
  </sheetData>
  <sheetProtection algorithmName="SHA-512" hashValue="pp4E9ziJ32xV2F6drm4Yth4f2Tfw8/H8mLjfgyr7tKSsELFrwHzv3YC4ohs+wTqZqAmNWIOaIVPn1JUfVzC4IA==" saltValue="o8Bp50Q8iGfS2ggDc7hpdA==" spinCount="100000" sheet="1" formatCells="0" formatRows="0" insertRows="0" deleteRows="0" autoFilter="0"/>
  <dataConsolidate/>
  <mergeCells count="40">
    <mergeCell ref="K9:N9"/>
    <mergeCell ref="C17:D17"/>
    <mergeCell ref="A21:L21"/>
    <mergeCell ref="A22:D22"/>
    <mergeCell ref="K22:L22"/>
    <mergeCell ref="E22:J22"/>
    <mergeCell ref="C18:D18"/>
    <mergeCell ref="A18:B18"/>
    <mergeCell ref="C19:H19"/>
    <mergeCell ref="K12:R18"/>
    <mergeCell ref="A13:B13"/>
    <mergeCell ref="A17:B17"/>
    <mergeCell ref="A12:B12"/>
    <mergeCell ref="C12:D12"/>
    <mergeCell ref="F11:I11"/>
    <mergeCell ref="A11:E11"/>
    <mergeCell ref="F12:I13"/>
    <mergeCell ref="G15:I16"/>
    <mergeCell ref="F15:F16"/>
    <mergeCell ref="K11:R11"/>
    <mergeCell ref="C5:I5"/>
    <mergeCell ref="K5:L5"/>
    <mergeCell ref="C6:E6"/>
    <mergeCell ref="G6:I6"/>
    <mergeCell ref="R6:R10"/>
    <mergeCell ref="K6:L6"/>
    <mergeCell ref="C7:F7"/>
    <mergeCell ref="C8:F8"/>
    <mergeCell ref="C9:E9"/>
    <mergeCell ref="M5:N5"/>
    <mergeCell ref="M6:N6"/>
    <mergeCell ref="G9:I9"/>
    <mergeCell ref="K8:N8"/>
    <mergeCell ref="A1:B2"/>
    <mergeCell ref="C1:P1"/>
    <mergeCell ref="C2:P2"/>
    <mergeCell ref="A3:H3"/>
    <mergeCell ref="A4:I4"/>
    <mergeCell ref="K4:O4"/>
    <mergeCell ref="P4:R4"/>
  </mergeCells>
  <phoneticPr fontId="0" type="noConversion"/>
  <conditionalFormatting sqref="C5:I5 C6:E6 G6:I6 C7:F8 C9:E9 G9:I9 C12:D12 C13 C17:D18">
    <cfRule type="containsBlanks" dxfId="6" priority="5">
      <formula>LEN(TRIM(C5))=0</formula>
    </cfRule>
  </conditionalFormatting>
  <conditionalFormatting sqref="J4 J11">
    <cfRule type="containsText" dxfId="5" priority="4" operator="containsText" text="inc">
      <formula>NOT(ISERROR(SEARCH("inc",J4)))</formula>
    </cfRule>
  </conditionalFormatting>
  <conditionalFormatting sqref="J4 K9:N9 J11 C12">
    <cfRule type="containsErrors" dxfId="4" priority="1">
      <formula>ISERROR(C4)</formula>
    </cfRule>
  </conditionalFormatting>
  <conditionalFormatting sqref="K9:N9">
    <cfRule type="expression" dxfId="3" priority="2">
      <formula>LEN($C$12)=0</formula>
    </cfRule>
    <cfRule type="expression" dxfId="2" priority="3">
      <formula>LEN($K$9)=0</formula>
    </cfRule>
  </conditionalFormatting>
  <conditionalFormatting sqref="Q6:Q8">
    <cfRule type="cellIs" dxfId="1" priority="6" operator="equal">
      <formula>1</formula>
    </cfRule>
  </conditionalFormatting>
  <conditionalFormatting sqref="R6">
    <cfRule type="cellIs" dxfId="0" priority="7" operator="equal">
      <formula>1</formula>
    </cfRule>
  </conditionalFormatting>
  <dataValidations xWindow="1778" yWindow="665" count="23">
    <dataValidation type="list" allowBlank="1" errorTitle="Reporting Flag name not defined" error="Select a valid Reporting Flag name" promptTitle="Reporting Flag names" prompt="Select from the list" sqref="C12:D12" xr:uid="{00000000-0002-0000-0000-000000000000}">
      <formula1>FlagName</formula1>
    </dataValidation>
    <dataValidation type="list" allowBlank="1" showInputMessage="1" showErrorMessage="1" sqref="R2" xr:uid="{00000000-0002-0000-0000-000001000000}">
      <formula1>"ENG,FRA,ESP"</formula1>
    </dataValidation>
    <dataValidation type="list" allowBlank="1" showInputMessage="1" showErrorMessage="1" errorTitle="Version reported" error="Select a valid option" promptTitle="Version reported" prompt="Final or preliminary" sqref="C17:D17" xr:uid="{00000000-0002-0000-0000-000002000000}">
      <formula1>Version</formula1>
    </dataValidation>
    <dataValidation type="whole" allowBlank="1" showErrorMessage="1" errorTitle="Invalid year" error="Not between 1950 and Current Year" promptTitle="Year (4 digits)" prompt="between 1950 and Current Year" sqref="C13" xr:uid="{00000000-0002-0000-0000-000003000000}">
      <formula1>1950</formula1>
      <formula2>YEAR(NOW())-1</formula2>
    </dataValidation>
    <dataValidation type="list" allowBlank="1" showInputMessage="1" showErrorMessage="1" errorTitle="Country name not defined" error="Select a valid Country name" promptTitle="Country names" prompt="Select from the list" sqref="G9:I9" xr:uid="{00000000-0002-0000-0000-000004000000}">
      <formula1>FlagName</formula1>
    </dataValidation>
    <dataValidation type="list" allowBlank="1" showInputMessage="1" showErrorMessage="1" prompt="Yes if size sample collected" sqref="N26" xr:uid="{00000000-0002-0000-0000-000007000000}">
      <formula1>"No, Yes"</formula1>
    </dataValidation>
    <dataValidation type="textLength" allowBlank="1" showInputMessage="1" showErrorMessage="1" sqref="M6:N6" xr:uid="{00000000-0002-0000-0000-00000E000000}">
      <formula1>9</formula1>
      <formula2>9</formula2>
    </dataValidation>
    <dataValidation type="list" allowBlank="1" showInputMessage="1" showErrorMessage="1" promptTitle="Gear Code" prompt="Select Gear code" sqref="M26" xr:uid="{E443FAB7-A72A-4092-A2B1-F2F38F46CA62}">
      <formula1>ProdTypeCod</formula1>
    </dataValidation>
    <dataValidation type="textLength" allowBlank="1" showInputMessage="1" showErrorMessage="1" sqref="M7" xr:uid="{1ADF1B85-8225-4E29-B5AA-6CD0005EF729}">
      <formula1>2</formula1>
      <formula2>2</formula2>
    </dataValidation>
    <dataValidation type="date" operator="greaterThan" allowBlank="1" showInputMessage="1" showErrorMessage="1" sqref="M5:N5" xr:uid="{58D1C6A8-D8F5-452E-9A60-9E572D5DACCF}">
      <formula1>DATE(YEAR(NOW()),1,1)</formula1>
    </dataValidation>
    <dataValidation type="list" allowBlank="1" showInputMessage="1" showErrorMessage="1" sqref="C18:D18" xr:uid="{00000000-0002-0000-0000-000005000000}">
      <formula1>Content</formula1>
    </dataValidation>
    <dataValidation type="whole" allowBlank="1" showInputMessage="1" showErrorMessage="1" sqref="Q6:Q8" xr:uid="{C2111942-F722-4446-9A5D-009DFDB3D7BE}">
      <formula1>0</formula1>
      <formula2>1</formula2>
    </dataValidation>
    <dataValidation type="whole" allowBlank="1" showErrorMessage="1" errorTitle="Incorrect value" error="Integer month number" prompt="integer" sqref="E26:E50" xr:uid="{00000000-0002-0000-0000-000009000000}">
      <formula1>1</formula1>
      <formula2>12</formula2>
    </dataValidation>
    <dataValidation type="whole" operator="greaterThanOrEqual" allowBlank="1" showErrorMessage="1" promptTitle="N FAD/FOB transfer or reactivate" prompt="Integer number" sqref="L26:L50" xr:uid="{00000000-0002-0000-0000-00000C000000}">
      <formula1>0</formula1>
    </dataValidation>
    <dataValidation type="decimal" allowBlank="1" showInputMessage="1" showErrorMessage="1" error="Incorrect Latitude value" promptTitle="Latitude" prompt="+ North  - South" sqref="F26:F50" xr:uid="{F2F06383-1A16-4188-AA2D-C79A70928F48}">
      <formula1>-60</formula1>
      <formula2>60</formula2>
    </dataValidation>
    <dataValidation type="decimal" allowBlank="1" showInputMessage="1" showErrorMessage="1" error="Incorrect Lon value" promptTitle="Longitude" prompt="+ East  - West" sqref="G26:G50" xr:uid="{16B471CD-2B9D-40E8-9AA4-4EDB2A6F38D9}">
      <formula1>-95</formula1>
      <formula2>45</formula2>
    </dataValidation>
    <dataValidation type="whole" operator="greaterThanOrEqual" allowBlank="1" showInputMessage="1" showErrorMessage="1" promptTitle="Number of FADs" prompt="Number of new FAD/FOB deployed" sqref="J26:J50" xr:uid="{41AF0780-7C73-47D6-9AC0-43D26534372F}">
      <formula1>0</formula1>
    </dataValidation>
    <dataValidation type="whole" operator="greaterThanOrEqual" allowBlank="1" showInputMessage="1" showErrorMessage="1" promptTitle="Number lost FAD/Bouys" prompt="Integer number " sqref="K26:K50" xr:uid="{ECD289A2-DAAD-4EA9-BF92-5F894E0A83C2}">
      <formula1>0</formula1>
    </dataValidation>
    <dataValidation type="list" allowBlank="1" showInputMessage="1" showErrorMessage="1" promptTitle="Select current flag of Vessel" sqref="D26:D50" xr:uid="{85FDDCE3-F59D-4947-A6E8-340CDEF3523A}">
      <formula1>FlagA3ISO</formula1>
    </dataValidation>
    <dataValidation type="list" allowBlank="1" showInputMessage="1" showErrorMessage="1" promptTitle="Bouy Code" prompt="Select Bouy type code" sqref="I26:I50" xr:uid="{559F411C-7AA9-404C-A2B5-438BE9D906B8}">
      <formula1>BeaconTypeCode</formula1>
    </dataValidation>
    <dataValidation type="list" operator="greaterThan" allowBlank="1" showInputMessage="1" showErrorMessage="1" errorTitle="FAD type" promptTitle="Type of FAD/FOB" prompt="Select from the codes available" sqref="H26:H50" xr:uid="{063A3F0F-1421-493B-B642-3541F008F6EC}">
      <formula1>FadTypeCode</formula1>
    </dataValidation>
    <dataValidation type="textLength" allowBlank="1" showErrorMessage="1" sqref="A26:A50" xr:uid="{F6A1EFA2-83AA-4CD9-9FDD-CFAFE9898374}">
      <formula1>13</formula1>
      <formula2>13</formula2>
    </dataValidation>
    <dataValidation type="list" allowBlank="1" showErrorMessage="1" sqref="C26:C50" xr:uid="{1324ADAB-DF15-457E-9BF9-981DAF237CF4}">
      <formula1>VesselTypeCode</formula1>
    </dataValidation>
  </dataValidations>
  <hyperlinks>
    <hyperlink ref="A12:B12" location="FlagName" display="FlagName" xr:uid="{00000000-0004-0000-0000-000001000000}"/>
    <hyperlink ref="F9" location="FlagName" display="FlagName" xr:uid="{00000000-0004-0000-0000-000002000000}"/>
    <hyperlink ref="A17:B17" location="Version" display="Version" xr:uid="{00000000-0004-0000-0000-000003000000}"/>
    <hyperlink ref="A18:B18" location="Content" display="Content" xr:uid="{00000000-0004-0000-0000-000006000000}"/>
    <hyperlink ref="F15:F16" location="'ST08B-FadsDen'!A1" display="'ST08B-FadsDen'!A1" xr:uid="{26450715-C91B-4C12-B4BA-E57126DA70A2}"/>
    <hyperlink ref="H23" location="FadTypeCode" display="FadTypeCode" xr:uid="{8F9B8900-D799-4BDE-B9A9-6D7E503BE378}"/>
    <hyperlink ref="I23" location="BeaconTypeCode" display="BeaconTypeCode" xr:uid="{F1470D26-5BE9-4BDA-82B9-B7C58E717A70}"/>
    <hyperlink ref="D23" location="FlagCode" display="FlagCode" xr:uid="{E1BC4E8E-40EB-4B77-A259-742AF443AD79}"/>
    <hyperlink ref="C23" location="VesselTypeCode" display="VesselTypeCode" xr:uid="{14652218-0BDB-425D-9C39-46F1757204D7}"/>
    <hyperlink ref="P4:R4" location="Filters!A1" display="Filters!A1" xr:uid="{E374875D-411F-4D2B-8783-23BFBCBF5279}"/>
  </hyperlinks>
  <pageMargins left="0.45" right="0.36" top="0.44" bottom="0.33" header="0.24" footer="0.26"/>
  <pageSetup paperSize="9" scale="95" orientation="landscape" r:id="rId1"/>
  <headerFooter alignWithMargins="0">
    <oddHeader>&amp;R&amp;"Times New Roman,Regular"page: &amp;P/&amp;N</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tabColor rgb="FF00B0F0"/>
  </sheetPr>
  <dimension ref="A1:K40"/>
  <sheetViews>
    <sheetView zoomScaleNormal="100" workbookViewId="0">
      <selection activeCell="F11" sqref="F11:F12"/>
    </sheetView>
  </sheetViews>
  <sheetFormatPr defaultColWidth="9.07421875" defaultRowHeight="12.45" x14ac:dyDescent="0.3"/>
  <cols>
    <col min="1" max="1" width="11.23046875" style="70" bestFit="1" customWidth="1"/>
    <col min="2" max="2" width="9.23046875" style="71" bestFit="1" customWidth="1"/>
    <col min="3" max="3" width="10.07421875" style="71" bestFit="1" customWidth="1"/>
    <col min="4" max="4" width="11.4609375" style="71" customWidth="1"/>
    <col min="5" max="5" width="11.4609375" style="71" bestFit="1" customWidth="1"/>
    <col min="6" max="6" width="11.765625" style="71" bestFit="1" customWidth="1"/>
    <col min="7" max="7" width="14" style="71" bestFit="1" customWidth="1"/>
    <col min="8" max="8" width="15.765625" style="71" bestFit="1" customWidth="1"/>
    <col min="9" max="9" width="34.765625" style="71" bestFit="1" customWidth="1"/>
    <col min="10" max="10" width="7.07421875" style="71" bestFit="1" customWidth="1"/>
    <col min="11" max="11" width="8.23046875" style="71" bestFit="1" customWidth="1"/>
    <col min="12" max="16384" width="9.07421875" style="71"/>
  </cols>
  <sheetData>
    <row r="1" spans="1:11" s="128" customFormat="1" ht="19.75" x14ac:dyDescent="0.3">
      <c r="A1" s="253" t="str">
        <f>+'ST08A-FadsDep'!$A$1</f>
        <v>ST08-FadsDep</v>
      </c>
      <c r="B1" s="254"/>
      <c r="C1" s="206" t="str">
        <f>+'ST08A-FadsDep'!$C$1</f>
        <v>TASK 3 - FISHING AGGREGATING DEVICES (FADs) DEPLOYED IN THE YEAR</v>
      </c>
      <c r="D1" s="206"/>
      <c r="E1" s="206"/>
      <c r="F1" s="206"/>
      <c r="G1" s="206"/>
      <c r="H1" s="206"/>
      <c r="I1" s="206"/>
      <c r="J1" s="1" t="str">
        <f>+'ST08A-FadsDep'!Q1</f>
        <v>Version</v>
      </c>
      <c r="K1" s="2" t="str">
        <f>+'ST08A-FadsDep'!R1</f>
        <v>Language</v>
      </c>
    </row>
    <row r="2" spans="1:11" s="128" customFormat="1" ht="14.15" x14ac:dyDescent="0.3">
      <c r="A2" s="255"/>
      <c r="B2" s="256"/>
      <c r="C2" s="207" t="str">
        <f>+'ST08A-FadsDep'!$C$2</f>
        <v>ICCAT: INTERNATIONAL COMMISSION FOR THE CONSERVATION OF ATLANTIC TUNAS</v>
      </c>
      <c r="D2" s="207"/>
      <c r="E2" s="207"/>
      <c r="F2" s="207"/>
      <c r="G2" s="207"/>
      <c r="H2" s="207"/>
      <c r="I2" s="207"/>
      <c r="J2" s="129" t="str">
        <f>+'ST08A-FadsDep'!Q2</f>
        <v>2024a</v>
      </c>
      <c r="K2" s="130" t="str">
        <f>+'ST08A-FadsDep'!R2</f>
        <v>ENG</v>
      </c>
    </row>
    <row r="3" spans="1:11" s="38" customFormat="1" ht="10.75" x14ac:dyDescent="0.3">
      <c r="A3" s="54"/>
    </row>
    <row r="4" spans="1:11" s="38" customFormat="1" ht="10.75" x14ac:dyDescent="0.3">
      <c r="A4" s="209" t="str">
        <f>+'ST08A-FadsDep'!A11</f>
        <v>Data set characteristics</v>
      </c>
      <c r="B4" s="210"/>
      <c r="C4" s="210"/>
      <c r="D4" s="210"/>
      <c r="E4" s="210"/>
      <c r="F4" s="151"/>
      <c r="G4" s="151"/>
      <c r="H4" s="151"/>
      <c r="I4" s="152"/>
    </row>
    <row r="5" spans="1:11" s="38" customFormat="1" ht="10.75" x14ac:dyDescent="0.3">
      <c r="A5" s="257" t="str">
        <f>+'ST08A-FadsDep'!A12</f>
        <v>Reporting Flag</v>
      </c>
      <c r="B5" s="258"/>
      <c r="C5" s="259" t="str">
        <f>IF('ST08A-FadsDep'!C12&gt;0,'ST08A-FadsDep'!C12,"")</f>
        <v/>
      </c>
      <c r="D5" s="259"/>
      <c r="E5" s="150"/>
      <c r="F5" s="260"/>
      <c r="G5" s="260"/>
      <c r="H5" s="68"/>
      <c r="I5" s="53"/>
    </row>
    <row r="6" spans="1:11" s="38" customFormat="1" ht="10.75" x14ac:dyDescent="0.3">
      <c r="A6" s="257" t="str">
        <f>+'ST08A-FadsDep'!A13</f>
        <v>Calendar year</v>
      </c>
      <c r="B6" s="258"/>
      <c r="C6" s="155" t="str">
        <f>IF('ST08A-FadsDep'!C13&gt;0,'ST08A-FadsDep'!C13,"")</f>
        <v/>
      </c>
      <c r="D6" s="150"/>
      <c r="E6" s="150"/>
      <c r="F6" s="215" t="str">
        <f>IF(LEN('ST08A-FadsDep'!K12)&gt;0, 'ST08A-FadsDep'!K12, "")</f>
        <v/>
      </c>
      <c r="G6" s="215"/>
      <c r="H6" s="68"/>
      <c r="I6" s="53"/>
    </row>
    <row r="7" spans="1:11" s="38" customFormat="1" ht="10.75" x14ac:dyDescent="0.3">
      <c r="A7" s="257"/>
      <c r="B7" s="258"/>
      <c r="C7" s="155"/>
      <c r="D7" s="18"/>
      <c r="E7" s="18"/>
      <c r="F7" s="215"/>
      <c r="G7" s="215"/>
      <c r="H7" s="68"/>
      <c r="I7" s="53"/>
    </row>
    <row r="8" spans="1:11" s="38" customFormat="1" ht="10.75" x14ac:dyDescent="0.3">
      <c r="A8" s="257"/>
      <c r="B8" s="258"/>
      <c r="C8" s="259"/>
      <c r="D8" s="259"/>
      <c r="E8" s="18"/>
      <c r="F8" s="215"/>
      <c r="G8" s="215"/>
      <c r="H8" s="68"/>
      <c r="I8" s="53"/>
    </row>
    <row r="9" spans="1:11" s="38" customFormat="1" ht="10.75" x14ac:dyDescent="0.3">
      <c r="A9" s="257"/>
      <c r="B9" s="258"/>
      <c r="C9" s="18"/>
      <c r="D9" s="150"/>
      <c r="E9" s="24"/>
      <c r="F9" s="215"/>
      <c r="G9" s="215"/>
      <c r="H9" s="68"/>
      <c r="I9" s="53"/>
    </row>
    <row r="10" spans="1:11" s="38" customFormat="1" ht="11.25" customHeight="1" thickBot="1" x14ac:dyDescent="0.35">
      <c r="A10" s="257" t="str">
        <f>+'ST08A-FadsDep'!A17</f>
        <v>Version reported</v>
      </c>
      <c r="B10" s="258"/>
      <c r="C10" s="259" t="str">
        <f>IF('ST08A-FadsDep'!C17&gt;0,'ST08A-FadsDep'!C17,"")</f>
        <v/>
      </c>
      <c r="D10" s="259"/>
      <c r="E10" s="24"/>
      <c r="F10" s="68"/>
      <c r="G10" s="68"/>
      <c r="H10" s="68"/>
      <c r="I10" s="115"/>
    </row>
    <row r="11" spans="1:11" s="38" customFormat="1" ht="12.15" customHeight="1" x14ac:dyDescent="0.3">
      <c r="A11" s="257" t="str">
        <f>+'ST08A-FadsDep'!A18</f>
        <v>Content (data)</v>
      </c>
      <c r="B11" s="258"/>
      <c r="C11" s="259" t="str">
        <f>IF('ST08A-FadsDep'!C18&gt;0,'ST08A-FadsDep'!C18,"")</f>
        <v/>
      </c>
      <c r="D11" s="259"/>
      <c r="E11" s="24"/>
      <c r="F11" s="261" t="str">
        <f>VLOOKUP("T04",tblTrans3Langs[],LangFieldID,FALSE)</f>
        <v>ST08A</v>
      </c>
      <c r="G11" s="266" t="str">
        <f>VLOOKUP("T04",tblTrans3Langs[],LangNameID,FALSE)</f>
        <v>FAD/Beacon deployment monthly report</v>
      </c>
      <c r="H11" s="267"/>
      <c r="I11" s="115"/>
    </row>
    <row r="12" spans="1:11" s="38" customFormat="1" ht="12.15" customHeight="1" thickBot="1" x14ac:dyDescent="0.35">
      <c r="A12" s="153"/>
      <c r="B12" s="154"/>
      <c r="C12" s="155"/>
      <c r="D12" s="155"/>
      <c r="E12" s="24"/>
      <c r="F12" s="262"/>
      <c r="G12" s="268"/>
      <c r="H12" s="269"/>
      <c r="I12" s="115"/>
    </row>
    <row r="13" spans="1:11" s="38" customFormat="1" ht="10.75" x14ac:dyDescent="0.3">
      <c r="A13" s="30"/>
      <c r="B13" s="35"/>
      <c r="C13" s="35"/>
      <c r="D13" s="35"/>
      <c r="E13" s="35"/>
      <c r="F13" s="35"/>
      <c r="G13" s="35"/>
      <c r="H13" s="100"/>
      <c r="I13" s="52"/>
    </row>
    <row r="14" spans="1:11" s="38" customFormat="1" ht="10.75" x14ac:dyDescent="0.3">
      <c r="A14" s="54"/>
      <c r="C14" s="55"/>
      <c r="D14" s="55"/>
      <c r="E14" s="55"/>
      <c r="F14" s="55"/>
      <c r="G14" s="55"/>
    </row>
    <row r="15" spans="1:11" s="38" customFormat="1" ht="10.75" x14ac:dyDescent="0.3">
      <c r="A15" s="263" t="str">
        <f>VLOOKUP("D00b",tblTrans3Langs[],LangFieldID,FALSE) &amp; ": " &amp; VLOOKUP("D00b",tblTrans3Langs[],LangNameID,FALSE)</f>
        <v>Detail: Density estimation of active FADs by flag/month/1x1. If spatial information (1x1 squares) is NOT available please indicate the spatial level used for the estimation in the "Remarks" column</v>
      </c>
      <c r="B15" s="264"/>
      <c r="C15" s="264"/>
      <c r="D15" s="264"/>
      <c r="E15" s="264"/>
      <c r="F15" s="264"/>
      <c r="G15" s="264"/>
      <c r="H15" s="264"/>
      <c r="I15" s="265"/>
    </row>
    <row r="16" spans="1:11" s="14" customFormat="1" ht="21.45" x14ac:dyDescent="0.3">
      <c r="A16" s="134" t="str">
        <f>VLOOKUP($A$18,tblTrans3Langs[],LangFieldID,FALSE)</f>
        <v>Flag of vessel (cod)</v>
      </c>
      <c r="B16" s="134" t="str">
        <f>VLOOKUP($B$18,tblTrans3Langs[],LangFieldID,FALSE)</f>
        <v>Month</v>
      </c>
      <c r="C16" s="134" t="str">
        <f>VLOOKUP(C$18,tblTrans3Langs[],LangFieldID,FALSE)</f>
        <v>Latitude (+N/-S)</v>
      </c>
      <c r="D16" s="134" t="str">
        <f>VLOOKUP(D$18,tblTrans3Langs[],LangFieldID,FALSE)</f>
        <v>Longitude (+E/-W)</v>
      </c>
      <c r="E16" s="134" t="str">
        <f>VLOOKUP($E$18,tblTrans3Langs[],LangFieldID,FALSE)</f>
        <v xml:space="preserve">Nº Active Vessels </v>
      </c>
      <c r="F16" s="135" t="str">
        <f>VLOOKUP($F$18,tblTrans3Langs[],LangFieldID,FALSE)</f>
        <v>FAD type (cod)</v>
      </c>
      <c r="G16" s="135" t="str">
        <f>VLOOKUP($G$18,tblTrans3Langs[],LangFieldID,FALSE)</f>
        <v>Beacon/buoy type (cod)</v>
      </c>
      <c r="H16" s="136" t="str">
        <f>VLOOKUP($H$18,tblTrans3Langs[],LangFieldID,FALSE)</f>
        <v>Avg Number Operating FADs</v>
      </c>
      <c r="I16" s="197" t="str">
        <f>VLOOKUP($I$18,tblTrans3Langs[],LangFieldID,FALSE)</f>
        <v>Remarks</v>
      </c>
    </row>
    <row r="17" spans="1:11" s="38" customFormat="1" ht="21.45" x14ac:dyDescent="0.3">
      <c r="A17" s="49" t="str">
        <f t="shared" ref="A17:F17" si="0">REPT("+",8)</f>
        <v>++++++++</v>
      </c>
      <c r="B17" s="92" t="str">
        <f t="shared" si="0"/>
        <v>++++++++</v>
      </c>
      <c r="C17" s="92" t="str">
        <f t="shared" si="0"/>
        <v>++++++++</v>
      </c>
      <c r="D17" s="92" t="str">
        <f t="shared" si="0"/>
        <v>++++++++</v>
      </c>
      <c r="E17" s="92" t="str">
        <f t="shared" si="0"/>
        <v>++++++++</v>
      </c>
      <c r="F17" s="92" t="str">
        <f t="shared" si="0"/>
        <v>++++++++</v>
      </c>
      <c r="G17" s="92" t="str">
        <f>REPT("+",10)</f>
        <v>++++++++++</v>
      </c>
      <c r="H17" s="92" t="str">
        <f>REPT("+",10)</f>
        <v>++++++++++</v>
      </c>
      <c r="I17" s="92" t="str">
        <f>REPT("+",50)</f>
        <v>++++++++++++++++++++++++++++++++++++++++++++++++++</v>
      </c>
    </row>
    <row r="18" spans="1:11" s="5" customFormat="1" ht="10.75" x14ac:dyDescent="0.3">
      <c r="A18" s="137" t="s">
        <v>696</v>
      </c>
      <c r="B18" s="137" t="s">
        <v>711</v>
      </c>
      <c r="C18" s="137" t="s">
        <v>974</v>
      </c>
      <c r="D18" s="137" t="s">
        <v>972</v>
      </c>
      <c r="E18" s="137" t="s">
        <v>827</v>
      </c>
      <c r="F18" s="137" t="s">
        <v>754</v>
      </c>
      <c r="G18" s="137" t="s">
        <v>839</v>
      </c>
      <c r="H18" s="137" t="s">
        <v>746</v>
      </c>
      <c r="I18" s="138" t="s">
        <v>792</v>
      </c>
      <c r="J18" s="93"/>
      <c r="K18" s="93"/>
    </row>
    <row r="19" spans="1:11" s="133" customFormat="1" ht="10.75" x14ac:dyDescent="0.3">
      <c r="A19" s="141"/>
      <c r="B19" s="106"/>
      <c r="C19" s="106"/>
      <c r="D19" s="106"/>
      <c r="E19" s="132"/>
      <c r="F19" s="105"/>
      <c r="G19" s="105"/>
      <c r="H19" s="105"/>
      <c r="I19" s="132"/>
      <c r="J19" s="132"/>
      <c r="K19" s="132"/>
    </row>
    <row r="20" spans="1:11" s="133" customFormat="1" ht="10.75" x14ac:dyDescent="0.3">
      <c r="A20" s="141"/>
      <c r="B20" s="106"/>
      <c r="C20" s="106"/>
      <c r="D20" s="106"/>
      <c r="E20" s="132"/>
      <c r="F20" s="105"/>
      <c r="G20" s="105"/>
      <c r="H20" s="105"/>
      <c r="I20" s="132"/>
    </row>
    <row r="21" spans="1:11" s="133" customFormat="1" ht="10.75" x14ac:dyDescent="0.3">
      <c r="A21" s="142"/>
      <c r="B21" s="106"/>
      <c r="C21" s="106"/>
      <c r="D21" s="106"/>
      <c r="E21" s="132"/>
      <c r="F21" s="105"/>
      <c r="G21" s="105"/>
      <c r="H21" s="105"/>
      <c r="I21" s="132"/>
    </row>
    <row r="22" spans="1:11" s="133" customFormat="1" ht="10.75" x14ac:dyDescent="0.3">
      <c r="A22" s="142"/>
      <c r="B22" s="106"/>
      <c r="C22" s="106"/>
      <c r="D22" s="106"/>
      <c r="E22" s="132"/>
      <c r="F22" s="105"/>
      <c r="G22" s="105"/>
      <c r="H22" s="105"/>
      <c r="I22" s="132"/>
    </row>
    <row r="23" spans="1:11" s="133" customFormat="1" ht="10.75" x14ac:dyDescent="0.3">
      <c r="A23" s="142"/>
      <c r="B23" s="106"/>
      <c r="C23" s="106"/>
      <c r="D23" s="106"/>
      <c r="E23" s="132"/>
      <c r="F23" s="105"/>
      <c r="G23" s="105"/>
      <c r="H23" s="105"/>
      <c r="I23" s="132"/>
    </row>
    <row r="24" spans="1:11" s="133" customFormat="1" ht="10.75" x14ac:dyDescent="0.3">
      <c r="A24" s="142"/>
      <c r="B24" s="106"/>
      <c r="C24" s="106"/>
      <c r="D24" s="106"/>
      <c r="E24" s="132"/>
      <c r="F24" s="105"/>
      <c r="G24" s="105"/>
      <c r="H24" s="105"/>
      <c r="I24" s="132"/>
    </row>
    <row r="25" spans="1:11" s="133" customFormat="1" ht="10.75" x14ac:dyDescent="0.3">
      <c r="A25" s="142"/>
      <c r="B25" s="106"/>
      <c r="C25" s="106"/>
      <c r="D25" s="106"/>
      <c r="E25" s="132"/>
      <c r="F25" s="105"/>
      <c r="G25" s="105"/>
      <c r="H25" s="105"/>
      <c r="I25" s="132"/>
    </row>
    <row r="26" spans="1:11" s="133" customFormat="1" ht="10.75" x14ac:dyDescent="0.3">
      <c r="A26" s="142"/>
      <c r="B26" s="106"/>
      <c r="C26" s="106"/>
      <c r="D26" s="106"/>
      <c r="E26" s="132"/>
      <c r="F26" s="105"/>
      <c r="G26" s="105"/>
      <c r="H26" s="105"/>
      <c r="I26" s="132"/>
    </row>
    <row r="27" spans="1:11" s="133" customFormat="1" ht="10.75" x14ac:dyDescent="0.3">
      <c r="A27" s="142"/>
      <c r="B27" s="106"/>
      <c r="C27" s="106"/>
      <c r="D27" s="106"/>
      <c r="E27" s="132"/>
      <c r="F27" s="105"/>
      <c r="G27" s="105"/>
      <c r="H27" s="105"/>
      <c r="I27" s="132"/>
    </row>
    <row r="28" spans="1:11" s="133" customFormat="1" ht="10.75" x14ac:dyDescent="0.3">
      <c r="A28" s="142"/>
      <c r="B28" s="106"/>
      <c r="C28" s="106"/>
      <c r="D28" s="106"/>
      <c r="E28" s="132"/>
      <c r="F28" s="105"/>
      <c r="G28" s="105"/>
      <c r="H28" s="105"/>
      <c r="I28" s="132"/>
    </row>
    <row r="29" spans="1:11" s="133" customFormat="1" ht="10.75" x14ac:dyDescent="0.3">
      <c r="A29" s="142"/>
      <c r="B29" s="106"/>
      <c r="C29" s="106"/>
      <c r="D29" s="106"/>
      <c r="E29" s="132"/>
      <c r="F29" s="105"/>
      <c r="G29" s="105"/>
      <c r="H29" s="105"/>
      <c r="I29" s="132"/>
    </row>
    <row r="30" spans="1:11" s="133" customFormat="1" ht="10.75" x14ac:dyDescent="0.3">
      <c r="A30" s="142"/>
      <c r="B30" s="106"/>
      <c r="C30" s="106"/>
      <c r="D30" s="106"/>
      <c r="E30" s="132"/>
      <c r="F30" s="105"/>
      <c r="G30" s="105"/>
      <c r="H30" s="105"/>
      <c r="I30" s="132"/>
    </row>
    <row r="31" spans="1:11" s="133" customFormat="1" ht="10.75" x14ac:dyDescent="0.3">
      <c r="A31" s="142"/>
      <c r="B31" s="106"/>
      <c r="C31" s="106"/>
      <c r="D31" s="106"/>
      <c r="E31" s="132"/>
      <c r="F31" s="105"/>
      <c r="G31" s="105"/>
      <c r="H31" s="105"/>
      <c r="I31" s="132"/>
    </row>
    <row r="32" spans="1:11" s="133" customFormat="1" ht="10.75" x14ac:dyDescent="0.3">
      <c r="A32" s="142"/>
      <c r="B32" s="106"/>
      <c r="C32" s="106"/>
      <c r="D32" s="106"/>
      <c r="E32" s="132"/>
      <c r="F32" s="105"/>
      <c r="G32" s="105"/>
      <c r="H32" s="105"/>
      <c r="I32" s="132"/>
    </row>
    <row r="33" spans="1:9" s="133" customFormat="1" ht="10.75" x14ac:dyDescent="0.3">
      <c r="A33" s="142"/>
      <c r="B33" s="106"/>
      <c r="C33" s="106"/>
      <c r="D33" s="106"/>
      <c r="E33" s="132"/>
      <c r="F33" s="105"/>
      <c r="G33" s="105"/>
      <c r="H33" s="105"/>
      <c r="I33" s="132"/>
    </row>
    <row r="34" spans="1:9" s="133" customFormat="1" ht="10.75" x14ac:dyDescent="0.3">
      <c r="A34" s="142"/>
      <c r="B34" s="106"/>
      <c r="C34" s="106"/>
      <c r="D34" s="106"/>
      <c r="E34" s="132"/>
      <c r="F34" s="105"/>
      <c r="G34" s="105"/>
      <c r="H34" s="105"/>
      <c r="I34" s="132"/>
    </row>
    <row r="35" spans="1:9" s="133" customFormat="1" ht="10.75" x14ac:dyDescent="0.3">
      <c r="A35" s="142"/>
      <c r="B35" s="106"/>
      <c r="C35" s="106"/>
      <c r="D35" s="106"/>
      <c r="E35" s="132"/>
      <c r="F35" s="105"/>
      <c r="G35" s="105"/>
      <c r="H35" s="105"/>
      <c r="I35" s="132"/>
    </row>
    <row r="36" spans="1:9" s="133" customFormat="1" ht="10.75" x14ac:dyDescent="0.3">
      <c r="A36" s="142"/>
      <c r="B36" s="106"/>
      <c r="C36" s="106"/>
      <c r="D36" s="106"/>
      <c r="E36" s="132"/>
      <c r="F36" s="105"/>
      <c r="G36" s="105"/>
      <c r="H36" s="105"/>
      <c r="I36" s="132"/>
    </row>
    <row r="37" spans="1:9" s="133" customFormat="1" ht="10.75" x14ac:dyDescent="0.3">
      <c r="A37" s="142"/>
      <c r="B37" s="106"/>
      <c r="C37" s="106"/>
      <c r="D37" s="106"/>
      <c r="E37" s="132"/>
      <c r="F37" s="105"/>
      <c r="G37" s="105"/>
      <c r="H37" s="105"/>
      <c r="I37" s="132"/>
    </row>
    <row r="38" spans="1:9" s="133" customFormat="1" ht="10.75" x14ac:dyDescent="0.3">
      <c r="A38" s="142"/>
      <c r="B38" s="106"/>
      <c r="C38" s="106"/>
      <c r="D38" s="106"/>
      <c r="E38" s="132"/>
      <c r="F38" s="105"/>
      <c r="G38" s="105"/>
      <c r="H38" s="105"/>
      <c r="I38" s="132"/>
    </row>
    <row r="39" spans="1:9" s="133" customFormat="1" ht="10.75" x14ac:dyDescent="0.3">
      <c r="A39" s="142"/>
      <c r="B39" s="106"/>
      <c r="C39" s="106"/>
      <c r="D39" s="106"/>
      <c r="E39" s="132"/>
      <c r="F39" s="105"/>
      <c r="G39" s="105"/>
      <c r="H39" s="105"/>
      <c r="I39" s="132"/>
    </row>
    <row r="40" spans="1:9" s="133" customFormat="1" ht="10.75" x14ac:dyDescent="0.3">
      <c r="A40" s="142"/>
      <c r="B40" s="106"/>
      <c r="C40" s="106"/>
      <c r="D40" s="106"/>
      <c r="E40" s="132"/>
      <c r="F40" s="105"/>
      <c r="G40" s="105"/>
      <c r="H40" s="105"/>
      <c r="I40" s="132"/>
    </row>
  </sheetData>
  <sheetProtection algorithmName="SHA-512" hashValue="SaiarxzDTZ/CAMoP90XgB7AAfSIo277HoFiBKO4vKDC+QGiY/bJ8YkYNLBIiq8BU6TkDvWUvahJqh6ONNaYs/g==" saltValue="a8S8NAvUNq/iWRbEUO5i2w==" spinCount="100000" sheet="1" formatCells="0" formatRows="0" insertRows="0" deleteRows="0" autoFilter="0"/>
  <mergeCells count="20">
    <mergeCell ref="F11:F12"/>
    <mergeCell ref="A15:I15"/>
    <mergeCell ref="A11:B11"/>
    <mergeCell ref="A4:E4"/>
    <mergeCell ref="A5:B5"/>
    <mergeCell ref="A6:B6"/>
    <mergeCell ref="A7:B7"/>
    <mergeCell ref="A8:B8"/>
    <mergeCell ref="C10:D10"/>
    <mergeCell ref="C11:D11"/>
    <mergeCell ref="G11:H12"/>
    <mergeCell ref="A1:B2"/>
    <mergeCell ref="A9:B9"/>
    <mergeCell ref="A10:B10"/>
    <mergeCell ref="C5:D5"/>
    <mergeCell ref="C8:D8"/>
    <mergeCell ref="C1:I1"/>
    <mergeCell ref="C2:I2"/>
    <mergeCell ref="F5:G5"/>
    <mergeCell ref="F6:G9"/>
  </mergeCells>
  <dataValidations count="8">
    <dataValidation type="whole" operator="greaterThan" allowBlank="1" sqref="E19:E40" xr:uid="{00000000-0002-0000-0100-000000000000}">
      <formula1>0</formula1>
    </dataValidation>
    <dataValidation type="list" operator="greaterThanOrEqual" allowBlank="1" showInputMessage="1" showErrorMessage="1" error="Please select the appropiate code of vessel flag" promptTitle="Flag of vessel" sqref="A19:A40" xr:uid="{00000000-0002-0000-0100-000004000000}">
      <formula1>FlagA3ISO</formula1>
    </dataValidation>
    <dataValidation type="whole" allowBlank="1" showInputMessage="1" showErrorMessage="1" errorTitle="Incorrect value" error="Integer month number" promptTitle="Month Deployment" prompt="integer" sqref="B19:B40" xr:uid="{E7476D4D-9A3C-4B9C-AB1A-BB5653C72D96}">
      <formula1>1</formula1>
      <formula2>12</formula2>
    </dataValidation>
    <dataValidation type="whole" allowBlank="1" showInputMessage="1" showErrorMessage="1" error="Incorrect Lon value" promptTitle="Longitude" prompt="+ East  - West" sqref="D19:D40" xr:uid="{298F585B-B470-4ACC-8D17-BD1B31543B4C}">
      <formula1>-95</formula1>
      <formula2>45</formula2>
    </dataValidation>
    <dataValidation type="whole" allowBlank="1" showInputMessage="1" showErrorMessage="1" error="Incorrect Latitude value" promptTitle="Latitude" prompt="+ North" sqref="C19:C40" xr:uid="{043C6755-DFCC-4F4D-86B7-5F66AD0B8401}">
      <formula1>-60</formula1>
      <formula2>60</formula2>
    </dataValidation>
    <dataValidation type="decimal" operator="greaterThan" allowBlank="1" showInputMessage="1" showErrorMessage="1" errorTitle="FAD type" promptTitle="Avg Number Operating FAD/BOUYs" prompt="Estimate by summing up the total number of operational buoys recorded per day over the entire month and dividing by the total number of days for the vessels indicated in column E" sqref="H19:H40" xr:uid="{82D3E19D-182F-4732-A7AF-7B5A5D16DCE0}">
      <formula1>0</formula1>
    </dataValidation>
    <dataValidation type="list" allowBlank="1" showInputMessage="1" showErrorMessage="1" promptTitle="Bouy Code" prompt="Select Bouy type code" sqref="G19:G40" xr:uid="{290ABCC4-81C2-4EEA-842C-E4C572DB3E07}">
      <formula1>BeaconTypeCode</formula1>
    </dataValidation>
    <dataValidation type="list" operator="greaterThan" allowBlank="1" showInputMessage="1" showErrorMessage="1" errorTitle="FAD type" promptTitle="Type of FAD/FOB" prompt="Select from the codes available" sqref="F19:F40" xr:uid="{3C2F0EFE-637A-4445-8B15-1CC5D82A0D82}">
      <formula1>FadTypeCode</formula1>
    </dataValidation>
  </dataValidations>
  <hyperlinks>
    <hyperlink ref="B16" location="SpeciesCod" display="SpeciesCod" xr:uid="{00000000-0004-0000-0100-000001000000}"/>
    <hyperlink ref="F11:F12" location="'ST08A-FadsDep'!A1" display="'ST08A-FadsDep'!A1" xr:uid="{BB91CC98-C2A3-46E9-AA3B-8F6E19E28E1F}"/>
    <hyperlink ref="G16" location="BeaconTypeCode" display="BeaconTypeCode" xr:uid="{72583E6D-EF5F-44AA-9E1F-F16CD3F103B6}"/>
    <hyperlink ref="F16" location="FadTypeCode" display="FadTypeCode" xr:uid="{86B0F34B-AAD9-466A-9F43-2A362E3358FE}"/>
  </hyperlinks>
  <pageMargins left="0.7" right="0.7" top="0.75" bottom="0.75" header="0.3" footer="0.3"/>
  <pageSetup paperSize="9" orientation="portrait" r:id="rId1"/>
  <ignoredErrors>
    <ignoredError sqref="C6 C9:D11" unlockedFormula="1"/>
  </ignoredErrors>
  <drawing r:id="rId2"/>
  <tableParts count="1">
    <tablePart r:id="rId3"/>
  </tableParts>
  <extLst>
    <ext xmlns:x14="http://schemas.microsoft.com/office/spreadsheetml/2009/9/main" uri="{CCE6A557-97BC-4b89-ADB6-D9C93CAAB3DF}">
      <x14:dataValidations xmlns:xm="http://schemas.microsoft.com/office/excel/2006/main" count="1">
        <x14:dataValidation type="list" operator="greaterThan" allowBlank="1" showInputMessage="1" showErrorMessage="1" errorTitle="FAD type" promptTitle="Type of FAD/FOB" prompt="Select from the codes available" xr:uid="{A9F51734-BD8F-4A04-B7C8-F96DB697F7AF}">
          <x14:formula1>
            <xm:f>Codes!$H$10:$H$15</xm:f>
          </x14:formula1>
          <xm:sqref>G23:G24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L175"/>
  <sheetViews>
    <sheetView topLeftCell="A66" zoomScale="85" zoomScaleNormal="85" zoomScaleSheetLayoutView="100" workbookViewId="0">
      <selection activeCell="G93" sqref="G93"/>
    </sheetView>
  </sheetViews>
  <sheetFormatPr defaultColWidth="7.23046875" defaultRowHeight="10.75" x14ac:dyDescent="0.3"/>
  <cols>
    <col min="1" max="1" width="23.84375" style="38" bestFit="1" customWidth="1"/>
    <col min="2" max="3" width="8.765625" style="38" bestFit="1" customWidth="1"/>
    <col min="4" max="4" width="67.4609375" style="38" bestFit="1" customWidth="1"/>
    <col min="5" max="6" width="8.23046875" style="38" bestFit="1" customWidth="1"/>
    <col min="7" max="7" width="2.23046875" style="38" customWidth="1"/>
    <col min="8" max="8" width="15" style="38" bestFit="1" customWidth="1"/>
    <col min="9" max="9" width="56" style="38" bestFit="1" customWidth="1"/>
    <col min="10" max="10" width="14.07421875" style="38" bestFit="1" customWidth="1"/>
    <col min="11" max="11" width="11" style="38" bestFit="1" customWidth="1"/>
    <col min="12" max="12" width="25.765625" style="38" customWidth="1"/>
    <col min="13" max="16384" width="7.23046875" style="38"/>
  </cols>
  <sheetData>
    <row r="1" spans="1:12" ht="11.25" customHeight="1" x14ac:dyDescent="0.3">
      <c r="A1" s="271" t="s">
        <v>677</v>
      </c>
      <c r="B1" s="271"/>
      <c r="C1" s="271"/>
      <c r="D1" s="271"/>
      <c r="E1" s="271"/>
      <c r="F1" s="271"/>
      <c r="H1" s="272" t="s">
        <v>717</v>
      </c>
      <c r="I1" s="272"/>
    </row>
    <row r="2" spans="1:12" x14ac:dyDescent="0.3">
      <c r="A2" s="179" t="s">
        <v>323</v>
      </c>
      <c r="B2" s="180" t="s">
        <v>965</v>
      </c>
      <c r="C2" s="180" t="s">
        <v>981</v>
      </c>
      <c r="D2" s="181" t="s">
        <v>324</v>
      </c>
      <c r="E2" s="180" t="s">
        <v>325</v>
      </c>
      <c r="F2" s="182" t="s">
        <v>326</v>
      </c>
      <c r="H2" s="94" t="s">
        <v>966</v>
      </c>
      <c r="I2" s="110" t="s">
        <v>815</v>
      </c>
      <c r="J2" s="108" t="s">
        <v>818</v>
      </c>
    </row>
    <row r="3" spans="1:12" ht="12" x14ac:dyDescent="0.35">
      <c r="A3" s="196" t="s">
        <v>81</v>
      </c>
      <c r="B3" s="192" t="s">
        <v>20</v>
      </c>
      <c r="C3" s="192" t="s">
        <v>176</v>
      </c>
      <c r="D3" s="193"/>
      <c r="E3" s="192" t="s">
        <v>20</v>
      </c>
      <c r="F3" s="192" t="s">
        <v>327</v>
      </c>
      <c r="H3" s="97" t="s">
        <v>46</v>
      </c>
      <c r="I3" s="107" t="s">
        <v>716</v>
      </c>
      <c r="J3" s="112" t="s">
        <v>813</v>
      </c>
      <c r="K3" s="113"/>
    </row>
    <row r="4" spans="1:12" ht="12" x14ac:dyDescent="0.35">
      <c r="A4" s="196" t="s">
        <v>11</v>
      </c>
      <c r="B4" s="192" t="s">
        <v>12</v>
      </c>
      <c r="C4" s="192" t="s">
        <v>176</v>
      </c>
      <c r="D4" s="193"/>
      <c r="E4" s="192" t="s">
        <v>12</v>
      </c>
      <c r="F4" s="192" t="s">
        <v>328</v>
      </c>
      <c r="H4" s="78" t="s">
        <v>66</v>
      </c>
      <c r="I4" s="109" t="s">
        <v>714</v>
      </c>
      <c r="J4" s="112" t="s">
        <v>812</v>
      </c>
    </row>
    <row r="5" spans="1:12" ht="12" x14ac:dyDescent="0.35">
      <c r="A5" s="196" t="s">
        <v>13</v>
      </c>
      <c r="B5" s="192" t="s">
        <v>14</v>
      </c>
      <c r="C5" s="192" t="s">
        <v>176</v>
      </c>
      <c r="D5" s="193"/>
      <c r="E5" s="192" t="s">
        <v>14</v>
      </c>
      <c r="F5" s="192" t="s">
        <v>329</v>
      </c>
      <c r="H5" s="98" t="s">
        <v>382</v>
      </c>
      <c r="I5" s="111" t="s">
        <v>715</v>
      </c>
      <c r="J5" s="114" t="s">
        <v>814</v>
      </c>
      <c r="K5" s="113"/>
      <c r="L5" s="113"/>
    </row>
    <row r="6" spans="1:12" ht="12" x14ac:dyDescent="0.35">
      <c r="A6" s="196" t="s">
        <v>15</v>
      </c>
      <c r="B6" s="192" t="s">
        <v>16</v>
      </c>
      <c r="C6" s="192" t="s">
        <v>176</v>
      </c>
      <c r="D6" s="193"/>
      <c r="E6" s="192" t="s">
        <v>16</v>
      </c>
      <c r="F6" s="192" t="s">
        <v>46</v>
      </c>
      <c r="H6" s="107"/>
      <c r="I6" s="107"/>
      <c r="K6" s="113"/>
      <c r="L6" s="113"/>
    </row>
    <row r="7" spans="1:12" ht="12" x14ac:dyDescent="0.35">
      <c r="A7" s="196" t="s">
        <v>156</v>
      </c>
      <c r="B7" s="192" t="s">
        <v>88</v>
      </c>
      <c r="C7" s="192" t="s">
        <v>176</v>
      </c>
      <c r="D7" s="193" t="s">
        <v>229</v>
      </c>
      <c r="E7" s="192" t="s">
        <v>88</v>
      </c>
      <c r="F7" s="192" t="s">
        <v>330</v>
      </c>
      <c r="H7" s="59"/>
      <c r="I7" s="59"/>
      <c r="K7" s="113"/>
      <c r="L7" s="113"/>
    </row>
    <row r="8" spans="1:12" ht="12" x14ac:dyDescent="0.35">
      <c r="A8" s="196" t="s">
        <v>230</v>
      </c>
      <c r="B8" s="192" t="s">
        <v>17</v>
      </c>
      <c r="C8" s="192" t="s">
        <v>176</v>
      </c>
      <c r="D8" s="193" t="s">
        <v>252</v>
      </c>
      <c r="E8" s="192" t="s">
        <v>17</v>
      </c>
      <c r="F8" s="192" t="s">
        <v>331</v>
      </c>
      <c r="H8" s="273" t="s">
        <v>791</v>
      </c>
      <c r="I8" s="273"/>
      <c r="K8" s="113"/>
      <c r="L8" s="113"/>
    </row>
    <row r="9" spans="1:12" ht="12" x14ac:dyDescent="0.35">
      <c r="A9" s="196" t="s">
        <v>18</v>
      </c>
      <c r="B9" s="192" t="s">
        <v>19</v>
      </c>
      <c r="C9" s="192" t="s">
        <v>176</v>
      </c>
      <c r="D9" s="193"/>
      <c r="E9" s="192" t="s">
        <v>19</v>
      </c>
      <c r="F9" s="192" t="s">
        <v>332</v>
      </c>
      <c r="H9" s="90" t="s">
        <v>967</v>
      </c>
      <c r="I9" s="91" t="s">
        <v>816</v>
      </c>
    </row>
    <row r="10" spans="1:12" ht="12" x14ac:dyDescent="0.35">
      <c r="A10" s="196" t="s">
        <v>21</v>
      </c>
      <c r="B10" s="192" t="s">
        <v>22</v>
      </c>
      <c r="C10" s="192" t="s">
        <v>176</v>
      </c>
      <c r="D10" s="193" t="s">
        <v>231</v>
      </c>
      <c r="E10" s="192" t="s">
        <v>22</v>
      </c>
      <c r="F10" s="192" t="s">
        <v>333</v>
      </c>
      <c r="H10" s="78" t="s">
        <v>718</v>
      </c>
      <c r="I10" s="75" t="s">
        <v>719</v>
      </c>
      <c r="K10" s="113"/>
      <c r="L10" s="113"/>
    </row>
    <row r="11" spans="1:12" ht="12" x14ac:dyDescent="0.35">
      <c r="A11" s="196" t="s">
        <v>232</v>
      </c>
      <c r="B11" s="192" t="s">
        <v>23</v>
      </c>
      <c r="C11" s="192" t="s">
        <v>176</v>
      </c>
      <c r="D11" s="193"/>
      <c r="E11" s="192" t="s">
        <v>23</v>
      </c>
      <c r="F11" s="192" t="s">
        <v>334</v>
      </c>
      <c r="H11" s="78" t="s">
        <v>720</v>
      </c>
      <c r="I11" s="75" t="s">
        <v>721</v>
      </c>
      <c r="K11" s="113"/>
      <c r="L11" s="113"/>
    </row>
    <row r="12" spans="1:12" ht="12" x14ac:dyDescent="0.35">
      <c r="A12" s="196" t="s">
        <v>191</v>
      </c>
      <c r="B12" s="192" t="s">
        <v>240</v>
      </c>
      <c r="C12" s="192" t="s">
        <v>176</v>
      </c>
      <c r="D12" s="193" t="s">
        <v>229</v>
      </c>
      <c r="E12" s="192" t="s">
        <v>240</v>
      </c>
      <c r="F12" s="192" t="s">
        <v>335</v>
      </c>
      <c r="H12" s="79" t="s">
        <v>722</v>
      </c>
      <c r="I12" s="80" t="s">
        <v>926</v>
      </c>
      <c r="K12" s="113"/>
      <c r="L12" s="113"/>
    </row>
    <row r="13" spans="1:12" ht="12" x14ac:dyDescent="0.35">
      <c r="A13" s="196" t="s">
        <v>253</v>
      </c>
      <c r="B13" s="192" t="s">
        <v>24</v>
      </c>
      <c r="C13" s="192" t="s">
        <v>176</v>
      </c>
      <c r="D13" s="193" t="s">
        <v>233</v>
      </c>
      <c r="E13" s="192" t="s">
        <v>24</v>
      </c>
      <c r="F13" s="192" t="s">
        <v>336</v>
      </c>
      <c r="H13" s="79" t="s">
        <v>723</v>
      </c>
      <c r="I13" s="80" t="s">
        <v>927</v>
      </c>
      <c r="K13" s="113"/>
      <c r="L13" s="113"/>
    </row>
    <row r="14" spans="1:12" ht="12" x14ac:dyDescent="0.35">
      <c r="A14" s="196" t="s">
        <v>985</v>
      </c>
      <c r="B14" s="192" t="s">
        <v>986</v>
      </c>
      <c r="C14" s="192" t="s">
        <v>176</v>
      </c>
      <c r="D14" s="192"/>
      <c r="E14" s="192" t="s">
        <v>699</v>
      </c>
      <c r="F14" s="192" t="s">
        <v>700</v>
      </c>
      <c r="H14" s="81" t="s">
        <v>724</v>
      </c>
      <c r="I14" s="80" t="s">
        <v>725</v>
      </c>
      <c r="K14" s="113"/>
      <c r="L14" s="113"/>
    </row>
    <row r="15" spans="1:12" ht="12" x14ac:dyDescent="0.35">
      <c r="A15" s="196" t="s">
        <v>987</v>
      </c>
      <c r="B15" s="192" t="s">
        <v>988</v>
      </c>
      <c r="C15" s="192" t="s">
        <v>176</v>
      </c>
      <c r="D15" s="193"/>
      <c r="E15" s="192" t="s">
        <v>337</v>
      </c>
      <c r="F15" s="192" t="s">
        <v>338</v>
      </c>
      <c r="H15" s="82" t="s">
        <v>726</v>
      </c>
      <c r="I15" s="83" t="s">
        <v>727</v>
      </c>
      <c r="K15" s="113"/>
      <c r="L15" s="113"/>
    </row>
    <row r="16" spans="1:12" ht="12" x14ac:dyDescent="0.35">
      <c r="A16" s="196" t="s">
        <v>989</v>
      </c>
      <c r="B16" s="192" t="s">
        <v>990</v>
      </c>
      <c r="C16" s="192" t="s">
        <v>176</v>
      </c>
      <c r="D16" s="193"/>
      <c r="E16" s="192" t="s">
        <v>339</v>
      </c>
      <c r="F16" s="192" t="s">
        <v>340</v>
      </c>
      <c r="K16" s="113"/>
      <c r="L16" s="113"/>
    </row>
    <row r="17" spans="1:12" ht="12" x14ac:dyDescent="0.35">
      <c r="A17" s="196" t="s">
        <v>991</v>
      </c>
      <c r="B17" s="192" t="s">
        <v>992</v>
      </c>
      <c r="C17" s="192" t="s">
        <v>176</v>
      </c>
      <c r="D17" s="193" t="s">
        <v>254</v>
      </c>
      <c r="E17" s="192" t="s">
        <v>341</v>
      </c>
      <c r="F17" s="192" t="s">
        <v>342</v>
      </c>
      <c r="K17" s="113"/>
      <c r="L17" s="113"/>
    </row>
    <row r="18" spans="1:12" ht="12" x14ac:dyDescent="0.35">
      <c r="A18" s="196" t="s">
        <v>993</v>
      </c>
      <c r="B18" s="192" t="s">
        <v>994</v>
      </c>
      <c r="C18" s="192" t="s">
        <v>176</v>
      </c>
      <c r="D18" s="193" t="s">
        <v>254</v>
      </c>
      <c r="E18" s="192" t="s">
        <v>343</v>
      </c>
      <c r="F18" s="192" t="s">
        <v>344</v>
      </c>
      <c r="H18" s="270" t="s">
        <v>817</v>
      </c>
      <c r="I18" s="270"/>
    </row>
    <row r="19" spans="1:12" ht="12" x14ac:dyDescent="0.35">
      <c r="A19" s="196" t="s">
        <v>995</v>
      </c>
      <c r="B19" s="192" t="s">
        <v>996</v>
      </c>
      <c r="C19" s="192" t="s">
        <v>176</v>
      </c>
      <c r="D19" s="194"/>
      <c r="E19" s="192" t="s">
        <v>928</v>
      </c>
      <c r="F19" s="192" t="s">
        <v>929</v>
      </c>
      <c r="H19" s="90" t="s">
        <v>968</v>
      </c>
      <c r="I19" s="91" t="s">
        <v>728</v>
      </c>
    </row>
    <row r="20" spans="1:12" ht="12" x14ac:dyDescent="0.35">
      <c r="A20" s="196" t="s">
        <v>997</v>
      </c>
      <c r="B20" s="192" t="s">
        <v>998</v>
      </c>
      <c r="C20" s="192" t="s">
        <v>176</v>
      </c>
      <c r="D20" s="193"/>
      <c r="E20" s="192" t="s">
        <v>345</v>
      </c>
      <c r="F20" s="192" t="s">
        <v>346</v>
      </c>
      <c r="H20" s="84" t="s">
        <v>729</v>
      </c>
      <c r="I20" s="85" t="s">
        <v>730</v>
      </c>
    </row>
    <row r="21" spans="1:12" ht="12" x14ac:dyDescent="0.35">
      <c r="A21" s="196" t="s">
        <v>999</v>
      </c>
      <c r="B21" s="192" t="s">
        <v>1000</v>
      </c>
      <c r="C21" s="192" t="s">
        <v>176</v>
      </c>
      <c r="D21" s="193" t="s">
        <v>255</v>
      </c>
      <c r="E21" s="192" t="s">
        <v>347</v>
      </c>
      <c r="F21" s="192" t="s">
        <v>348</v>
      </c>
      <c r="H21" s="86" t="s">
        <v>731</v>
      </c>
      <c r="I21" s="87" t="s">
        <v>732</v>
      </c>
    </row>
    <row r="22" spans="1:12" ht="12" x14ac:dyDescent="0.35">
      <c r="A22" s="196" t="s">
        <v>1001</v>
      </c>
      <c r="B22" s="192" t="s">
        <v>1002</v>
      </c>
      <c r="C22" s="192" t="s">
        <v>176</v>
      </c>
      <c r="D22" s="193"/>
      <c r="E22" s="192" t="s">
        <v>349</v>
      </c>
      <c r="F22" s="192" t="s">
        <v>350</v>
      </c>
      <c r="H22" s="86" t="s">
        <v>733</v>
      </c>
      <c r="I22" s="87" t="s">
        <v>734</v>
      </c>
    </row>
    <row r="23" spans="1:12" ht="12" x14ac:dyDescent="0.35">
      <c r="A23" s="196" t="s">
        <v>1003</v>
      </c>
      <c r="B23" s="192" t="s">
        <v>1004</v>
      </c>
      <c r="C23" s="192" t="s">
        <v>176</v>
      </c>
      <c r="D23" s="194"/>
      <c r="E23" s="192" t="s">
        <v>930</v>
      </c>
      <c r="F23" s="192" t="s">
        <v>931</v>
      </c>
      <c r="H23" s="86" t="s">
        <v>735</v>
      </c>
      <c r="I23" s="87" t="s">
        <v>735</v>
      </c>
    </row>
    <row r="24" spans="1:12" ht="12" x14ac:dyDescent="0.35">
      <c r="A24" s="196" t="s">
        <v>1005</v>
      </c>
      <c r="B24" s="192" t="s">
        <v>1006</v>
      </c>
      <c r="C24" s="192" t="s">
        <v>176</v>
      </c>
      <c r="D24" s="193" t="s">
        <v>673</v>
      </c>
      <c r="E24" s="192" t="s">
        <v>351</v>
      </c>
      <c r="F24" s="192" t="s">
        <v>352</v>
      </c>
      <c r="H24" s="86" t="s">
        <v>736</v>
      </c>
      <c r="I24" s="87" t="s">
        <v>737</v>
      </c>
    </row>
    <row r="25" spans="1:12" ht="12" x14ac:dyDescent="0.35">
      <c r="A25" s="196" t="s">
        <v>1007</v>
      </c>
      <c r="B25" s="192" t="s">
        <v>1008</v>
      </c>
      <c r="C25" s="192" t="s">
        <v>176</v>
      </c>
      <c r="D25" s="193"/>
      <c r="E25" s="192" t="s">
        <v>353</v>
      </c>
      <c r="F25" s="192" t="s">
        <v>354</v>
      </c>
      <c r="H25" s="86" t="s">
        <v>738</v>
      </c>
      <c r="I25" s="87" t="s">
        <v>739</v>
      </c>
    </row>
    <row r="26" spans="1:12" ht="12" x14ac:dyDescent="0.35">
      <c r="A26" s="196" t="s">
        <v>1009</v>
      </c>
      <c r="B26" s="192" t="s">
        <v>1010</v>
      </c>
      <c r="C26" s="192" t="s">
        <v>176</v>
      </c>
      <c r="D26" s="193" t="s">
        <v>254</v>
      </c>
      <c r="E26" s="192" t="s">
        <v>355</v>
      </c>
      <c r="F26" s="192" t="s">
        <v>356</v>
      </c>
      <c r="H26" s="86" t="s">
        <v>740</v>
      </c>
      <c r="I26" s="87" t="s">
        <v>741</v>
      </c>
    </row>
    <row r="27" spans="1:12" ht="12" x14ac:dyDescent="0.35">
      <c r="A27" s="196" t="s">
        <v>1011</v>
      </c>
      <c r="B27" s="192" t="s">
        <v>1012</v>
      </c>
      <c r="C27" s="192" t="s">
        <v>176</v>
      </c>
      <c r="D27" s="195"/>
      <c r="E27" s="192" t="s">
        <v>357</v>
      </c>
      <c r="F27" s="192" t="s">
        <v>358</v>
      </c>
      <c r="H27" s="88" t="s">
        <v>742</v>
      </c>
      <c r="I27" s="89" t="s">
        <v>743</v>
      </c>
    </row>
    <row r="28" spans="1:12" ht="12" x14ac:dyDescent="0.35">
      <c r="A28" s="196" t="s">
        <v>1013</v>
      </c>
      <c r="B28" s="192" t="s">
        <v>1014</v>
      </c>
      <c r="C28" s="192" t="s">
        <v>176</v>
      </c>
      <c r="D28" s="193"/>
      <c r="E28" s="192" t="s">
        <v>359</v>
      </c>
      <c r="F28" s="192" t="s">
        <v>360</v>
      </c>
    </row>
    <row r="29" spans="1:12" ht="12" x14ac:dyDescent="0.35">
      <c r="A29" s="196" t="s">
        <v>1015</v>
      </c>
      <c r="B29" s="192" t="s">
        <v>1016</v>
      </c>
      <c r="C29" s="192" t="s">
        <v>176</v>
      </c>
      <c r="D29" s="193" t="s">
        <v>234</v>
      </c>
      <c r="E29" s="192" t="s">
        <v>361</v>
      </c>
      <c r="F29" s="192" t="s">
        <v>362</v>
      </c>
    </row>
    <row r="30" spans="1:12" ht="12" x14ac:dyDescent="0.35">
      <c r="A30" s="196" t="s">
        <v>1017</v>
      </c>
      <c r="B30" s="192" t="s">
        <v>1018</v>
      </c>
      <c r="C30" s="192" t="s">
        <v>176</v>
      </c>
      <c r="D30" s="193"/>
      <c r="E30" s="192" t="s">
        <v>322</v>
      </c>
      <c r="F30" s="192" t="s">
        <v>363</v>
      </c>
      <c r="H30" s="272" t="s">
        <v>593</v>
      </c>
      <c r="I30" s="272"/>
    </row>
    <row r="31" spans="1:12" ht="12" x14ac:dyDescent="0.35">
      <c r="A31" s="196" t="s">
        <v>1019</v>
      </c>
      <c r="B31" s="192" t="s">
        <v>1020</v>
      </c>
      <c r="C31" s="192" t="s">
        <v>176</v>
      </c>
      <c r="D31" s="193"/>
      <c r="E31" s="192" t="s">
        <v>364</v>
      </c>
      <c r="F31" s="192" t="s">
        <v>365</v>
      </c>
      <c r="H31" s="39" t="s">
        <v>228</v>
      </c>
      <c r="I31" s="40" t="s">
        <v>594</v>
      </c>
    </row>
    <row r="32" spans="1:12" ht="12" x14ac:dyDescent="0.35">
      <c r="A32" s="196" t="s">
        <v>1021</v>
      </c>
      <c r="B32" s="192" t="s">
        <v>1022</v>
      </c>
      <c r="C32" s="192" t="s">
        <v>176</v>
      </c>
      <c r="D32" s="196"/>
      <c r="E32" s="192" t="s">
        <v>932</v>
      </c>
      <c r="F32" s="192" t="s">
        <v>933</v>
      </c>
      <c r="H32" s="41" t="s">
        <v>595</v>
      </c>
      <c r="I32" s="42" t="s">
        <v>596</v>
      </c>
    </row>
    <row r="33" spans="1:10" ht="12" x14ac:dyDescent="0.35">
      <c r="A33" s="196" t="s">
        <v>1023</v>
      </c>
      <c r="B33" s="192" t="s">
        <v>1024</v>
      </c>
      <c r="C33" s="192" t="s">
        <v>176</v>
      </c>
      <c r="D33" s="193" t="s">
        <v>254</v>
      </c>
      <c r="E33" s="192" t="s">
        <v>366</v>
      </c>
      <c r="F33" s="192" t="s">
        <v>367</v>
      </c>
      <c r="H33" s="43" t="s">
        <v>597</v>
      </c>
      <c r="I33" s="44" t="s">
        <v>598</v>
      </c>
    </row>
    <row r="34" spans="1:10" ht="12" x14ac:dyDescent="0.35">
      <c r="A34" s="196" t="s">
        <v>1025</v>
      </c>
      <c r="B34" s="192" t="s">
        <v>1026</v>
      </c>
      <c r="C34" s="192" t="s">
        <v>176</v>
      </c>
      <c r="D34" s="193"/>
      <c r="E34" s="192" t="s">
        <v>368</v>
      </c>
      <c r="F34" s="192" t="s">
        <v>369</v>
      </c>
    </row>
    <row r="35" spans="1:10" ht="12" x14ac:dyDescent="0.35">
      <c r="A35" s="196" t="s">
        <v>1027</v>
      </c>
      <c r="B35" s="192" t="s">
        <v>1028</v>
      </c>
      <c r="C35" s="192" t="s">
        <v>176</v>
      </c>
      <c r="D35" s="193"/>
      <c r="E35" s="192" t="s">
        <v>370</v>
      </c>
      <c r="F35" s="192" t="s">
        <v>371</v>
      </c>
    </row>
    <row r="36" spans="1:10" ht="12" x14ac:dyDescent="0.35">
      <c r="A36" s="196" t="s">
        <v>1029</v>
      </c>
      <c r="B36" s="192" t="s">
        <v>1030</v>
      </c>
      <c r="C36" s="192" t="s">
        <v>176</v>
      </c>
      <c r="D36" s="193" t="s">
        <v>256</v>
      </c>
      <c r="E36" s="192" t="s">
        <v>372</v>
      </c>
      <c r="F36" s="192" t="s">
        <v>373</v>
      </c>
      <c r="H36" s="272" t="s">
        <v>599</v>
      </c>
      <c r="I36" s="272"/>
    </row>
    <row r="37" spans="1:10" ht="12" x14ac:dyDescent="0.35">
      <c r="A37" s="196" t="s">
        <v>1031</v>
      </c>
      <c r="B37" s="192" t="s">
        <v>1032</v>
      </c>
      <c r="C37" s="192" t="s">
        <v>176</v>
      </c>
      <c r="D37" s="192"/>
      <c r="E37" s="192" t="s">
        <v>139</v>
      </c>
      <c r="F37" s="192" t="s">
        <v>374</v>
      </c>
      <c r="H37" s="95" t="s">
        <v>600</v>
      </c>
      <c r="I37" s="96" t="s">
        <v>601</v>
      </c>
      <c r="J37" s="38" t="s">
        <v>947</v>
      </c>
    </row>
    <row r="38" spans="1:10" ht="12" x14ac:dyDescent="0.35">
      <c r="A38" s="196" t="s">
        <v>1033</v>
      </c>
      <c r="B38" s="192" t="s">
        <v>1034</v>
      </c>
      <c r="C38" s="192" t="s">
        <v>176</v>
      </c>
      <c r="D38" s="196"/>
      <c r="E38" s="192" t="s">
        <v>934</v>
      </c>
      <c r="F38" s="192" t="s">
        <v>935</v>
      </c>
      <c r="H38" s="41" t="s">
        <v>704</v>
      </c>
      <c r="I38" s="42" t="s">
        <v>705</v>
      </c>
      <c r="J38" s="38" t="s">
        <v>948</v>
      </c>
    </row>
    <row r="39" spans="1:10" ht="12" x14ac:dyDescent="0.35">
      <c r="A39" s="196" t="s">
        <v>1035</v>
      </c>
      <c r="B39" s="192" t="s">
        <v>1036</v>
      </c>
      <c r="C39" s="192" t="s">
        <v>176</v>
      </c>
      <c r="D39" s="193"/>
      <c r="E39" s="192" t="s">
        <v>375</v>
      </c>
      <c r="F39" s="192" t="s">
        <v>376</v>
      </c>
      <c r="H39" s="41" t="s">
        <v>706</v>
      </c>
      <c r="I39" s="42" t="s">
        <v>707</v>
      </c>
      <c r="J39" s="38" t="s">
        <v>949</v>
      </c>
    </row>
    <row r="40" spans="1:10" ht="12" x14ac:dyDescent="0.35">
      <c r="A40" s="196" t="s">
        <v>1037</v>
      </c>
      <c r="B40" s="192" t="s">
        <v>1038</v>
      </c>
      <c r="C40" s="192" t="s">
        <v>176</v>
      </c>
      <c r="D40" s="193"/>
      <c r="E40" s="192" t="s">
        <v>377</v>
      </c>
      <c r="F40" s="192" t="s">
        <v>378</v>
      </c>
      <c r="H40" s="41" t="s">
        <v>602</v>
      </c>
      <c r="I40" s="42" t="s">
        <v>708</v>
      </c>
      <c r="J40" s="38" t="s">
        <v>950</v>
      </c>
    </row>
    <row r="41" spans="1:10" ht="12" x14ac:dyDescent="0.35">
      <c r="A41" s="196" t="s">
        <v>109</v>
      </c>
      <c r="B41" s="192" t="s">
        <v>110</v>
      </c>
      <c r="C41" s="192" t="s">
        <v>176</v>
      </c>
      <c r="D41" s="193"/>
      <c r="E41" s="192" t="s">
        <v>110</v>
      </c>
      <c r="F41" s="192" t="s">
        <v>381</v>
      </c>
      <c r="H41" s="43" t="s">
        <v>603</v>
      </c>
      <c r="I41" s="44" t="s">
        <v>709</v>
      </c>
      <c r="J41" s="38" t="s">
        <v>951</v>
      </c>
    </row>
    <row r="42" spans="1:10" ht="12" x14ac:dyDescent="0.35">
      <c r="A42" s="196" t="s">
        <v>159</v>
      </c>
      <c r="B42" s="192" t="s">
        <v>160</v>
      </c>
      <c r="C42" s="192" t="s">
        <v>176</v>
      </c>
      <c r="D42" s="193"/>
      <c r="E42" s="192" t="s">
        <v>160</v>
      </c>
      <c r="F42" s="192" t="s">
        <v>382</v>
      </c>
    </row>
    <row r="43" spans="1:10" ht="12" x14ac:dyDescent="0.35">
      <c r="A43" s="196" t="s">
        <v>1039</v>
      </c>
      <c r="B43" s="192" t="s">
        <v>1040</v>
      </c>
      <c r="C43" s="192" t="s">
        <v>176</v>
      </c>
      <c r="D43" s="192"/>
      <c r="E43" s="192" t="s">
        <v>952</v>
      </c>
      <c r="F43" s="192" t="s">
        <v>380</v>
      </c>
    </row>
    <row r="44" spans="1:10" ht="12" x14ac:dyDescent="0.35">
      <c r="A44" s="196" t="s">
        <v>1041</v>
      </c>
      <c r="B44" s="192" t="s">
        <v>1042</v>
      </c>
      <c r="C44" s="192" t="s">
        <v>176</v>
      </c>
      <c r="D44" s="193"/>
      <c r="E44" s="192" t="s">
        <v>383</v>
      </c>
      <c r="F44" s="192" t="s">
        <v>384</v>
      </c>
    </row>
    <row r="45" spans="1:10" ht="12" x14ac:dyDescent="0.35">
      <c r="A45" s="196" t="s">
        <v>30</v>
      </c>
      <c r="B45" s="192" t="s">
        <v>31</v>
      </c>
      <c r="C45" s="192" t="s">
        <v>176</v>
      </c>
      <c r="D45" s="193"/>
      <c r="E45" s="192" t="s">
        <v>31</v>
      </c>
      <c r="F45" s="192" t="s">
        <v>385</v>
      </c>
    </row>
    <row r="46" spans="1:10" ht="12" x14ac:dyDescent="0.35">
      <c r="A46" s="196" t="s">
        <v>114</v>
      </c>
      <c r="B46" s="192" t="s">
        <v>115</v>
      </c>
      <c r="C46" s="192" t="s">
        <v>176</v>
      </c>
      <c r="D46" s="193"/>
      <c r="E46" s="192" t="s">
        <v>115</v>
      </c>
      <c r="F46" s="192" t="s">
        <v>454</v>
      </c>
    </row>
    <row r="47" spans="1:10" ht="12" x14ac:dyDescent="0.35">
      <c r="A47" s="196" t="s">
        <v>32</v>
      </c>
      <c r="B47" s="192" t="s">
        <v>33</v>
      </c>
      <c r="C47" s="192" t="s">
        <v>176</v>
      </c>
      <c r="D47" s="193" t="s">
        <v>229</v>
      </c>
      <c r="E47" s="192" t="s">
        <v>33</v>
      </c>
      <c r="F47" s="192" t="s">
        <v>386</v>
      </c>
    </row>
    <row r="48" spans="1:10" ht="12" x14ac:dyDescent="0.35">
      <c r="A48" s="196" t="s">
        <v>1043</v>
      </c>
      <c r="B48" s="192" t="s">
        <v>379</v>
      </c>
      <c r="C48" s="192" t="s">
        <v>176</v>
      </c>
      <c r="D48" s="192"/>
      <c r="E48" s="192" t="s">
        <v>379</v>
      </c>
      <c r="F48" s="192" t="s">
        <v>380</v>
      </c>
    </row>
    <row r="49" spans="1:6" ht="12" x14ac:dyDescent="0.35">
      <c r="A49" s="196" t="s">
        <v>118</v>
      </c>
      <c r="B49" s="192" t="s">
        <v>119</v>
      </c>
      <c r="C49" s="192" t="s">
        <v>176</v>
      </c>
      <c r="D49" s="193"/>
      <c r="E49" s="192" t="s">
        <v>119</v>
      </c>
      <c r="F49" s="192" t="s">
        <v>456</v>
      </c>
    </row>
    <row r="50" spans="1:6" ht="12" x14ac:dyDescent="0.35">
      <c r="A50" s="196" t="s">
        <v>120</v>
      </c>
      <c r="B50" s="192" t="s">
        <v>121</v>
      </c>
      <c r="C50" s="192" t="s">
        <v>176</v>
      </c>
      <c r="D50" s="193" t="s">
        <v>229</v>
      </c>
      <c r="E50" s="192" t="s">
        <v>121</v>
      </c>
      <c r="F50" s="192" t="s">
        <v>387</v>
      </c>
    </row>
    <row r="51" spans="1:6" ht="12" x14ac:dyDescent="0.35">
      <c r="A51" s="196" t="s">
        <v>161</v>
      </c>
      <c r="B51" s="192" t="s">
        <v>113</v>
      </c>
      <c r="C51" s="192" t="s">
        <v>176</v>
      </c>
      <c r="D51" s="193"/>
      <c r="E51" s="192" t="s">
        <v>113</v>
      </c>
      <c r="F51" s="192" t="s">
        <v>388</v>
      </c>
    </row>
    <row r="52" spans="1:6" ht="12" x14ac:dyDescent="0.35">
      <c r="A52" s="196" t="s">
        <v>28</v>
      </c>
      <c r="B52" s="192" t="s">
        <v>29</v>
      </c>
      <c r="C52" s="192" t="s">
        <v>176</v>
      </c>
      <c r="D52" s="193" t="s">
        <v>235</v>
      </c>
      <c r="E52" s="192" t="s">
        <v>29</v>
      </c>
      <c r="F52" s="192" t="s">
        <v>389</v>
      </c>
    </row>
    <row r="53" spans="1:6" ht="12" x14ac:dyDescent="0.35">
      <c r="A53" s="196" t="s">
        <v>1044</v>
      </c>
      <c r="B53" s="192" t="s">
        <v>27</v>
      </c>
      <c r="C53" s="192" t="s">
        <v>176</v>
      </c>
      <c r="D53" s="193"/>
      <c r="E53" s="192" t="s">
        <v>27</v>
      </c>
      <c r="F53" s="192" t="s">
        <v>62</v>
      </c>
    </row>
    <row r="54" spans="1:6" ht="12" x14ac:dyDescent="0.35">
      <c r="A54" s="196" t="s">
        <v>34</v>
      </c>
      <c r="B54" s="192" t="s">
        <v>35</v>
      </c>
      <c r="C54" s="192" t="s">
        <v>176</v>
      </c>
      <c r="D54" s="193"/>
      <c r="E54" s="192" t="s">
        <v>35</v>
      </c>
      <c r="F54" s="192" t="s">
        <v>390</v>
      </c>
    </row>
    <row r="55" spans="1:6" ht="12" x14ac:dyDescent="0.35">
      <c r="A55" s="196" t="s">
        <v>36</v>
      </c>
      <c r="B55" s="192" t="s">
        <v>37</v>
      </c>
      <c r="C55" s="192" t="s">
        <v>176</v>
      </c>
      <c r="D55" s="193"/>
      <c r="E55" s="192" t="s">
        <v>37</v>
      </c>
      <c r="F55" s="192" t="s">
        <v>391</v>
      </c>
    </row>
    <row r="56" spans="1:6" ht="12" x14ac:dyDescent="0.35">
      <c r="A56" s="196" t="s">
        <v>38</v>
      </c>
      <c r="B56" s="192" t="s">
        <v>39</v>
      </c>
      <c r="C56" s="192" t="s">
        <v>176</v>
      </c>
      <c r="D56" s="193"/>
      <c r="E56" s="192" t="s">
        <v>39</v>
      </c>
      <c r="F56" s="192" t="s">
        <v>392</v>
      </c>
    </row>
    <row r="57" spans="1:6" ht="12" x14ac:dyDescent="0.35">
      <c r="A57" s="196" t="s">
        <v>1045</v>
      </c>
      <c r="B57" s="192" t="s">
        <v>40</v>
      </c>
      <c r="C57" s="192" t="s">
        <v>176</v>
      </c>
      <c r="D57" s="193"/>
      <c r="E57" s="192" t="s">
        <v>40</v>
      </c>
      <c r="F57" s="192" t="s">
        <v>393</v>
      </c>
    </row>
    <row r="58" spans="1:6" ht="12" x14ac:dyDescent="0.35">
      <c r="A58" s="196" t="s">
        <v>128</v>
      </c>
      <c r="B58" s="192" t="s">
        <v>129</v>
      </c>
      <c r="C58" s="192" t="s">
        <v>176</v>
      </c>
      <c r="D58" s="193"/>
      <c r="E58" s="192" t="s">
        <v>129</v>
      </c>
      <c r="F58" s="192" t="s">
        <v>394</v>
      </c>
    </row>
    <row r="59" spans="1:6" ht="12" x14ac:dyDescent="0.35">
      <c r="A59" s="196" t="s">
        <v>41</v>
      </c>
      <c r="B59" s="192" t="s">
        <v>42</v>
      </c>
      <c r="C59" s="192" t="s">
        <v>176</v>
      </c>
      <c r="D59" s="193"/>
      <c r="E59" s="192" t="s">
        <v>42</v>
      </c>
      <c r="F59" s="192" t="s">
        <v>395</v>
      </c>
    </row>
    <row r="60" spans="1:6" ht="12" x14ac:dyDescent="0.35">
      <c r="A60" s="196" t="s">
        <v>44</v>
      </c>
      <c r="B60" s="192" t="s">
        <v>45</v>
      </c>
      <c r="C60" s="192" t="s">
        <v>176</v>
      </c>
      <c r="D60" s="193" t="s">
        <v>236</v>
      </c>
      <c r="E60" s="192" t="s">
        <v>45</v>
      </c>
      <c r="F60" s="192" t="s">
        <v>396</v>
      </c>
    </row>
    <row r="61" spans="1:6" ht="12" x14ac:dyDescent="0.35">
      <c r="A61" s="196" t="s">
        <v>130</v>
      </c>
      <c r="B61" s="192" t="s">
        <v>131</v>
      </c>
      <c r="C61" s="192" t="s">
        <v>176</v>
      </c>
      <c r="D61" s="193"/>
      <c r="E61" s="192" t="s">
        <v>131</v>
      </c>
      <c r="F61" s="192" t="s">
        <v>397</v>
      </c>
    </row>
    <row r="62" spans="1:6" ht="12" x14ac:dyDescent="0.35">
      <c r="A62" s="196" t="s">
        <v>47</v>
      </c>
      <c r="B62" s="192" t="s">
        <v>48</v>
      </c>
      <c r="C62" s="192" t="s">
        <v>176</v>
      </c>
      <c r="D62" s="193"/>
      <c r="E62" s="192" t="s">
        <v>48</v>
      </c>
      <c r="F62" s="192" t="s">
        <v>398</v>
      </c>
    </row>
    <row r="63" spans="1:6" ht="12" x14ac:dyDescent="0.35">
      <c r="A63" s="196" t="s">
        <v>49</v>
      </c>
      <c r="B63" s="192" t="s">
        <v>25</v>
      </c>
      <c r="C63" s="192" t="s">
        <v>176</v>
      </c>
      <c r="D63" s="193"/>
      <c r="E63" s="192" t="s">
        <v>25</v>
      </c>
      <c r="F63" s="192" t="s">
        <v>399</v>
      </c>
    </row>
    <row r="64" spans="1:6" ht="12" x14ac:dyDescent="0.35">
      <c r="A64" s="196" t="s">
        <v>153</v>
      </c>
      <c r="B64" s="192" t="s">
        <v>154</v>
      </c>
      <c r="C64" s="192" t="s">
        <v>176</v>
      </c>
      <c r="D64" s="193"/>
      <c r="E64" s="192" t="s">
        <v>154</v>
      </c>
      <c r="F64" s="192" t="s">
        <v>400</v>
      </c>
    </row>
    <row r="65" spans="1:6" ht="12" x14ac:dyDescent="0.35">
      <c r="A65" s="196" t="s">
        <v>133</v>
      </c>
      <c r="B65" s="192" t="s">
        <v>134</v>
      </c>
      <c r="C65" s="192" t="s">
        <v>176</v>
      </c>
      <c r="D65" s="193"/>
      <c r="E65" s="192" t="s">
        <v>134</v>
      </c>
      <c r="F65" s="192" t="s">
        <v>401</v>
      </c>
    </row>
    <row r="66" spans="1:6" ht="12" x14ac:dyDescent="0.35">
      <c r="A66" s="196" t="s">
        <v>1046</v>
      </c>
      <c r="B66" s="192" t="s">
        <v>1047</v>
      </c>
      <c r="C66" s="192" t="s">
        <v>176</v>
      </c>
      <c r="D66" s="192"/>
      <c r="E66" s="192" t="s">
        <v>1048</v>
      </c>
      <c r="F66" s="192" t="s">
        <v>380</v>
      </c>
    </row>
    <row r="67" spans="1:6" ht="12" x14ac:dyDescent="0.35">
      <c r="A67" s="196" t="s">
        <v>135</v>
      </c>
      <c r="B67" s="192" t="s">
        <v>136</v>
      </c>
      <c r="C67" s="192" t="s">
        <v>176</v>
      </c>
      <c r="D67" s="193"/>
      <c r="E67" s="192" t="s">
        <v>136</v>
      </c>
      <c r="F67" s="192" t="s">
        <v>402</v>
      </c>
    </row>
    <row r="68" spans="1:6" ht="12" x14ac:dyDescent="0.35">
      <c r="A68" s="196" t="s">
        <v>50</v>
      </c>
      <c r="B68" s="192" t="s">
        <v>51</v>
      </c>
      <c r="C68" s="192" t="s">
        <v>176</v>
      </c>
      <c r="D68" s="193" t="s">
        <v>229</v>
      </c>
      <c r="E68" s="192" t="s">
        <v>51</v>
      </c>
      <c r="F68" s="192" t="s">
        <v>403</v>
      </c>
    </row>
    <row r="69" spans="1:6" ht="12" x14ac:dyDescent="0.35">
      <c r="A69" s="196" t="s">
        <v>52</v>
      </c>
      <c r="B69" s="192" t="s">
        <v>53</v>
      </c>
      <c r="C69" s="192" t="s">
        <v>176</v>
      </c>
      <c r="D69" s="193"/>
      <c r="E69" s="192" t="s">
        <v>53</v>
      </c>
      <c r="F69" s="192" t="s">
        <v>404</v>
      </c>
    </row>
    <row r="70" spans="1:6" ht="12" x14ac:dyDescent="0.35">
      <c r="A70" s="196" t="s">
        <v>54</v>
      </c>
      <c r="B70" s="192" t="s">
        <v>55</v>
      </c>
      <c r="C70" s="192" t="s">
        <v>176</v>
      </c>
      <c r="D70" s="193"/>
      <c r="E70" s="192" t="s">
        <v>55</v>
      </c>
      <c r="F70" s="192" t="s">
        <v>405</v>
      </c>
    </row>
    <row r="71" spans="1:6" ht="12" x14ac:dyDescent="0.35">
      <c r="A71" s="196" t="s">
        <v>1049</v>
      </c>
      <c r="B71" s="192" t="s">
        <v>56</v>
      </c>
      <c r="C71" s="192" t="s">
        <v>176</v>
      </c>
      <c r="D71" s="193" t="s">
        <v>235</v>
      </c>
      <c r="E71" s="192" t="s">
        <v>56</v>
      </c>
      <c r="F71" s="192" t="s">
        <v>406</v>
      </c>
    </row>
    <row r="72" spans="1:6" ht="12" x14ac:dyDescent="0.35">
      <c r="A72" s="196" t="s">
        <v>1050</v>
      </c>
      <c r="B72" s="192" t="s">
        <v>1051</v>
      </c>
      <c r="C72" s="192" t="s">
        <v>176</v>
      </c>
      <c r="D72" s="192"/>
      <c r="E72" s="192" t="s">
        <v>1052</v>
      </c>
      <c r="F72" s="192" t="s">
        <v>380</v>
      </c>
    </row>
    <row r="73" spans="1:6" ht="12" x14ac:dyDescent="0.35">
      <c r="A73" s="196" t="s">
        <v>140</v>
      </c>
      <c r="B73" s="192" t="s">
        <v>141</v>
      </c>
      <c r="C73" s="192" t="s">
        <v>176</v>
      </c>
      <c r="D73" s="193" t="s">
        <v>257</v>
      </c>
      <c r="E73" s="192" t="s">
        <v>141</v>
      </c>
      <c r="F73" s="192" t="s">
        <v>407</v>
      </c>
    </row>
    <row r="74" spans="1:6" ht="12" x14ac:dyDescent="0.35">
      <c r="A74" s="196" t="s">
        <v>143</v>
      </c>
      <c r="B74" s="192" t="s">
        <v>144</v>
      </c>
      <c r="C74" s="192" t="s">
        <v>176</v>
      </c>
      <c r="D74" s="193"/>
      <c r="E74" s="192" t="s">
        <v>144</v>
      </c>
      <c r="F74" s="192" t="s">
        <v>408</v>
      </c>
    </row>
    <row r="75" spans="1:6" ht="12" x14ac:dyDescent="0.35">
      <c r="A75" s="196" t="s">
        <v>57</v>
      </c>
      <c r="B75" s="192" t="s">
        <v>58</v>
      </c>
      <c r="C75" s="192" t="s">
        <v>176</v>
      </c>
      <c r="D75" s="195" t="s">
        <v>252</v>
      </c>
      <c r="E75" s="192" t="s">
        <v>58</v>
      </c>
      <c r="F75" s="192" t="s">
        <v>409</v>
      </c>
    </row>
    <row r="76" spans="1:6" ht="12" x14ac:dyDescent="0.35">
      <c r="A76" s="196" t="s">
        <v>1053</v>
      </c>
      <c r="B76" s="192" t="s">
        <v>146</v>
      </c>
      <c r="C76" s="192" t="s">
        <v>176</v>
      </c>
      <c r="D76" s="195"/>
      <c r="E76" s="192" t="s">
        <v>146</v>
      </c>
      <c r="F76" s="192" t="s">
        <v>410</v>
      </c>
    </row>
    <row r="77" spans="1:6" ht="12" x14ac:dyDescent="0.35">
      <c r="A77" s="196" t="s">
        <v>237</v>
      </c>
      <c r="B77" s="192" t="s">
        <v>147</v>
      </c>
      <c r="C77" s="192" t="s">
        <v>176</v>
      </c>
      <c r="D77" s="193"/>
      <c r="E77" s="192" t="s">
        <v>147</v>
      </c>
      <c r="F77" s="192" t="s">
        <v>411</v>
      </c>
    </row>
    <row r="78" spans="1:6" ht="12" x14ac:dyDescent="0.35">
      <c r="A78" s="196" t="s">
        <v>59</v>
      </c>
      <c r="B78" s="192" t="s">
        <v>60</v>
      </c>
      <c r="C78" s="192" t="s">
        <v>176</v>
      </c>
      <c r="D78" s="193" t="s">
        <v>238</v>
      </c>
      <c r="E78" s="192" t="s">
        <v>60</v>
      </c>
      <c r="F78" s="192" t="s">
        <v>412</v>
      </c>
    </row>
    <row r="79" spans="1:6" ht="12" x14ac:dyDescent="0.35">
      <c r="A79" s="196" t="s">
        <v>61</v>
      </c>
      <c r="B79" s="192" t="s">
        <v>26</v>
      </c>
      <c r="C79" s="192" t="s">
        <v>176</v>
      </c>
      <c r="D79" s="193"/>
      <c r="E79" s="192" t="s">
        <v>26</v>
      </c>
      <c r="F79" s="192" t="s">
        <v>64</v>
      </c>
    </row>
    <row r="80" spans="1:6" ht="12" x14ac:dyDescent="0.35">
      <c r="A80" s="196" t="s">
        <v>1073</v>
      </c>
      <c r="B80" s="192" t="s">
        <v>63</v>
      </c>
      <c r="C80" s="192" t="s">
        <v>176</v>
      </c>
      <c r="D80" s="193"/>
      <c r="E80" s="192" t="s">
        <v>63</v>
      </c>
      <c r="F80" s="192" t="s">
        <v>43</v>
      </c>
    </row>
    <row r="81" spans="1:6" ht="12" x14ac:dyDescent="0.35">
      <c r="A81" s="196" t="s">
        <v>1054</v>
      </c>
      <c r="B81" s="192" t="s">
        <v>1055</v>
      </c>
      <c r="C81" s="192" t="s">
        <v>176</v>
      </c>
      <c r="D81" s="193"/>
      <c r="E81" s="192" t="s">
        <v>414</v>
      </c>
      <c r="F81" s="192" t="s">
        <v>415</v>
      </c>
    </row>
    <row r="82" spans="1:6" ht="12" x14ac:dyDescent="0.35">
      <c r="A82" s="196" t="s">
        <v>1056</v>
      </c>
      <c r="B82" s="192" t="s">
        <v>1057</v>
      </c>
      <c r="C82" s="192" t="s">
        <v>176</v>
      </c>
      <c r="D82" s="193"/>
      <c r="E82" s="192" t="s">
        <v>416</v>
      </c>
      <c r="F82" s="192" t="s">
        <v>417</v>
      </c>
    </row>
    <row r="83" spans="1:6" ht="12" x14ac:dyDescent="0.35">
      <c r="A83" s="196" t="s">
        <v>1058</v>
      </c>
      <c r="B83" s="192" t="s">
        <v>1059</v>
      </c>
      <c r="C83" s="192" t="s">
        <v>176</v>
      </c>
      <c r="D83" s="193"/>
      <c r="E83" s="192" t="s">
        <v>418</v>
      </c>
      <c r="F83" s="192" t="s">
        <v>419</v>
      </c>
    </row>
    <row r="84" spans="1:6" ht="12" x14ac:dyDescent="0.35">
      <c r="A84" s="196" t="s">
        <v>1060</v>
      </c>
      <c r="B84" s="192" t="s">
        <v>1061</v>
      </c>
      <c r="C84" s="192" t="s">
        <v>176</v>
      </c>
      <c r="D84" s="193" t="s">
        <v>254</v>
      </c>
      <c r="E84" s="192" t="s">
        <v>420</v>
      </c>
      <c r="F84" s="192" t="s">
        <v>421</v>
      </c>
    </row>
    <row r="85" spans="1:6" ht="12" x14ac:dyDescent="0.35">
      <c r="A85" s="196" t="s">
        <v>65</v>
      </c>
      <c r="B85" s="192" t="s">
        <v>65</v>
      </c>
      <c r="C85" s="192" t="s">
        <v>176</v>
      </c>
      <c r="D85" s="193" t="s">
        <v>239</v>
      </c>
      <c r="E85" s="192" t="s">
        <v>65</v>
      </c>
      <c r="F85" s="192" t="s">
        <v>413</v>
      </c>
    </row>
    <row r="86" spans="1:6" ht="12" x14ac:dyDescent="0.35">
      <c r="A86" s="196" t="s">
        <v>67</v>
      </c>
      <c r="B86" s="192" t="s">
        <v>68</v>
      </c>
      <c r="C86" s="192" t="s">
        <v>176</v>
      </c>
      <c r="D86" s="193"/>
      <c r="E86" s="192" t="s">
        <v>68</v>
      </c>
      <c r="F86" s="192" t="s">
        <v>422</v>
      </c>
    </row>
    <row r="87" spans="1:6" ht="12" x14ac:dyDescent="0.35">
      <c r="A87" s="196" t="s">
        <v>74</v>
      </c>
      <c r="B87" s="192" t="s">
        <v>75</v>
      </c>
      <c r="C87" s="192" t="s">
        <v>176</v>
      </c>
      <c r="D87" s="193" t="s">
        <v>235</v>
      </c>
      <c r="E87" s="192" t="s">
        <v>75</v>
      </c>
      <c r="F87" s="192" t="s">
        <v>424</v>
      </c>
    </row>
    <row r="88" spans="1:6" ht="12.45" thickBot="1" x14ac:dyDescent="0.4">
      <c r="A88" s="196" t="s">
        <v>1062</v>
      </c>
      <c r="B88" s="192" t="s">
        <v>1063</v>
      </c>
      <c r="C88" s="148" t="s">
        <v>176</v>
      </c>
      <c r="D88" s="192"/>
      <c r="E88" s="192" t="s">
        <v>1064</v>
      </c>
      <c r="F88" s="192" t="s">
        <v>380</v>
      </c>
    </row>
    <row r="89" spans="1:6" ht="12" x14ac:dyDescent="0.35">
      <c r="A89" s="196" t="s">
        <v>192</v>
      </c>
      <c r="B89" s="192" t="s">
        <v>193</v>
      </c>
      <c r="C89" s="192" t="s">
        <v>183</v>
      </c>
      <c r="D89" s="193"/>
      <c r="E89" s="192" t="s">
        <v>193</v>
      </c>
      <c r="F89" s="192" t="s">
        <v>425</v>
      </c>
    </row>
    <row r="90" spans="1:6" ht="12" x14ac:dyDescent="0.35">
      <c r="A90" s="196" t="s">
        <v>76</v>
      </c>
      <c r="B90" s="192" t="s">
        <v>77</v>
      </c>
      <c r="C90" s="192" t="s">
        <v>183</v>
      </c>
      <c r="D90" s="193"/>
      <c r="E90" s="192" t="s">
        <v>426</v>
      </c>
      <c r="F90" s="192" t="s">
        <v>80</v>
      </c>
    </row>
    <row r="91" spans="1:6" ht="12" x14ac:dyDescent="0.35">
      <c r="A91" s="196" t="s">
        <v>101</v>
      </c>
      <c r="B91" s="192" t="s">
        <v>102</v>
      </c>
      <c r="C91" s="192" t="s">
        <v>183</v>
      </c>
      <c r="D91" s="193"/>
      <c r="E91" s="192" t="s">
        <v>102</v>
      </c>
      <c r="F91" s="192" t="s">
        <v>427</v>
      </c>
    </row>
    <row r="92" spans="1:6" ht="12" x14ac:dyDescent="0.35">
      <c r="A92" s="196" t="s">
        <v>78</v>
      </c>
      <c r="B92" s="192" t="s">
        <v>79</v>
      </c>
      <c r="C92" s="192" t="s">
        <v>183</v>
      </c>
      <c r="D92" s="193"/>
      <c r="E92" s="192" t="s">
        <v>79</v>
      </c>
      <c r="F92" s="192" t="s">
        <v>428</v>
      </c>
    </row>
    <row r="93" spans="1:6" ht="12.45" thickBot="1" x14ac:dyDescent="0.4">
      <c r="A93" s="196" t="s">
        <v>185</v>
      </c>
      <c r="B93" s="192" t="s">
        <v>186</v>
      </c>
      <c r="C93" s="148" t="s">
        <v>183</v>
      </c>
      <c r="D93" s="193"/>
      <c r="E93" s="192" t="s">
        <v>186</v>
      </c>
      <c r="F93" s="192" t="s">
        <v>429</v>
      </c>
    </row>
    <row r="94" spans="1:6" ht="12" x14ac:dyDescent="0.35">
      <c r="A94" s="196" t="s">
        <v>258</v>
      </c>
      <c r="B94" s="192" t="s">
        <v>259</v>
      </c>
      <c r="C94" s="192" t="s">
        <v>184</v>
      </c>
      <c r="D94" s="193"/>
      <c r="E94" s="192" t="s">
        <v>259</v>
      </c>
      <c r="F94" s="192" t="s">
        <v>430</v>
      </c>
    </row>
    <row r="95" spans="1:6" ht="12" x14ac:dyDescent="0.35">
      <c r="A95" s="196" t="s">
        <v>177</v>
      </c>
      <c r="B95" s="192" t="s">
        <v>70</v>
      </c>
      <c r="C95" s="192" t="s">
        <v>184</v>
      </c>
      <c r="D95" s="193"/>
      <c r="E95" s="192" t="s">
        <v>70</v>
      </c>
      <c r="F95" s="192" t="s">
        <v>431</v>
      </c>
    </row>
    <row r="96" spans="1:6" ht="12" x14ac:dyDescent="0.35">
      <c r="A96" s="196" t="s">
        <v>82</v>
      </c>
      <c r="B96" s="192" t="s">
        <v>83</v>
      </c>
      <c r="C96" s="192" t="s">
        <v>184</v>
      </c>
      <c r="D96" s="193"/>
      <c r="E96" s="192" t="s">
        <v>83</v>
      </c>
      <c r="F96" s="192" t="s">
        <v>432</v>
      </c>
    </row>
    <row r="97" spans="1:6" ht="12" x14ac:dyDescent="0.35">
      <c r="A97" s="196" t="s">
        <v>84</v>
      </c>
      <c r="B97" s="192" t="s">
        <v>85</v>
      </c>
      <c r="C97" s="192" t="s">
        <v>184</v>
      </c>
      <c r="D97" s="193"/>
      <c r="E97" s="192" t="s">
        <v>85</v>
      </c>
      <c r="F97" s="192" t="s">
        <v>433</v>
      </c>
    </row>
    <row r="98" spans="1:6" ht="12" x14ac:dyDescent="0.35">
      <c r="A98" s="196" t="s">
        <v>155</v>
      </c>
      <c r="B98" s="192" t="s">
        <v>86</v>
      </c>
      <c r="C98" s="192" t="s">
        <v>184</v>
      </c>
      <c r="D98" s="193"/>
      <c r="E98" s="192" t="s">
        <v>86</v>
      </c>
      <c r="F98" s="192" t="s">
        <v>434</v>
      </c>
    </row>
    <row r="99" spans="1:6" ht="12" x14ac:dyDescent="0.35">
      <c r="A99" s="196" t="s">
        <v>260</v>
      </c>
      <c r="B99" s="192" t="s">
        <v>261</v>
      </c>
      <c r="C99" s="192" t="s">
        <v>184</v>
      </c>
      <c r="D99" s="193"/>
      <c r="E99" s="192" t="s">
        <v>261</v>
      </c>
      <c r="F99" s="192" t="s">
        <v>435</v>
      </c>
    </row>
    <row r="100" spans="1:6" ht="12" x14ac:dyDescent="0.35">
      <c r="A100" s="196" t="s">
        <v>178</v>
      </c>
      <c r="B100" s="192" t="s">
        <v>179</v>
      </c>
      <c r="C100" s="192" t="s">
        <v>184</v>
      </c>
      <c r="D100" s="193"/>
      <c r="E100" s="192" t="s">
        <v>179</v>
      </c>
      <c r="F100" s="192" t="s">
        <v>436</v>
      </c>
    </row>
    <row r="101" spans="1:6" ht="12" x14ac:dyDescent="0.35">
      <c r="A101" s="196" t="s">
        <v>87</v>
      </c>
      <c r="B101" s="192" t="s">
        <v>71</v>
      </c>
      <c r="C101" s="192" t="s">
        <v>184</v>
      </c>
      <c r="D101" s="193"/>
      <c r="E101" s="192" t="s">
        <v>71</v>
      </c>
      <c r="F101" s="192" t="s">
        <v>437</v>
      </c>
    </row>
    <row r="102" spans="1:6" ht="12" x14ac:dyDescent="0.35">
      <c r="A102" s="196" t="s">
        <v>89</v>
      </c>
      <c r="B102" s="192" t="s">
        <v>90</v>
      </c>
      <c r="C102" s="192" t="s">
        <v>184</v>
      </c>
      <c r="D102" s="193"/>
      <c r="E102" s="192" t="s">
        <v>90</v>
      </c>
      <c r="F102" s="192" t="s">
        <v>438</v>
      </c>
    </row>
    <row r="103" spans="1:6" ht="12" x14ac:dyDescent="0.35">
      <c r="A103" s="196" t="s">
        <v>936</v>
      </c>
      <c r="B103" s="192" t="s">
        <v>937</v>
      </c>
      <c r="C103" s="192" t="s">
        <v>184</v>
      </c>
      <c r="D103" s="196"/>
      <c r="E103" s="192" t="s">
        <v>937</v>
      </c>
      <c r="F103" s="192" t="s">
        <v>938</v>
      </c>
    </row>
    <row r="104" spans="1:6" ht="12" x14ac:dyDescent="0.35">
      <c r="A104" s="196" t="s">
        <v>262</v>
      </c>
      <c r="B104" s="192" t="s">
        <v>263</v>
      </c>
      <c r="C104" s="192" t="s">
        <v>184</v>
      </c>
      <c r="D104" s="193"/>
      <c r="E104" s="192" t="s">
        <v>263</v>
      </c>
      <c r="F104" s="192" t="s">
        <v>439</v>
      </c>
    </row>
    <row r="105" spans="1:6" ht="12" x14ac:dyDescent="0.35">
      <c r="A105" s="196" t="s">
        <v>674</v>
      </c>
      <c r="B105" s="192" t="s">
        <v>675</v>
      </c>
      <c r="C105" s="192" t="s">
        <v>184</v>
      </c>
      <c r="D105" s="192"/>
      <c r="E105" s="192" t="s">
        <v>675</v>
      </c>
      <c r="F105" s="192" t="s">
        <v>676</v>
      </c>
    </row>
    <row r="106" spans="1:6" ht="12" x14ac:dyDescent="0.35">
      <c r="A106" s="196" t="s">
        <v>91</v>
      </c>
      <c r="B106" s="192" t="s">
        <v>92</v>
      </c>
      <c r="C106" s="192" t="s">
        <v>184</v>
      </c>
      <c r="D106" s="193"/>
      <c r="E106" s="192" t="s">
        <v>92</v>
      </c>
      <c r="F106" s="192" t="s">
        <v>440</v>
      </c>
    </row>
    <row r="107" spans="1:6" ht="12" x14ac:dyDescent="0.35">
      <c r="A107" s="196" t="s">
        <v>93</v>
      </c>
      <c r="B107" s="192" t="s">
        <v>94</v>
      </c>
      <c r="C107" s="192" t="s">
        <v>184</v>
      </c>
      <c r="D107" s="193"/>
      <c r="E107" s="192" t="s">
        <v>94</v>
      </c>
      <c r="F107" s="192" t="s">
        <v>441</v>
      </c>
    </row>
    <row r="108" spans="1:6" ht="12" x14ac:dyDescent="0.35">
      <c r="A108" s="196" t="s">
        <v>95</v>
      </c>
      <c r="B108" s="192" t="s">
        <v>96</v>
      </c>
      <c r="C108" s="192" t="s">
        <v>184</v>
      </c>
      <c r="D108" s="193"/>
      <c r="E108" s="192" t="s">
        <v>96</v>
      </c>
      <c r="F108" s="192" t="s">
        <v>442</v>
      </c>
    </row>
    <row r="109" spans="1:6" ht="12" x14ac:dyDescent="0.35">
      <c r="A109" s="196" t="s">
        <v>157</v>
      </c>
      <c r="B109" s="192" t="s">
        <v>158</v>
      </c>
      <c r="C109" s="192" t="s">
        <v>184</v>
      </c>
      <c r="D109" s="193"/>
      <c r="E109" s="192" t="s">
        <v>158</v>
      </c>
      <c r="F109" s="192" t="s">
        <v>443</v>
      </c>
    </row>
    <row r="110" spans="1:6" ht="12" x14ac:dyDescent="0.35">
      <c r="A110" s="196" t="s">
        <v>97</v>
      </c>
      <c r="B110" s="192" t="s">
        <v>98</v>
      </c>
      <c r="C110" s="192" t="s">
        <v>183</v>
      </c>
      <c r="D110" s="193"/>
      <c r="E110" s="192" t="s">
        <v>98</v>
      </c>
      <c r="F110" s="192" t="s">
        <v>444</v>
      </c>
    </row>
    <row r="111" spans="1:6" ht="12" x14ac:dyDescent="0.35">
      <c r="A111" s="196" t="s">
        <v>99</v>
      </c>
      <c r="B111" s="192" t="s">
        <v>100</v>
      </c>
      <c r="C111" s="192" t="s">
        <v>184</v>
      </c>
      <c r="D111" s="193"/>
      <c r="E111" s="192" t="s">
        <v>100</v>
      </c>
      <c r="F111" s="192" t="s">
        <v>445</v>
      </c>
    </row>
    <row r="112" spans="1:6" ht="12" x14ac:dyDescent="0.35">
      <c r="A112" s="196" t="s">
        <v>264</v>
      </c>
      <c r="B112" s="192" t="s">
        <v>265</v>
      </c>
      <c r="C112" s="192" t="s">
        <v>184</v>
      </c>
      <c r="D112" s="193"/>
      <c r="E112" s="192" t="s">
        <v>265</v>
      </c>
      <c r="F112" s="192" t="s">
        <v>446</v>
      </c>
    </row>
    <row r="113" spans="1:6" ht="12" x14ac:dyDescent="0.35">
      <c r="A113" s="196" t="s">
        <v>103</v>
      </c>
      <c r="B113" s="192" t="s">
        <v>104</v>
      </c>
      <c r="C113" s="192" t="s">
        <v>184</v>
      </c>
      <c r="D113" s="193"/>
      <c r="E113" s="192" t="s">
        <v>104</v>
      </c>
      <c r="F113" s="192" t="s">
        <v>447</v>
      </c>
    </row>
    <row r="114" spans="1:6" ht="12" x14ac:dyDescent="0.35">
      <c r="A114" s="196" t="s">
        <v>701</v>
      </c>
      <c r="B114" s="192" t="s">
        <v>702</v>
      </c>
      <c r="C114" s="192" t="s">
        <v>184</v>
      </c>
      <c r="D114" s="193"/>
      <c r="E114" s="192" t="s">
        <v>702</v>
      </c>
      <c r="F114" s="192" t="s">
        <v>703</v>
      </c>
    </row>
    <row r="115" spans="1:6" ht="12" x14ac:dyDescent="0.35">
      <c r="A115" s="196" t="s">
        <v>105</v>
      </c>
      <c r="B115" s="192" t="s">
        <v>106</v>
      </c>
      <c r="C115" s="192" t="s">
        <v>184</v>
      </c>
      <c r="D115" s="193"/>
      <c r="E115" s="192" t="s">
        <v>106</v>
      </c>
      <c r="F115" s="192" t="s">
        <v>448</v>
      </c>
    </row>
    <row r="116" spans="1:6" ht="12" x14ac:dyDescent="0.35">
      <c r="A116" s="196" t="s">
        <v>107</v>
      </c>
      <c r="B116" s="192" t="s">
        <v>108</v>
      </c>
      <c r="C116" s="192" t="s">
        <v>184</v>
      </c>
      <c r="D116" s="193"/>
      <c r="E116" s="192" t="s">
        <v>108</v>
      </c>
      <c r="F116" s="192" t="s">
        <v>449</v>
      </c>
    </row>
    <row r="117" spans="1:6" ht="12" x14ac:dyDescent="0.35">
      <c r="A117" s="196" t="s">
        <v>180</v>
      </c>
      <c r="B117" s="192" t="s">
        <v>181</v>
      </c>
      <c r="C117" s="192" t="s">
        <v>184</v>
      </c>
      <c r="D117" s="193"/>
      <c r="E117" s="192" t="s">
        <v>181</v>
      </c>
      <c r="F117" s="192" t="s">
        <v>450</v>
      </c>
    </row>
    <row r="118" spans="1:6" ht="12" x14ac:dyDescent="0.35">
      <c r="A118" s="196" t="s">
        <v>182</v>
      </c>
      <c r="B118" s="192" t="s">
        <v>69</v>
      </c>
      <c r="C118" s="192" t="s">
        <v>184</v>
      </c>
      <c r="D118" s="193"/>
      <c r="E118" s="192" t="s">
        <v>69</v>
      </c>
      <c r="F118" s="192" t="s">
        <v>451</v>
      </c>
    </row>
    <row r="119" spans="1:6" ht="12" x14ac:dyDescent="0.35">
      <c r="A119" s="196" t="s">
        <v>111</v>
      </c>
      <c r="B119" s="192" t="s">
        <v>112</v>
      </c>
      <c r="C119" s="192" t="s">
        <v>184</v>
      </c>
      <c r="D119" s="193"/>
      <c r="E119" s="192" t="s">
        <v>112</v>
      </c>
      <c r="F119" s="192" t="s">
        <v>452</v>
      </c>
    </row>
    <row r="120" spans="1:6" ht="12" x14ac:dyDescent="0.35">
      <c r="A120" s="196" t="s">
        <v>266</v>
      </c>
      <c r="B120" s="192" t="s">
        <v>267</v>
      </c>
      <c r="C120" s="192" t="s">
        <v>184</v>
      </c>
      <c r="D120" s="193"/>
      <c r="E120" s="192" t="s">
        <v>267</v>
      </c>
      <c r="F120" s="192" t="s">
        <v>453</v>
      </c>
    </row>
    <row r="121" spans="1:6" ht="12" x14ac:dyDescent="0.35">
      <c r="A121" s="196" t="s">
        <v>116</v>
      </c>
      <c r="B121" s="192" t="s">
        <v>117</v>
      </c>
      <c r="C121" s="192" t="s">
        <v>184</v>
      </c>
      <c r="D121" s="193"/>
      <c r="E121" s="192" t="s">
        <v>117</v>
      </c>
      <c r="F121" s="192" t="s">
        <v>455</v>
      </c>
    </row>
    <row r="122" spans="1:6" ht="12" x14ac:dyDescent="0.35">
      <c r="A122" s="196" t="s">
        <v>1065</v>
      </c>
      <c r="B122" s="192" t="s">
        <v>1066</v>
      </c>
      <c r="C122" s="192" t="s">
        <v>184</v>
      </c>
      <c r="D122" s="192"/>
      <c r="E122" s="192" t="s">
        <v>1066</v>
      </c>
      <c r="F122" s="192" t="s">
        <v>1067</v>
      </c>
    </row>
    <row r="123" spans="1:6" ht="12" x14ac:dyDescent="0.35">
      <c r="A123" s="196" t="s">
        <v>268</v>
      </c>
      <c r="B123" s="192" t="s">
        <v>269</v>
      </c>
      <c r="C123" s="192" t="s">
        <v>184</v>
      </c>
      <c r="D123" s="193"/>
      <c r="E123" s="192" t="s">
        <v>269</v>
      </c>
      <c r="F123" s="192" t="s">
        <v>457</v>
      </c>
    </row>
    <row r="124" spans="1:6" ht="12" x14ac:dyDescent="0.35">
      <c r="A124" s="196" t="s">
        <v>270</v>
      </c>
      <c r="B124" s="192" t="s">
        <v>271</v>
      </c>
      <c r="C124" s="192" t="s">
        <v>184</v>
      </c>
      <c r="D124" s="193"/>
      <c r="E124" s="192" t="s">
        <v>271</v>
      </c>
      <c r="F124" s="192" t="s">
        <v>458</v>
      </c>
    </row>
    <row r="125" spans="1:6" ht="12" x14ac:dyDescent="0.35">
      <c r="A125" s="196" t="s">
        <v>162</v>
      </c>
      <c r="B125" s="192" t="s">
        <v>163</v>
      </c>
      <c r="C125" s="192" t="s">
        <v>184</v>
      </c>
      <c r="D125" s="193"/>
      <c r="E125" s="192" t="s">
        <v>163</v>
      </c>
      <c r="F125" s="192" t="s">
        <v>459</v>
      </c>
    </row>
    <row r="126" spans="1:6" ht="12" x14ac:dyDescent="0.35">
      <c r="A126" s="196" t="s">
        <v>272</v>
      </c>
      <c r="B126" s="192" t="s">
        <v>273</v>
      </c>
      <c r="C126" s="192" t="s">
        <v>184</v>
      </c>
      <c r="D126" s="193"/>
      <c r="E126" s="192" t="s">
        <v>273</v>
      </c>
      <c r="F126" s="192" t="s">
        <v>460</v>
      </c>
    </row>
    <row r="127" spans="1:6" ht="12" x14ac:dyDescent="0.35">
      <c r="A127" s="196" t="s">
        <v>241</v>
      </c>
      <c r="B127" s="192" t="s">
        <v>164</v>
      </c>
      <c r="C127" s="192" t="s">
        <v>184</v>
      </c>
      <c r="D127" s="193"/>
      <c r="E127" s="192" t="s">
        <v>164</v>
      </c>
      <c r="F127" s="192" t="s">
        <v>461</v>
      </c>
    </row>
    <row r="128" spans="1:6" ht="12" x14ac:dyDescent="0.35">
      <c r="A128" s="196" t="s">
        <v>939</v>
      </c>
      <c r="B128" s="192" t="s">
        <v>940</v>
      </c>
      <c r="C128" s="192" t="s">
        <v>184</v>
      </c>
      <c r="D128" s="196"/>
      <c r="E128" s="192" t="s">
        <v>940</v>
      </c>
      <c r="F128" s="192" t="s">
        <v>941</v>
      </c>
    </row>
    <row r="129" spans="1:6" ht="12" x14ac:dyDescent="0.35">
      <c r="A129" s="196" t="s">
        <v>122</v>
      </c>
      <c r="B129" s="192" t="s">
        <v>123</v>
      </c>
      <c r="C129" s="192" t="s">
        <v>184</v>
      </c>
      <c r="D129" s="193"/>
      <c r="E129" s="192" t="s">
        <v>123</v>
      </c>
      <c r="F129" s="192" t="s">
        <v>462</v>
      </c>
    </row>
    <row r="130" spans="1:6" ht="12" x14ac:dyDescent="0.35">
      <c r="A130" s="196" t="s">
        <v>124</v>
      </c>
      <c r="B130" s="192" t="s">
        <v>125</v>
      </c>
      <c r="C130" s="192" t="s">
        <v>184</v>
      </c>
      <c r="D130" s="193"/>
      <c r="E130" s="192" t="s">
        <v>125</v>
      </c>
      <c r="F130" s="192" t="s">
        <v>463</v>
      </c>
    </row>
    <row r="131" spans="1:6" ht="12" x14ac:dyDescent="0.35">
      <c r="A131" s="196" t="s">
        <v>274</v>
      </c>
      <c r="B131" s="192" t="s">
        <v>275</v>
      </c>
      <c r="C131" s="192" t="s">
        <v>184</v>
      </c>
      <c r="D131" s="193"/>
      <c r="E131" s="192" t="s">
        <v>275</v>
      </c>
      <c r="F131" s="192" t="s">
        <v>464</v>
      </c>
    </row>
    <row r="132" spans="1:6" ht="12" x14ac:dyDescent="0.35">
      <c r="A132" s="196" t="s">
        <v>276</v>
      </c>
      <c r="B132" s="192" t="s">
        <v>277</v>
      </c>
      <c r="C132" s="192" t="s">
        <v>184</v>
      </c>
      <c r="D132" s="193"/>
      <c r="E132" s="192" t="s">
        <v>277</v>
      </c>
      <c r="F132" s="192" t="s">
        <v>465</v>
      </c>
    </row>
    <row r="133" spans="1:6" ht="12" x14ac:dyDescent="0.35">
      <c r="A133" s="196" t="s">
        <v>278</v>
      </c>
      <c r="B133" s="192" t="s">
        <v>279</v>
      </c>
      <c r="C133" s="192" t="s">
        <v>184</v>
      </c>
      <c r="D133" s="193"/>
      <c r="E133" s="192" t="s">
        <v>279</v>
      </c>
      <c r="F133" s="192" t="s">
        <v>466</v>
      </c>
    </row>
    <row r="134" spans="1:6" ht="12" x14ac:dyDescent="0.35">
      <c r="A134" s="196" t="s">
        <v>126</v>
      </c>
      <c r="B134" s="192" t="s">
        <v>127</v>
      </c>
      <c r="C134" s="192" t="s">
        <v>184</v>
      </c>
      <c r="D134" s="193"/>
      <c r="E134" s="192" t="s">
        <v>127</v>
      </c>
      <c r="F134" s="192" t="s">
        <v>467</v>
      </c>
    </row>
    <row r="135" spans="1:6" ht="12" x14ac:dyDescent="0.35">
      <c r="A135" s="196" t="s">
        <v>280</v>
      </c>
      <c r="B135" s="192" t="s">
        <v>281</v>
      </c>
      <c r="C135" s="192" t="s">
        <v>184</v>
      </c>
      <c r="D135" s="193"/>
      <c r="E135" s="192" t="s">
        <v>281</v>
      </c>
      <c r="F135" s="192" t="s">
        <v>468</v>
      </c>
    </row>
    <row r="136" spans="1:6" ht="12" x14ac:dyDescent="0.35">
      <c r="A136" s="196" t="s">
        <v>165</v>
      </c>
      <c r="B136" s="192" t="s">
        <v>166</v>
      </c>
      <c r="C136" s="192" t="s">
        <v>184</v>
      </c>
      <c r="D136" s="193"/>
      <c r="E136" s="192" t="s">
        <v>166</v>
      </c>
      <c r="F136" s="192" t="s">
        <v>469</v>
      </c>
    </row>
    <row r="137" spans="1:6" ht="12" x14ac:dyDescent="0.35">
      <c r="A137" s="196" t="s">
        <v>282</v>
      </c>
      <c r="B137" s="192" t="s">
        <v>283</v>
      </c>
      <c r="C137" s="192" t="s">
        <v>184</v>
      </c>
      <c r="D137" s="193"/>
      <c r="E137" s="192" t="s">
        <v>283</v>
      </c>
      <c r="F137" s="192" t="s">
        <v>470</v>
      </c>
    </row>
    <row r="138" spans="1:6" ht="12" x14ac:dyDescent="0.35">
      <c r="A138" s="196" t="s">
        <v>284</v>
      </c>
      <c r="B138" s="192" t="s">
        <v>285</v>
      </c>
      <c r="C138" s="192" t="s">
        <v>184</v>
      </c>
      <c r="D138" s="193"/>
      <c r="E138" s="192" t="s">
        <v>285</v>
      </c>
      <c r="F138" s="192" t="s">
        <v>471</v>
      </c>
    </row>
    <row r="139" spans="1:6" ht="12" x14ac:dyDescent="0.35">
      <c r="A139" s="196" t="s">
        <v>167</v>
      </c>
      <c r="B139" s="192" t="s">
        <v>168</v>
      </c>
      <c r="C139" s="192" t="s">
        <v>184</v>
      </c>
      <c r="D139" s="193"/>
      <c r="E139" s="192" t="s">
        <v>168</v>
      </c>
      <c r="F139" s="192" t="s">
        <v>472</v>
      </c>
    </row>
    <row r="140" spans="1:6" ht="12" x14ac:dyDescent="0.35">
      <c r="A140" s="196" t="s">
        <v>286</v>
      </c>
      <c r="B140" s="192" t="s">
        <v>287</v>
      </c>
      <c r="C140" s="192" t="s">
        <v>184</v>
      </c>
      <c r="D140" s="192"/>
      <c r="E140" s="192" t="s">
        <v>287</v>
      </c>
      <c r="F140" s="192" t="s">
        <v>473</v>
      </c>
    </row>
    <row r="141" spans="1:6" ht="12" x14ac:dyDescent="0.35">
      <c r="A141" s="196" t="s">
        <v>942</v>
      </c>
      <c r="B141" s="192" t="s">
        <v>943</v>
      </c>
      <c r="C141" s="192" t="s">
        <v>184</v>
      </c>
      <c r="D141" s="196"/>
      <c r="E141" s="192" t="s">
        <v>943</v>
      </c>
      <c r="F141" s="192" t="s">
        <v>944</v>
      </c>
    </row>
    <row r="142" spans="1:6" ht="12" x14ac:dyDescent="0.35">
      <c r="A142" s="196" t="s">
        <v>194</v>
      </c>
      <c r="B142" s="192" t="s">
        <v>195</v>
      </c>
      <c r="C142" s="192" t="s">
        <v>184</v>
      </c>
      <c r="D142" s="192"/>
      <c r="E142" s="192" t="s">
        <v>195</v>
      </c>
      <c r="F142" s="192" t="s">
        <v>474</v>
      </c>
    </row>
    <row r="143" spans="1:6" ht="12" x14ac:dyDescent="0.35">
      <c r="A143" s="196" t="s">
        <v>288</v>
      </c>
      <c r="B143" s="192" t="s">
        <v>289</v>
      </c>
      <c r="C143" s="192" t="s">
        <v>184</v>
      </c>
      <c r="D143" s="192"/>
      <c r="E143" s="192" t="s">
        <v>289</v>
      </c>
      <c r="F143" s="192" t="s">
        <v>475</v>
      </c>
    </row>
    <row r="144" spans="1:6" ht="12" x14ac:dyDescent="0.35">
      <c r="A144" s="196" t="s">
        <v>290</v>
      </c>
      <c r="B144" s="192" t="s">
        <v>291</v>
      </c>
      <c r="C144" s="192" t="s">
        <v>184</v>
      </c>
      <c r="D144" s="192"/>
      <c r="E144" s="192" t="s">
        <v>291</v>
      </c>
      <c r="F144" s="192" t="s">
        <v>476</v>
      </c>
    </row>
    <row r="145" spans="1:6" ht="12" x14ac:dyDescent="0.35">
      <c r="A145" s="196" t="s">
        <v>292</v>
      </c>
      <c r="B145" s="192" t="s">
        <v>293</v>
      </c>
      <c r="C145" s="192" t="s">
        <v>184</v>
      </c>
      <c r="D145" s="192"/>
      <c r="E145" s="192" t="s">
        <v>293</v>
      </c>
      <c r="F145" s="192" t="s">
        <v>477</v>
      </c>
    </row>
    <row r="146" spans="1:6" ht="12" x14ac:dyDescent="0.35">
      <c r="A146" s="196" t="s">
        <v>1068</v>
      </c>
      <c r="B146" s="192" t="s">
        <v>945</v>
      </c>
      <c r="C146" s="192" t="s">
        <v>184</v>
      </c>
      <c r="D146" s="196"/>
      <c r="E146" s="192" t="s">
        <v>945</v>
      </c>
      <c r="F146" s="192" t="s">
        <v>946</v>
      </c>
    </row>
    <row r="147" spans="1:6" ht="12" x14ac:dyDescent="0.35">
      <c r="A147" s="196" t="s">
        <v>294</v>
      </c>
      <c r="B147" s="192" t="s">
        <v>295</v>
      </c>
      <c r="C147" s="192" t="s">
        <v>184</v>
      </c>
      <c r="D147" s="192"/>
      <c r="E147" s="192" t="s">
        <v>295</v>
      </c>
      <c r="F147" s="192" t="s">
        <v>478</v>
      </c>
    </row>
    <row r="148" spans="1:6" ht="12" x14ac:dyDescent="0.35">
      <c r="A148" s="196" t="s">
        <v>296</v>
      </c>
      <c r="B148" s="192" t="s">
        <v>297</v>
      </c>
      <c r="C148" s="192" t="s">
        <v>184</v>
      </c>
      <c r="D148" s="192"/>
      <c r="E148" s="192" t="s">
        <v>297</v>
      </c>
      <c r="F148" s="192" t="s">
        <v>479</v>
      </c>
    </row>
    <row r="149" spans="1:6" ht="12" x14ac:dyDescent="0.35">
      <c r="A149" s="196" t="s">
        <v>242</v>
      </c>
      <c r="B149" s="192" t="s">
        <v>170</v>
      </c>
      <c r="C149" s="192" t="s">
        <v>184</v>
      </c>
      <c r="D149" s="192"/>
      <c r="E149" s="192" t="s">
        <v>170</v>
      </c>
      <c r="F149" s="192" t="s">
        <v>66</v>
      </c>
    </row>
    <row r="150" spans="1:6" ht="12" x14ac:dyDescent="0.35">
      <c r="A150" s="196" t="s">
        <v>298</v>
      </c>
      <c r="B150" s="192" t="s">
        <v>299</v>
      </c>
      <c r="C150" s="192" t="s">
        <v>184</v>
      </c>
      <c r="D150" s="192"/>
      <c r="E150" s="192" t="s">
        <v>299</v>
      </c>
      <c r="F150" s="192" t="s">
        <v>480</v>
      </c>
    </row>
    <row r="151" spans="1:6" ht="12" x14ac:dyDescent="0.35">
      <c r="A151" s="196" t="s">
        <v>300</v>
      </c>
      <c r="B151" s="192" t="s">
        <v>301</v>
      </c>
      <c r="C151" s="192" t="s">
        <v>184</v>
      </c>
      <c r="D151" s="192"/>
      <c r="E151" s="192" t="s">
        <v>301</v>
      </c>
      <c r="F151" s="192" t="s">
        <v>481</v>
      </c>
    </row>
    <row r="152" spans="1:6" ht="12" x14ac:dyDescent="0.35">
      <c r="A152" s="196" t="s">
        <v>302</v>
      </c>
      <c r="B152" s="192" t="s">
        <v>303</v>
      </c>
      <c r="C152" s="192" t="s">
        <v>184</v>
      </c>
      <c r="D152" s="192"/>
      <c r="E152" s="192" t="s">
        <v>303</v>
      </c>
      <c r="F152" s="192" t="s">
        <v>482</v>
      </c>
    </row>
    <row r="153" spans="1:6" ht="12" x14ac:dyDescent="0.35">
      <c r="A153" s="196" t="s">
        <v>137</v>
      </c>
      <c r="B153" s="192" t="s">
        <v>138</v>
      </c>
      <c r="C153" s="192" t="s">
        <v>184</v>
      </c>
      <c r="D153" s="192"/>
      <c r="E153" s="192" t="s">
        <v>138</v>
      </c>
      <c r="F153" s="192" t="s">
        <v>483</v>
      </c>
    </row>
    <row r="154" spans="1:6" ht="12" x14ac:dyDescent="0.35">
      <c r="A154" s="196" t="s">
        <v>978</v>
      </c>
      <c r="B154" s="192" t="s">
        <v>979</v>
      </c>
      <c r="C154" s="192" t="s">
        <v>184</v>
      </c>
      <c r="D154" s="192"/>
      <c r="E154" s="192" t="s">
        <v>979</v>
      </c>
      <c r="F154" s="192" t="s">
        <v>980</v>
      </c>
    </row>
    <row r="155" spans="1:6" ht="12" x14ac:dyDescent="0.35">
      <c r="A155" s="196" t="s">
        <v>169</v>
      </c>
      <c r="B155" s="192" t="s">
        <v>132</v>
      </c>
      <c r="C155" s="192" t="s">
        <v>184</v>
      </c>
      <c r="D155" s="192" t="s">
        <v>152</v>
      </c>
      <c r="E155" s="192" t="s">
        <v>132</v>
      </c>
      <c r="F155" s="192" t="s">
        <v>484</v>
      </c>
    </row>
    <row r="156" spans="1:6" ht="12" x14ac:dyDescent="0.35">
      <c r="A156" s="196" t="s">
        <v>304</v>
      </c>
      <c r="B156" s="192" t="s">
        <v>305</v>
      </c>
      <c r="C156" s="192" t="s">
        <v>184</v>
      </c>
      <c r="D156" s="192"/>
      <c r="E156" s="192" t="s">
        <v>305</v>
      </c>
      <c r="F156" s="192" t="s">
        <v>485</v>
      </c>
    </row>
    <row r="157" spans="1:6" ht="12" x14ac:dyDescent="0.35">
      <c r="A157" s="196" t="s">
        <v>1069</v>
      </c>
      <c r="B157" s="192" t="s">
        <v>1070</v>
      </c>
      <c r="C157" s="192" t="s">
        <v>184</v>
      </c>
      <c r="D157" s="192"/>
      <c r="E157" s="192" t="s">
        <v>1070</v>
      </c>
      <c r="F157" s="192" t="s">
        <v>1071</v>
      </c>
    </row>
    <row r="158" spans="1:6" ht="12" x14ac:dyDescent="0.35">
      <c r="A158" s="196" t="s">
        <v>306</v>
      </c>
      <c r="B158" s="192" t="s">
        <v>307</v>
      </c>
      <c r="C158" s="192" t="s">
        <v>184</v>
      </c>
      <c r="D158" s="192"/>
      <c r="E158" s="192" t="s">
        <v>307</v>
      </c>
      <c r="F158" s="192" t="s">
        <v>486</v>
      </c>
    </row>
    <row r="159" spans="1:6" ht="12" x14ac:dyDescent="0.35">
      <c r="A159" s="196" t="s">
        <v>196</v>
      </c>
      <c r="B159" s="192" t="s">
        <v>197</v>
      </c>
      <c r="C159" s="192" t="s">
        <v>184</v>
      </c>
      <c r="D159" s="192"/>
      <c r="E159" s="192" t="s">
        <v>197</v>
      </c>
      <c r="F159" s="192" t="s">
        <v>487</v>
      </c>
    </row>
    <row r="160" spans="1:6" ht="12" x14ac:dyDescent="0.35">
      <c r="A160" s="196" t="s">
        <v>171</v>
      </c>
      <c r="B160" s="192" t="s">
        <v>142</v>
      </c>
      <c r="C160" s="192" t="s">
        <v>184</v>
      </c>
      <c r="D160" s="192"/>
      <c r="E160" s="192" t="s">
        <v>142</v>
      </c>
      <c r="F160" s="192" t="s">
        <v>488</v>
      </c>
    </row>
    <row r="161" spans="1:6" ht="12" x14ac:dyDescent="0.35">
      <c r="A161" s="196" t="s">
        <v>198</v>
      </c>
      <c r="B161" s="192" t="s">
        <v>199</v>
      </c>
      <c r="C161" s="192" t="s">
        <v>184</v>
      </c>
      <c r="D161" s="192"/>
      <c r="E161" s="192" t="s">
        <v>199</v>
      </c>
      <c r="F161" s="192" t="s">
        <v>489</v>
      </c>
    </row>
    <row r="162" spans="1:6" ht="12" x14ac:dyDescent="0.35">
      <c r="A162" s="196" t="s">
        <v>308</v>
      </c>
      <c r="B162" s="192" t="s">
        <v>309</v>
      </c>
      <c r="C162" s="192" t="s">
        <v>184</v>
      </c>
      <c r="D162" s="192"/>
      <c r="E162" s="192" t="s">
        <v>309</v>
      </c>
      <c r="F162" s="192" t="s">
        <v>490</v>
      </c>
    </row>
    <row r="163" spans="1:6" ht="12" x14ac:dyDescent="0.35">
      <c r="A163" s="196" t="s">
        <v>310</v>
      </c>
      <c r="B163" s="192" t="s">
        <v>311</v>
      </c>
      <c r="C163" s="192" t="s">
        <v>184</v>
      </c>
      <c r="D163" s="192"/>
      <c r="E163" s="192" t="s">
        <v>311</v>
      </c>
      <c r="F163" s="192" t="s">
        <v>491</v>
      </c>
    </row>
    <row r="164" spans="1:6" ht="12" x14ac:dyDescent="0.35">
      <c r="A164" s="196" t="s">
        <v>1072</v>
      </c>
      <c r="B164" s="192" t="s">
        <v>145</v>
      </c>
      <c r="C164" s="192" t="s">
        <v>184</v>
      </c>
      <c r="D164" s="192"/>
      <c r="E164" s="192" t="s">
        <v>145</v>
      </c>
      <c r="F164" s="192" t="s">
        <v>492</v>
      </c>
    </row>
    <row r="165" spans="1:6" ht="12" x14ac:dyDescent="0.35">
      <c r="A165" s="196" t="s">
        <v>200</v>
      </c>
      <c r="B165" s="192" t="s">
        <v>201</v>
      </c>
      <c r="C165" s="192" t="s">
        <v>184</v>
      </c>
      <c r="D165" s="192"/>
      <c r="E165" s="192" t="s">
        <v>201</v>
      </c>
      <c r="F165" s="192" t="s">
        <v>493</v>
      </c>
    </row>
    <row r="166" spans="1:6" ht="12" x14ac:dyDescent="0.35">
      <c r="A166" s="196" t="s">
        <v>312</v>
      </c>
      <c r="B166" s="192" t="s">
        <v>313</v>
      </c>
      <c r="C166" s="192" t="s">
        <v>184</v>
      </c>
      <c r="D166" s="192"/>
      <c r="E166" s="192" t="s">
        <v>313</v>
      </c>
      <c r="F166" s="192" t="s">
        <v>494</v>
      </c>
    </row>
    <row r="167" spans="1:6" ht="12" x14ac:dyDescent="0.35">
      <c r="A167" s="196" t="s">
        <v>172</v>
      </c>
      <c r="B167" s="192" t="s">
        <v>173</v>
      </c>
      <c r="C167" s="192" t="s">
        <v>184</v>
      </c>
      <c r="D167" s="192"/>
      <c r="E167" s="192" t="s">
        <v>173</v>
      </c>
      <c r="F167" s="192" t="s">
        <v>495</v>
      </c>
    </row>
    <row r="168" spans="1:6" ht="12" x14ac:dyDescent="0.35">
      <c r="A168" s="196" t="s">
        <v>148</v>
      </c>
      <c r="B168" s="192" t="s">
        <v>149</v>
      </c>
      <c r="C168" s="192" t="s">
        <v>184</v>
      </c>
      <c r="D168" s="192"/>
      <c r="E168" s="192" t="s">
        <v>149</v>
      </c>
      <c r="F168" s="192" t="s">
        <v>496</v>
      </c>
    </row>
    <row r="169" spans="1:6" ht="12" x14ac:dyDescent="0.35">
      <c r="A169" s="196" t="s">
        <v>314</v>
      </c>
      <c r="B169" s="192" t="s">
        <v>315</v>
      </c>
      <c r="C169" s="192" t="s">
        <v>184</v>
      </c>
      <c r="D169" s="192"/>
      <c r="E169" s="192" t="s">
        <v>315</v>
      </c>
      <c r="F169" s="192" t="s">
        <v>497</v>
      </c>
    </row>
    <row r="170" spans="1:6" ht="12" x14ac:dyDescent="0.35">
      <c r="A170" s="196" t="s">
        <v>316</v>
      </c>
      <c r="B170" s="192" t="s">
        <v>317</v>
      </c>
      <c r="C170" s="192" t="s">
        <v>184</v>
      </c>
      <c r="D170" s="192"/>
      <c r="E170" s="192" t="s">
        <v>317</v>
      </c>
      <c r="F170" s="192" t="s">
        <v>498</v>
      </c>
    </row>
    <row r="171" spans="1:6" ht="12" x14ac:dyDescent="0.35">
      <c r="A171" s="196" t="s">
        <v>174</v>
      </c>
      <c r="B171" s="192" t="s">
        <v>175</v>
      </c>
      <c r="C171" s="192" t="s">
        <v>184</v>
      </c>
      <c r="D171" s="192"/>
      <c r="E171" s="192" t="s">
        <v>175</v>
      </c>
      <c r="F171" s="192" t="s">
        <v>499</v>
      </c>
    </row>
    <row r="172" spans="1:6" ht="12" x14ac:dyDescent="0.35">
      <c r="A172" s="196" t="s">
        <v>150</v>
      </c>
      <c r="B172" s="192" t="s">
        <v>151</v>
      </c>
      <c r="C172" s="192" t="s">
        <v>184</v>
      </c>
      <c r="D172" s="192"/>
      <c r="E172" s="192" t="s">
        <v>151</v>
      </c>
      <c r="F172" s="192" t="s">
        <v>500</v>
      </c>
    </row>
    <row r="173" spans="1:6" ht="12" x14ac:dyDescent="0.35">
      <c r="A173" s="196" t="s">
        <v>318</v>
      </c>
      <c r="B173" s="192" t="s">
        <v>319</v>
      </c>
      <c r="C173" s="192" t="s">
        <v>184</v>
      </c>
      <c r="D173" s="192"/>
      <c r="E173" s="192" t="s">
        <v>319</v>
      </c>
      <c r="F173" s="192" t="s">
        <v>501</v>
      </c>
    </row>
    <row r="174" spans="1:6" ht="12" x14ac:dyDescent="0.35">
      <c r="A174" s="196" t="s">
        <v>72</v>
      </c>
      <c r="B174" s="192" t="s">
        <v>73</v>
      </c>
      <c r="C174" s="192" t="s">
        <v>184</v>
      </c>
      <c r="D174" s="193"/>
      <c r="E174" s="192" t="s">
        <v>73</v>
      </c>
      <c r="F174" s="192" t="s">
        <v>423</v>
      </c>
    </row>
    <row r="175" spans="1:6" ht="12" x14ac:dyDescent="0.35">
      <c r="A175" s="196" t="s">
        <v>320</v>
      </c>
      <c r="B175" s="192" t="s">
        <v>321</v>
      </c>
      <c r="C175" s="192" t="s">
        <v>184</v>
      </c>
      <c r="D175" s="192"/>
      <c r="E175" s="192" t="s">
        <v>321</v>
      </c>
      <c r="F175" s="192" t="s">
        <v>502</v>
      </c>
    </row>
  </sheetData>
  <sheetProtection algorithmName="SHA-512" hashValue="ZMWQOGJrJ3mZRjfXILDjx5W9YPLVkI34qbGVEXQXBix7xRBbhPbO+qEq864e21M61foe9iAEu3LgMifAoBMSAg==" saltValue="B4X/ObB5wwM4aJgrwQylBg==" spinCount="100000" sheet="1" objects="1" scenarios="1" formatCells="0" autoFilter="0"/>
  <mergeCells count="6">
    <mergeCell ref="H18:I18"/>
    <mergeCell ref="A1:F1"/>
    <mergeCell ref="H30:I30"/>
    <mergeCell ref="H36:I36"/>
    <mergeCell ref="H1:I1"/>
    <mergeCell ref="H8:I8"/>
  </mergeCells>
  <phoneticPr fontId="0" type="noConversion"/>
  <pageMargins left="0.45" right="0.44" top="0.36" bottom="0.4" header="0.23" footer="0.32"/>
  <pageSetup paperSize="9" scale="54" fitToWidth="3" orientation="portrait" r:id="rId1"/>
  <headerFooter alignWithMargins="0"/>
  <colBreaks count="1" manualBreakCount="1">
    <brk id="7"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H51"/>
  <sheetViews>
    <sheetView showGridLines="0" zoomScaleNormal="100" workbookViewId="0">
      <selection sqref="A1:H1"/>
    </sheetView>
  </sheetViews>
  <sheetFormatPr defaultColWidth="8" defaultRowHeight="12" x14ac:dyDescent="0.35"/>
  <cols>
    <col min="1" max="1" width="4.4609375" style="47" bestFit="1" customWidth="1"/>
    <col min="2" max="2" width="10.4609375" style="47" bestFit="1" customWidth="1"/>
    <col min="3" max="3" width="5.23046875" style="47" bestFit="1" customWidth="1"/>
    <col min="4" max="4" width="18.07421875" style="47" bestFit="1" customWidth="1"/>
    <col min="5" max="5" width="10.07421875" style="47" bestFit="1" customWidth="1"/>
    <col min="6" max="6" width="23.07421875" style="47" bestFit="1" customWidth="1"/>
    <col min="7" max="7" width="13.84375" style="47" bestFit="1" customWidth="1"/>
    <col min="8" max="8" width="83.4609375" style="47" customWidth="1"/>
    <col min="9" max="16384" width="8" style="47"/>
  </cols>
  <sheetData>
    <row r="1" spans="1:8" ht="14.6" x14ac:dyDescent="0.35">
      <c r="A1" s="285" t="str">
        <f>VLOOKUP("G00",tblTrans3Langs[],LangNameID,FALSE) &amp;" ( "&amp;Idiom&amp;" )"</f>
        <v>Instructions to complete the form ( ENG )</v>
      </c>
      <c r="B1" s="285"/>
      <c r="C1" s="285"/>
      <c r="D1" s="285"/>
      <c r="E1" s="285"/>
      <c r="F1" s="285"/>
      <c r="G1" s="285"/>
      <c r="H1" s="285"/>
    </row>
    <row r="2" spans="1:8" x14ac:dyDescent="0.35">
      <c r="A2" s="286" t="str">
        <f>VLOOKUP("G01",tblTrans3Langs[],LangFieldID,FALSE)</f>
        <v>General</v>
      </c>
      <c r="B2" s="286"/>
      <c r="C2" s="286"/>
      <c r="D2" s="286"/>
      <c r="E2" s="286"/>
      <c r="F2" s="286"/>
      <c r="G2" s="7"/>
      <c r="H2" s="8"/>
    </row>
    <row r="3" spans="1:8" x14ac:dyDescent="0.35">
      <c r="A3" s="9" t="s">
        <v>589</v>
      </c>
      <c r="B3" s="276" t="str">
        <f>VLOOKUP("G01a",tblTrans3Langs[],LangNameID,FALSE)</f>
        <v>Complete as far as possible the Header and Detail sections (don't leave fields empty when information is known)</v>
      </c>
      <c r="C3" s="276"/>
      <c r="D3" s="276"/>
      <c r="E3" s="276"/>
      <c r="F3" s="276"/>
      <c r="G3" s="276"/>
      <c r="H3" s="276"/>
    </row>
    <row r="4" spans="1:8" x14ac:dyDescent="0.35">
      <c r="A4" s="9" t="s">
        <v>590</v>
      </c>
      <c r="B4" s="276" t="str">
        <f>VLOOKUP("G01b",tblTrans3Langs[],LangNameID,FALSE)</f>
        <v>In Header section, only white cells can be filled (manually or by selecting from the Combo Box the corresponding code)</v>
      </c>
      <c r="C4" s="276"/>
      <c r="D4" s="276"/>
      <c r="E4" s="276"/>
      <c r="F4" s="276"/>
      <c r="G4" s="276"/>
      <c r="H4" s="276"/>
    </row>
    <row r="5" spans="1:8" x14ac:dyDescent="0.35">
      <c r="A5" s="9" t="s">
        <v>591</v>
      </c>
      <c r="B5" s="276" t="str">
        <f>VLOOKUP("G01c",tblTrans3Langs[],LangNameID,FALSE)</f>
        <v>Always use ICCAT standard codes (when element "OTHERS" of various fields is required it must be explicitly described in "Notes")</v>
      </c>
      <c r="C5" s="276"/>
      <c r="D5" s="276"/>
      <c r="E5" s="276"/>
      <c r="F5" s="276"/>
      <c r="G5" s="276"/>
      <c r="H5" s="276"/>
    </row>
    <row r="6" spans="1:8" x14ac:dyDescent="0.35">
      <c r="A6" s="9" t="s">
        <v>592</v>
      </c>
      <c r="B6" s="276" t="str">
        <f>VLOOKUP("G01d",tblTrans3Langs[],LangNameID,FALSE)</f>
        <v>Recommendation for users with databases: To Paste an entire dataset into the Detail section (must have the same structure and format) use "Paste special (values)"</v>
      </c>
      <c r="C6" s="276"/>
      <c r="D6" s="276"/>
      <c r="E6" s="276"/>
      <c r="F6" s="276"/>
      <c r="G6" s="276"/>
      <c r="H6" s="276"/>
    </row>
    <row r="7" spans="1:8" x14ac:dyDescent="0.35">
      <c r="A7" s="9" t="s">
        <v>606</v>
      </c>
      <c r="B7" s="276" t="str">
        <f>VLOOKUP("G01e",tblTrans3Langs[],LangNameID,FALSE)</f>
        <v>Leave blank the fields for which you don't collect information</v>
      </c>
      <c r="C7" s="276"/>
      <c r="D7" s="276"/>
      <c r="E7" s="276"/>
      <c r="F7" s="276"/>
      <c r="G7" s="276"/>
      <c r="H7" s="276"/>
    </row>
    <row r="8" spans="1:8" x14ac:dyDescent="0.35">
      <c r="A8" s="8"/>
      <c r="B8" s="8"/>
      <c r="C8" s="8"/>
      <c r="D8" s="8"/>
      <c r="E8" s="8"/>
      <c r="F8" s="8"/>
      <c r="G8" s="10"/>
      <c r="H8" s="8"/>
    </row>
    <row r="9" spans="1:8" x14ac:dyDescent="0.35">
      <c r="A9" s="277" t="str">
        <f>VLOOKUP("G02",tblTrans3Langs[],LangFieldID,FALSE)</f>
        <v>Specific (by field)</v>
      </c>
      <c r="B9" s="277"/>
      <c r="C9" s="277"/>
      <c r="D9" s="277"/>
      <c r="E9" s="277"/>
      <c r="F9" s="277"/>
      <c r="G9" s="11"/>
      <c r="H9" s="12"/>
    </row>
    <row r="10" spans="1:8" x14ac:dyDescent="0.35">
      <c r="A10" s="13" t="str">
        <f>VLOOKUP("SC01",tblTrans3Langs[],LangFieldID,FALSE)</f>
        <v>Form</v>
      </c>
      <c r="B10" s="13" t="str">
        <f>VLOOKUP("SC02",tblTrans3Langs[],LangFieldID,FALSE)</f>
        <v>Sub-form</v>
      </c>
      <c r="C10" s="13" t="str">
        <f>VLOOKUP("SC03",tblTrans3Langs[],LangFieldID,FALSE)</f>
        <v>Part</v>
      </c>
      <c r="D10" s="13" t="str">
        <f>VLOOKUP("SC04",tblTrans3Langs[],LangFieldID,FALSE)</f>
        <v>Section</v>
      </c>
      <c r="E10" s="13" t="str">
        <f>VLOOKUP("SC05",tblTrans3Langs[],LangFieldID,FALSE)</f>
        <v>Sub-section</v>
      </c>
      <c r="F10" s="13" t="str">
        <f>VLOOKUP("SC06",tblTrans3Langs[],LangFieldID,FALSE)</f>
        <v>Field (name)</v>
      </c>
      <c r="G10" s="117" t="str">
        <f>VLOOKUP("SC07",tblTrans3Langs[],LangFieldID,FALSE)</f>
        <v>Field (format)</v>
      </c>
      <c r="H10" s="13" t="str">
        <f>VLOOKUP("SC08",tblTrans3Langs[],LangFieldID,FALSE)</f>
        <v>Description</v>
      </c>
    </row>
    <row r="11" spans="1:8" x14ac:dyDescent="0.35">
      <c r="A11" s="275" t="str">
        <f>VLOOKUP("T00",tblTrans3Langs[],LangFieldID,FALSE)</f>
        <v>ST08-FadsDep</v>
      </c>
      <c r="B11" s="275" t="str">
        <f>VLOOKUP("T04",tblTrans3Langs[],LangFieldID,FALSE)</f>
        <v>ST08A</v>
      </c>
      <c r="C11" s="281" t="str">
        <f>VLOOKUP("T02",tblTrans3Langs[],LangFieldID,FALSE)</f>
        <v>Title</v>
      </c>
      <c r="D11" s="281"/>
      <c r="E11" s="281"/>
      <c r="F11" s="48" t="str">
        <f>VLOOKUP("tVersion",tblTrans3Langs[],LangFieldID,FALSE)</f>
        <v>Version</v>
      </c>
      <c r="G11" s="116" t="str">
        <f>VLOOKUP("tVersion",tblTrans3Langs[],7,FALSE)</f>
        <v>(fixed)</v>
      </c>
      <c r="H11" s="119" t="str">
        <f>VLOOKUP("tVersion",tblTrans3Langs[],LangNameID,FALSE)</f>
        <v>Always use the lastest version of this form</v>
      </c>
    </row>
    <row r="12" spans="1:8" x14ac:dyDescent="0.35">
      <c r="A12" s="275"/>
      <c r="B12" s="275"/>
      <c r="C12" s="281"/>
      <c r="D12" s="281"/>
      <c r="E12" s="281"/>
      <c r="F12" s="123" t="str">
        <f>VLOOKUP("tLang",tblTrans3Langs[],LangFieldID,FALSE)</f>
        <v>Language</v>
      </c>
      <c r="G12" s="124" t="str">
        <f>VLOOKUP("tLang",tblTrans3Langs[],7,FALSE)</f>
        <v>ICCAT code</v>
      </c>
      <c r="H12" s="120" t="str">
        <f>VLOOKUP("tLang",tblTrans3Langs[],LangNameID,FALSE)</f>
        <v>Choose the language (ENG, FRA, ESP) for form translation</v>
      </c>
    </row>
    <row r="13" spans="1:8" x14ac:dyDescent="0.35">
      <c r="A13" s="275"/>
      <c r="B13" s="275"/>
      <c r="C13" s="279" t="str">
        <f>VLOOKUP("H00",tblTrans3Langs[],LangFieldID,FALSE)</f>
        <v>Header</v>
      </c>
      <c r="D13" s="280" t="str">
        <f>VLOOKUP("H10",tblTrans3Langs[],LangFieldID,FALSE)</f>
        <v>Statistical correspondent</v>
      </c>
      <c r="E13" s="281" t="str">
        <f>VLOOKUP("H12",tblTrans3Langs[],LangFieldID,FALSE)</f>
        <v>Affiliation</v>
      </c>
      <c r="F13" s="57" t="str">
        <f>VLOOKUP("hName",tblTrans3Langs[],LangFieldID,FALSE)</f>
        <v>Name</v>
      </c>
      <c r="G13" s="116" t="str">
        <f>VLOOKUP("hName",tblTrans3Langs[],7,FALSE)</f>
        <v>string</v>
      </c>
      <c r="H13" s="119" t="str">
        <f>VLOOKUP("hName",tblTrans3Langs[],LangNameID,FALSE)</f>
        <v>Name (full OR Name &amp; Surname) of the Statistical Correspondent (officially nominated by the CPC)</v>
      </c>
    </row>
    <row r="14" spans="1:8" x14ac:dyDescent="0.35">
      <c r="A14" s="275"/>
      <c r="B14" s="275"/>
      <c r="C14" s="279"/>
      <c r="D14" s="280"/>
      <c r="E14" s="281"/>
      <c r="F14" s="57" t="str">
        <f>VLOOKUP("hEmail",tblTrans3Langs[],LangFieldID,FALSE)</f>
        <v>E-mail</v>
      </c>
      <c r="G14" s="116" t="str">
        <f>VLOOKUP("hEmail",tblTrans3Langs[],7,FALSE)</f>
        <v>string</v>
      </c>
      <c r="H14" s="120" t="str">
        <f>VLOOKUP("hEmail",tblTrans3Langs[],LangNameID,FALSE)</f>
        <v>Email address of the Statistical Correspondent</v>
      </c>
    </row>
    <row r="15" spans="1:8" x14ac:dyDescent="0.35">
      <c r="A15" s="275"/>
      <c r="B15" s="275"/>
      <c r="C15" s="279"/>
      <c r="D15" s="280"/>
      <c r="E15" s="281"/>
      <c r="F15" s="57" t="str">
        <f>VLOOKUP("hPhone",tblTrans3Langs[],LangFieldID,FALSE)</f>
        <v>Phone</v>
      </c>
      <c r="G15" s="116" t="str">
        <f>VLOOKUP("hPhone",tblTrans3Langs[],7,FALSE)</f>
        <v>string</v>
      </c>
      <c r="H15" s="120" t="str">
        <f>VLOOKUP("hPhone",tblTrans3Langs[],LangNameID,FALSE)</f>
        <v>Telephone number of the Statistical Correspondent</v>
      </c>
    </row>
    <row r="16" spans="1:8" x14ac:dyDescent="0.35">
      <c r="A16" s="275"/>
      <c r="B16" s="275"/>
      <c r="C16" s="279"/>
      <c r="D16" s="280"/>
      <c r="E16" s="281" t="str">
        <f>VLOOKUP("H11",tblTrans3Langs[],LangFieldID,FALSE)</f>
        <v>Identification</v>
      </c>
      <c r="F16" s="57" t="str">
        <f>VLOOKUP("hInstit",tblTrans3Langs[],LangFieldID,FALSE)</f>
        <v>Institution</v>
      </c>
      <c r="G16" s="116" t="str">
        <f>VLOOKUP("hInstit",tblTrans3Langs[],7,FALSE)</f>
        <v>string</v>
      </c>
      <c r="H16" s="120" t="str">
        <f>VLOOKUP("hInstit",tblTrans3Langs[],LangNameID,FALSE)</f>
        <v>Institute (ministry, agency, research Institute, etc.) to which the Statistical Correspondent is affiliated</v>
      </c>
    </row>
    <row r="17" spans="1:8" x14ac:dyDescent="0.35">
      <c r="A17" s="275"/>
      <c r="B17" s="275"/>
      <c r="C17" s="279"/>
      <c r="D17" s="280"/>
      <c r="E17" s="281"/>
      <c r="F17" s="57" t="str">
        <f>VLOOKUP("hDepart",tblTrans3Langs[],LangFieldID,FALSE)</f>
        <v>Department</v>
      </c>
      <c r="G17" s="116" t="str">
        <f>VLOOKUP("hDepart",tblTrans3Langs[],7,FALSE)</f>
        <v>string</v>
      </c>
      <c r="H17" s="120" t="str">
        <f>VLOOKUP("hDepart",tblTrans3Langs[],LangNameID,FALSE)</f>
        <v>Department within the Institution, where applicable</v>
      </c>
    </row>
    <row r="18" spans="1:8" x14ac:dyDescent="0.35">
      <c r="A18" s="275"/>
      <c r="B18" s="275"/>
      <c r="C18" s="279"/>
      <c r="D18" s="280"/>
      <c r="E18" s="281"/>
      <c r="F18" s="57" t="str">
        <f>VLOOKUP("hAddress",tblTrans3Langs[],LangFieldID,FALSE)</f>
        <v>Address</v>
      </c>
      <c r="G18" s="116" t="str">
        <f>VLOOKUP("hAddress",tblTrans3Langs[],7,FALSE)</f>
        <v>string</v>
      </c>
      <c r="H18" s="120" t="str">
        <f>VLOOKUP("hAddress",tblTrans3Langs[],LangNameID,FALSE)</f>
        <v>Postal address of the Institution (street, number, city, state)</v>
      </c>
    </row>
    <row r="19" spans="1:8" x14ac:dyDescent="0.35">
      <c r="A19" s="275"/>
      <c r="B19" s="275"/>
      <c r="C19" s="279"/>
      <c r="D19" s="280"/>
      <c r="E19" s="281"/>
      <c r="F19" s="57" t="str">
        <f>VLOOKUP("hCountry",tblTrans3Langs[],LangFieldID,FALSE)</f>
        <v>Country</v>
      </c>
      <c r="G19" s="116" t="str">
        <f>VLOOKUP("hCountry",tblTrans3Langs[],7,FALSE)</f>
        <v>ICCAT code</v>
      </c>
      <c r="H19" s="120" t="str">
        <f>VLOOKUP("hCountry",tblTrans3Langs[],LangNameID,FALSE)</f>
        <v>Country in which the Institution is based</v>
      </c>
    </row>
    <row r="20" spans="1:8" x14ac:dyDescent="0.35">
      <c r="A20" s="275"/>
      <c r="B20" s="275"/>
      <c r="C20" s="279"/>
      <c r="D20" s="281" t="str">
        <f>VLOOKUP("H20",tblTrans3Langs[],LangFieldID,FALSE)</f>
        <v>Secretariat use only</v>
      </c>
      <c r="E20" s="281"/>
      <c r="F20" s="58" t="str">
        <f>VLOOKUP("hDaterep",tblTrans3Langs[],LangFieldID,FALSE)</f>
        <v>Date reported</v>
      </c>
      <c r="G20" s="118" t="str">
        <f>VLOOKUP("hDaterep",tblTrans3Langs[],7,FALSE)</f>
        <v>date</v>
      </c>
      <c r="H20" s="121" t="str">
        <f>VLOOKUP("hDaterep",tblTrans3Langs[],LangNameID,FALSE)</f>
        <v>Secretariat use only</v>
      </c>
    </row>
    <row r="21" spans="1:8" x14ac:dyDescent="0.35">
      <c r="A21" s="275"/>
      <c r="B21" s="275"/>
      <c r="C21" s="279"/>
      <c r="D21" s="281"/>
      <c r="E21" s="281"/>
      <c r="F21" s="58" t="str">
        <f>VLOOKUP("hRef",tblTrans3Langs[],LangFieldID,FALSE)</f>
        <v>Reference Nº</v>
      </c>
      <c r="G21" s="118" t="str">
        <f>VLOOKUP("hRef",tblTrans3Langs[],7,FALSE)</f>
        <v>ICCAT code</v>
      </c>
      <c r="H21" s="121" t="str">
        <f>VLOOKUP("hRef",tblTrans3Langs[],LangNameID,FALSE)</f>
        <v>Secretariat use only</v>
      </c>
    </row>
    <row r="22" spans="1:8" x14ac:dyDescent="0.35">
      <c r="A22" s="275"/>
      <c r="B22" s="275"/>
      <c r="C22" s="279"/>
      <c r="D22" s="281"/>
      <c r="E22" s="281"/>
      <c r="F22" s="58" t="str">
        <f>VLOOKUP("hFname",tblTrans3Langs[],LangFieldID,FALSE)</f>
        <v>File name (proposed)</v>
      </c>
      <c r="G22" s="118" t="str">
        <f>VLOOKUP("hFname",tblTrans3Langs[],7,FALSE)</f>
        <v>string</v>
      </c>
      <c r="H22" s="121" t="str">
        <f>VLOOKUP("hFname",tblTrans3Langs[],LangNameID,FALSE)</f>
        <v>Send the form to ICCAT with the proposed file name (if required, suffix it with an ID at the end)</v>
      </c>
    </row>
    <row r="23" spans="1:8" x14ac:dyDescent="0.35">
      <c r="A23" s="275"/>
      <c r="B23" s="275"/>
      <c r="C23" s="279"/>
      <c r="D23" s="281"/>
      <c r="E23" s="281"/>
      <c r="F23" s="58" t="str">
        <f>VLOOKUP("hFilter1",tblTrans3Langs[],LangFieldID,FALSE)</f>
        <v>Filter 1</v>
      </c>
      <c r="G23" s="118" t="str">
        <f>VLOOKUP("hFilter1",tblTrans3Langs[],7,FALSE)</f>
        <v>boolean</v>
      </c>
      <c r="H23" s="121" t="str">
        <f>VLOOKUP("hFilter1",tblTrans3Langs[],LangNameID,FALSE)</f>
        <v>Secretariat use only</v>
      </c>
    </row>
    <row r="24" spans="1:8" x14ac:dyDescent="0.35">
      <c r="A24" s="275"/>
      <c r="B24" s="275"/>
      <c r="C24" s="279"/>
      <c r="D24" s="281"/>
      <c r="E24" s="281"/>
      <c r="F24" s="58" t="str">
        <f>VLOOKUP("hFilter2",tblTrans3Langs[],LangFieldID,FALSE)</f>
        <v>Filter 2</v>
      </c>
      <c r="G24" s="118" t="str">
        <f>VLOOKUP("hFilter2",tblTrans3Langs[],7,FALSE)</f>
        <v>boolean</v>
      </c>
      <c r="H24" s="121" t="str">
        <f>VLOOKUP("hFilter2",tblTrans3Langs[],LangNameID,FALSE)</f>
        <v>Secretariat use only</v>
      </c>
    </row>
    <row r="25" spans="1:8" x14ac:dyDescent="0.35">
      <c r="A25" s="275"/>
      <c r="B25" s="275"/>
      <c r="C25" s="279"/>
      <c r="D25" s="280" t="str">
        <f>VLOOKUP("H30",tblTrans3Langs[],LangFieldID,FALSE)</f>
        <v>Data set characteristics</v>
      </c>
      <c r="E25" s="280"/>
      <c r="F25" s="57" t="str">
        <f>VLOOKUP("hFlagrep",tblTrans3Langs[],LangFieldID,FALSE)</f>
        <v>Reporting Flag</v>
      </c>
      <c r="G25" s="116" t="str">
        <f>VLOOKUP("hFlagrep",tblTrans3Langs[],7,FALSE)</f>
        <v>ICCAT code</v>
      </c>
      <c r="H25" s="120" t="str">
        <f>VLOOKUP("hFlagrep",tblTrans3Langs[],LangNameID,FALSE)</f>
        <v>Choose the Flag CPC reporting the data (ICCAT codes)</v>
      </c>
    </row>
    <row r="26" spans="1:8" x14ac:dyDescent="0.35">
      <c r="A26" s="275"/>
      <c r="B26" s="275"/>
      <c r="C26" s="279"/>
      <c r="D26" s="280"/>
      <c r="E26" s="280"/>
      <c r="F26" s="57" t="str">
        <f>VLOOKUP("hYearC",tblTrans3Langs[],LangFieldID,FALSE)</f>
        <v>Calendar year</v>
      </c>
      <c r="G26" s="116" t="str">
        <f>VLOOKUP("hYearC",tblTrans3Langs[],7,FALSE)</f>
        <v>integer</v>
      </c>
      <c r="H26" s="120" t="str">
        <f>VLOOKUP("hYearC",tblTrans3Langs[],LangNameID,FALSE)</f>
        <v>The calendar year (4 digits) to which the data relate</v>
      </c>
    </row>
    <row r="27" spans="1:8" x14ac:dyDescent="0.35">
      <c r="A27" s="275"/>
      <c r="B27" s="275"/>
      <c r="C27" s="279"/>
      <c r="D27" s="280"/>
      <c r="E27" s="280"/>
      <c r="F27" s="57" t="str">
        <f>VLOOKUP("hVersion",tblTrans3Langs[],LangFieldID,FALSE)</f>
        <v>Version reported</v>
      </c>
      <c r="G27" s="116" t="str">
        <f>VLOOKUP("hVersion",tblTrans3Langs[],7,FALSE)</f>
        <v>ICCAT code</v>
      </c>
      <c r="H27" s="120" t="str">
        <f>VLOOKUP("hVersion",tblTrans3Langs[],LangNameID,FALSE)</f>
        <v>Specify if this submission is Preliminary (subject to revision) or Final (already validated)</v>
      </c>
    </row>
    <row r="28" spans="1:8" x14ac:dyDescent="0.35">
      <c r="A28" s="275"/>
      <c r="B28" s="275"/>
      <c r="C28" s="279"/>
      <c r="D28" s="280"/>
      <c r="E28" s="280"/>
      <c r="F28" s="57" t="str">
        <f>VLOOKUP("hContent",tblTrans3Langs[],LangFieldID,FALSE)</f>
        <v>Content (data)</v>
      </c>
      <c r="G28" s="116" t="str">
        <f>VLOOKUP("hContent",tblTrans3Langs[],7,FALSE)</f>
        <v>ICCAT code</v>
      </c>
      <c r="H28" s="120" t="str">
        <f>VLOOKUP("hContent",tblTrans3Langs[],LangNameID,FALSE)</f>
        <v>Choose the overall data content type: NEW (full or partial submission) OR a REVISION (full or partial submission)</v>
      </c>
    </row>
    <row r="29" spans="1:8" x14ac:dyDescent="0.35">
      <c r="A29" s="275"/>
      <c r="B29" s="275"/>
      <c r="C29" s="279"/>
      <c r="D29" s="280"/>
      <c r="E29" s="280"/>
      <c r="F29" s="57" t="str">
        <f>VLOOKUP("hNotes",tblTrans3Langs[],LangFieldID,FALSE)</f>
        <v>Notes</v>
      </c>
      <c r="G29" s="116" t="str">
        <f>VLOOKUP("hNotes",tblTrans3Langs[],7,FALSE)</f>
        <v>string</v>
      </c>
      <c r="H29" s="125" t="str">
        <f>VLOOKUP("hNotes",tblTrans3Langs[],LangNameID,FALSE)</f>
        <v>Add additional (complementary) notes in respect of the overall dataset (if needed)</v>
      </c>
    </row>
    <row r="30" spans="1:8" ht="13.4" customHeight="1" x14ac:dyDescent="0.35">
      <c r="A30" s="275"/>
      <c r="B30" s="275"/>
      <c r="C30" s="283" t="str">
        <f>VLOOKUP("D00",tblTrans3Langs[],LangFieldID,FALSE)</f>
        <v>Detail</v>
      </c>
      <c r="D30" s="284" t="str">
        <f>VLOOKUP("D10",tblTrans3Langs[],LangFieldID,FALSE)</f>
        <v>Vessel attributes</v>
      </c>
      <c r="E30" s="284"/>
      <c r="F30" s="125" t="str">
        <f>VLOOKUP("ICCATSerialNo",tblTrans3Langs[],LangFieldID,FALSE)</f>
        <v>ICCAT Serial number</v>
      </c>
      <c r="G30" s="126" t="str">
        <f>VLOOKUP("ICCATSerialNo",tblTrans3Langs[],7,FALSE)</f>
        <v>ICCAT code</v>
      </c>
      <c r="H30" s="120" t="str">
        <f>VLOOKUP("ICCATSerialNo",tblTrans3Langs[],LangNameID,FALSE)</f>
        <v>Enter the ICCAT Vessel Serial Number if applicable</v>
      </c>
    </row>
    <row r="31" spans="1:8" ht="12.15" customHeight="1" x14ac:dyDescent="0.35">
      <c r="A31" s="275"/>
      <c r="B31" s="275"/>
      <c r="C31" s="283"/>
      <c r="D31" s="284"/>
      <c r="E31" s="284"/>
      <c r="F31" s="57" t="str">
        <f>VLOOKUP("VesselName",tblTrans3Langs[],LangFieldID,FALSE)</f>
        <v>Vessel Name</v>
      </c>
      <c r="G31" s="116" t="str">
        <f>VLOOKUP("VesselName",tblTrans3Langs[],7,FALSE)</f>
        <v>string</v>
      </c>
      <c r="H31" s="120" t="str">
        <f>VLOOKUP("VesselName",tblTrans3Langs[],LangNameID,FALSE)</f>
        <v xml:space="preserve">Enter the official name of the Vessel </v>
      </c>
    </row>
    <row r="32" spans="1:8" x14ac:dyDescent="0.35">
      <c r="A32" s="275"/>
      <c r="B32" s="275"/>
      <c r="C32" s="283"/>
      <c r="D32" s="284"/>
      <c r="E32" s="284"/>
      <c r="F32" s="57" t="str">
        <f>VLOOKUP("VessTypeCd",tblTrans3Langs[],LangFieldID,FALSE)</f>
        <v>Vessel type (cod)</v>
      </c>
      <c r="G32" s="116" t="str">
        <f>VLOOKUP("VessTypeCd",tblTrans3Langs[],7,FALSE)</f>
        <v>ICCAT code</v>
      </c>
      <c r="H32" s="120" t="str">
        <f>VLOOKUP("VessTypeCd",tblTrans3Langs[],LangNameID,FALSE)</f>
        <v>Choose the type of vessel code</v>
      </c>
    </row>
    <row r="33" spans="1:8" x14ac:dyDescent="0.35">
      <c r="A33" s="275"/>
      <c r="B33" s="275"/>
      <c r="C33" s="283"/>
      <c r="D33" s="284"/>
      <c r="E33" s="284"/>
      <c r="F33" s="57" t="str">
        <f>VLOOKUP("FlagVesCd",tblTrans3Langs[],LangFieldID,FALSE)</f>
        <v>Flag of vessel (cod)</v>
      </c>
      <c r="G33" s="116" t="str">
        <f>VLOOKUP("FlagVesCd",tblTrans3Langs[],7,FALSE)</f>
        <v>ICCAT code</v>
      </c>
      <c r="H33" s="120" t="str">
        <f>VLOOKUP("FlagVesCd",tblTrans3Langs[],LangNameID,FALSE)</f>
        <v>Choose the flag of vessel code</v>
      </c>
    </row>
    <row r="34" spans="1:8" ht="12.15" customHeight="1" x14ac:dyDescent="0.35">
      <c r="A34" s="275"/>
      <c r="B34" s="275"/>
      <c r="C34" s="283"/>
      <c r="D34" s="284" t="str">
        <f>VLOOKUP("D20",tblTrans3Langs[],LangFieldID,FALSE)</f>
        <v>Deployment (NEW FADs) details by vessel/month/1x1</v>
      </c>
      <c r="E34" s="284"/>
      <c r="F34" s="57" t="str">
        <f>VLOOKUP("Month",tblTrans3Langs[],LangFieldID,FALSE)</f>
        <v>Month</v>
      </c>
      <c r="G34" s="116" t="str">
        <f>VLOOKUP("Month",tblTrans3Langs[],7,FALSE)</f>
        <v>integer</v>
      </c>
      <c r="H34" s="120" t="str">
        <f>VLOOKUP("month",tblTrans3Langs[],LangNameID,FALSE)</f>
        <v>Specify the month of the deployment</v>
      </c>
    </row>
    <row r="35" spans="1:8" x14ac:dyDescent="0.35">
      <c r="A35" s="275"/>
      <c r="B35" s="275"/>
      <c r="C35" s="283"/>
      <c r="D35" s="284"/>
      <c r="E35" s="284"/>
      <c r="F35" s="57" t="str">
        <f>VLOOKUP("Lat1",tblTrans3Langs[],LangFieldID,FALSE)</f>
        <v>Latitude (+N/-S)</v>
      </c>
      <c r="G35" s="116" t="str">
        <f>VLOOKUP("Lat1",tblTrans3Langs[],7,FALSE)</f>
        <v>float</v>
      </c>
      <c r="H35" s="120" t="str">
        <f>VLOOKUP("Lat1",tblTrans3Langs[],LangNameID,FALSE)</f>
        <v>Corresponding latitude of deployment: (+) North  (-) South</v>
      </c>
    </row>
    <row r="36" spans="1:8" x14ac:dyDescent="0.35">
      <c r="A36" s="275"/>
      <c r="B36" s="275"/>
      <c r="C36" s="283"/>
      <c r="D36" s="284"/>
      <c r="E36" s="284"/>
      <c r="F36" s="57" t="str">
        <f>VLOOKUP("Lon1",tblTrans3Langs[],LangFieldID,FALSE)</f>
        <v>Longitude (+E/-W)</v>
      </c>
      <c r="G36" s="116" t="str">
        <f>VLOOKUP("Lon1",tblTrans3Langs[],7,FALSE)</f>
        <v>float</v>
      </c>
      <c r="H36" s="120" t="str">
        <f>VLOOKUP("Lon1",tblTrans3Langs[],LangNameID,FALSE)</f>
        <v>Corresponding longitude of deployment: (+) East (-) West</v>
      </c>
    </row>
    <row r="37" spans="1:8" x14ac:dyDescent="0.35">
      <c r="A37" s="275"/>
      <c r="B37" s="275"/>
      <c r="C37" s="283"/>
      <c r="D37" s="284"/>
      <c r="E37" s="284"/>
      <c r="F37" s="56" t="str">
        <f>VLOOKUP("FadTypeCd",tblTrans3Langs[],LangFieldID,FALSE)</f>
        <v>FAD type (cod)</v>
      </c>
      <c r="G37" s="118" t="str">
        <f>VLOOKUP("FadTypeCd",tblTrans3Langs[],7,FALSE)</f>
        <v>ICCAT code</v>
      </c>
      <c r="H37" s="121" t="str">
        <f>VLOOKUP("FadTypeCd",tblTrans3Langs[],LangNameID,FALSE)</f>
        <v>Indicate the type of FAD (FOB) deployed</v>
      </c>
    </row>
    <row r="38" spans="1:8" x14ac:dyDescent="0.35">
      <c r="A38" s="275"/>
      <c r="B38" s="275"/>
      <c r="C38" s="283"/>
      <c r="D38" s="284"/>
      <c r="E38" s="284"/>
      <c r="F38" s="56" t="str">
        <f>VLOOKUP("BeaconTypeCd",tblTrans3Langs[],LangFieldID,FALSE)</f>
        <v>Beacon/buoy type (cod)</v>
      </c>
      <c r="G38" s="118" t="str">
        <f>VLOOKUP("BeaconTypeCd",tblTrans3Langs[],7,FALSE)</f>
        <v>string</v>
      </c>
      <c r="H38" s="121" t="str">
        <f>VLOOKUP("BeaconTypeCd",tblTrans3Langs[],LangNameID,FALSE)</f>
        <v>Indicate the type of beacon (buoy) deployed with these FADs</v>
      </c>
    </row>
    <row r="39" spans="1:8" ht="42" customHeight="1" x14ac:dyDescent="0.35">
      <c r="A39" s="275"/>
      <c r="B39" s="275"/>
      <c r="C39" s="283"/>
      <c r="D39" s="284"/>
      <c r="E39" s="284"/>
      <c r="F39" s="56" t="str">
        <f>VLOOKUP("NoFADsDep",tblTrans3Langs[],LangFieldID,FALSE)</f>
        <v>Nº FADs deployed</v>
      </c>
      <c r="G39" s="118" t="str">
        <f>VLOOKUP("NoFADsDep",tblTrans3Langs[],7,FALSE)</f>
        <v>integer</v>
      </c>
      <c r="H39" s="121" t="str">
        <f>VLOOKUP("NoFADsDep",tblTrans3Langs[],LangNameID,FALSE)</f>
        <v>Total number of FADs deployed in 1x1 degree square refers only to the first deployment of a FAD with its beacon and the deployment of a beacon on a log [see CECOFAD categories] that was not previously tracked by any vessel, i.e. beacon transfer events are not reported here (i.e. the change of  beacon)</v>
      </c>
    </row>
    <row r="40" spans="1:8" ht="51.75" customHeight="1" x14ac:dyDescent="0.35">
      <c r="A40" s="275"/>
      <c r="B40" s="275"/>
      <c r="C40" s="283"/>
      <c r="D40" s="284" t="str">
        <f>VLOOKUP("D30",tblTrans3Langs[],LangFieldID,FALSE)</f>
        <v>Losses &amp; Transfers by vessel/month/1x1</v>
      </c>
      <c r="E40" s="284"/>
      <c r="F40" s="56" t="str">
        <f>VLOOKUP("NoFADsLOst",tblTrans3Langs[],LangFieldID,FALSE)</f>
        <v>Nº FADs lost</v>
      </c>
      <c r="G40" s="118" t="str">
        <f>VLOOKUP("NoFADsLost",tblTrans3Langs[],7,FALSE)</f>
        <v>integer</v>
      </c>
      <c r="H40" s="121" t="str">
        <f>VLOOKUP("NoFADsLost",tblTrans3Langs[],LangNameID,FALSE)</f>
        <v>Total number of FADs (FOBs) that can no longer be tracked by a vessel because the information of the beacon attached is no longer received, the communication has been intentionally stopped by deactivating the beacon attached or the FAD has been left at sea without a beacon. It is estimated by summing up the total number of lost FADs (FOBs) and abandoned FADs (FOBs) per entire month in each 1x1 degree square</v>
      </c>
    </row>
    <row r="41" spans="1:8" ht="27.75" customHeight="1" x14ac:dyDescent="0.35">
      <c r="A41" s="275"/>
      <c r="B41" s="275"/>
      <c r="C41" s="283"/>
      <c r="D41" s="284"/>
      <c r="E41" s="284"/>
      <c r="F41" s="56" t="str">
        <f>VLOOKUP("NoFADsTransf",tblTrans3Langs[],LangFieldID,FALSE)</f>
        <v>Nº FADs transferred (from other vessels)</v>
      </c>
      <c r="G41" s="118" t="str">
        <f>VLOOKUP("NoFADsTransf",tblTrans3Langs[],7,FALSE)</f>
        <v>integer</v>
      </c>
      <c r="H41" s="122" t="str">
        <f>VLOOKUP("NoFADsTransf",tblTrans3Langs[],LangNameID,FALSE)</f>
        <v>Total number of FADs transfers or encountered at sea (including also reactivated BEACONs)</v>
      </c>
    </row>
    <row r="42" spans="1:8" ht="12.15" customHeight="1" x14ac:dyDescent="0.35">
      <c r="A42" s="275"/>
      <c r="B42" s="275" t="str">
        <f>VLOOKUP("T05",tblTrans3Langs[],LangFieldID,FALSE)</f>
        <v>ST08B</v>
      </c>
      <c r="C42" s="278" t="str">
        <f>VLOOKUP("H00b",tblTrans3Langs[],LangFieldID,FALSE)</f>
        <v>Header</v>
      </c>
      <c r="D42" s="278"/>
      <c r="E42" s="278"/>
      <c r="F42" s="66" t="str">
        <f>VLOOKUP("H00b",tblTrans3Langs[],LangFieldID,FALSE)</f>
        <v>Header</v>
      </c>
      <c r="G42" s="66" t="str">
        <f>VLOOKUP("H00b",tblTrans3Langs[],7,FALSE)</f>
        <v>(auto)</v>
      </c>
      <c r="H42" s="65" t="str">
        <f>VLOOKUP("H00b",tblTrans3Langs[],LangNameID,FALSE)</f>
        <v>(automatic completion obtained from ST08A)</v>
      </c>
    </row>
    <row r="43" spans="1:8" ht="12.15" customHeight="1" x14ac:dyDescent="0.35">
      <c r="A43" s="275"/>
      <c r="B43" s="275"/>
      <c r="C43" s="282" t="str">
        <f>VLOOKUP("D00",tblTrans3Langs[],LangFieldID,FALSE)</f>
        <v>Detail</v>
      </c>
      <c r="D43" s="274" t="str">
        <f>VLOOKUP("D30",tblTrans3Langs[],LangFieldID,FALSE)</f>
        <v>Losses &amp; Transfers by vessel/month/1x1</v>
      </c>
      <c r="E43" s="274"/>
      <c r="F43" s="57" t="str">
        <f>VLOOKUP("FlagVesCd",tblTrans3Langs[],LangFieldID,FALSE)</f>
        <v>Flag of vessel (cod)</v>
      </c>
      <c r="G43" s="116" t="str">
        <f>VLOOKUP("FlagVesCd",tblTrans3Langs[],7,FALSE)</f>
        <v>ICCAT code</v>
      </c>
      <c r="H43" s="119" t="str">
        <f>VLOOKUP("FlagVesCd",tblTrans3Langs[],LangNameID,FALSE)</f>
        <v>Choose the flag of vessel code</v>
      </c>
    </row>
    <row r="44" spans="1:8" x14ac:dyDescent="0.35">
      <c r="A44" s="275"/>
      <c r="B44" s="275"/>
      <c r="C44" s="282"/>
      <c r="D44" s="274"/>
      <c r="E44" s="274"/>
      <c r="F44" s="57" t="str">
        <f>VLOOKUP("Month",tblTrans3Langs[],LangFieldID,FALSE)</f>
        <v>Month</v>
      </c>
      <c r="G44" s="116" t="str">
        <f>VLOOKUP("MOnth",tblTrans3Langs[],7,FALSE)</f>
        <v>integer</v>
      </c>
      <c r="H44" s="120" t="str">
        <f>VLOOKUP("Month",tblTrans3Langs[],LangNameID,FALSE)</f>
        <v>Specify the month of the deployment</v>
      </c>
    </row>
    <row r="45" spans="1:8" x14ac:dyDescent="0.35">
      <c r="A45" s="275"/>
      <c r="B45" s="275"/>
      <c r="C45" s="282"/>
      <c r="D45" s="274"/>
      <c r="E45" s="274"/>
      <c r="F45" s="57" t="str">
        <f>VLOOKUP("Lat2",tblTrans3Langs[],LangFieldID,FALSE)</f>
        <v>Latitude (+N/-S)</v>
      </c>
      <c r="G45" s="116" t="str">
        <f>VLOOKUP("Lat2",tblTrans3Langs[],7,FALSE)</f>
        <v>integer</v>
      </c>
      <c r="H45" s="120" t="str">
        <f>VLOOKUP("lat2",tblTrans3Langs[],LangNameID,FALSE)</f>
        <v>Corresponding latitude (+) North  (-) South</v>
      </c>
    </row>
    <row r="46" spans="1:8" x14ac:dyDescent="0.35">
      <c r="A46" s="275"/>
      <c r="B46" s="275"/>
      <c r="C46" s="282"/>
      <c r="D46" s="274"/>
      <c r="E46" s="274"/>
      <c r="F46" s="57" t="str">
        <f>VLOOKUP("Lon2",tblTrans3Langs[],LangFieldID,FALSE)</f>
        <v>Longitude (+E/-W)</v>
      </c>
      <c r="G46" s="116" t="str">
        <f>VLOOKUP("Lon2",tblTrans3Langs[],7,FALSE)</f>
        <v>integer</v>
      </c>
      <c r="H46" s="120" t="e">
        <f>VLOOKUP("lon",tblTrans3Langs[],LangNameID,FALSE)</f>
        <v>#N/A</v>
      </c>
    </row>
    <row r="47" spans="1:8" x14ac:dyDescent="0.35">
      <c r="A47" s="275"/>
      <c r="B47" s="275"/>
      <c r="C47" s="282"/>
      <c r="D47" s="274"/>
      <c r="E47" s="274"/>
      <c r="F47" s="57" t="str">
        <f>VLOOKUP("NoVessels",tblTrans3Langs[],LangFieldID,FALSE)</f>
        <v xml:space="preserve">Nº Active Vessels </v>
      </c>
      <c r="G47" s="116" t="str">
        <f>VLOOKUP("NoVessels",tblTrans3Langs[],7,FALSE)</f>
        <v>integer</v>
      </c>
      <c r="H47" s="120" t="str">
        <f>VLOOKUP("NoVessels",tblTrans3Langs[],LangNameID,FALSE)</f>
        <v>Number of Active Vessels with FAD/FOB beacons in the month 1x1 lat-lon area</v>
      </c>
    </row>
    <row r="48" spans="1:8" x14ac:dyDescent="0.35">
      <c r="A48" s="275"/>
      <c r="B48" s="275"/>
      <c r="C48" s="282"/>
      <c r="D48" s="274"/>
      <c r="E48" s="274"/>
      <c r="F48" s="56" t="str">
        <f>VLOOKUP("FadTypeCd",tblTrans3Langs[],LangFieldID,FALSE)</f>
        <v>FAD type (cod)</v>
      </c>
      <c r="G48" s="118" t="str">
        <f>VLOOKUP("FadTypeCd",tblTrans3Langs[],7,FALSE)</f>
        <v>ICCAT code</v>
      </c>
      <c r="H48" s="121" t="str">
        <f>VLOOKUP("FadTypeCd",tblTrans3Langs[],LangNameID,FALSE)</f>
        <v>Indicate the type of FAD (FOB) deployed</v>
      </c>
    </row>
    <row r="49" spans="1:8" ht="12.15" customHeight="1" x14ac:dyDescent="0.35">
      <c r="A49" s="275"/>
      <c r="B49" s="275"/>
      <c r="C49" s="282"/>
      <c r="D49" s="274"/>
      <c r="E49" s="274"/>
      <c r="F49" s="56" t="str">
        <f>VLOOKUP("BeaconTypeCd",tblTrans3Langs[],LangFieldID,FALSE)</f>
        <v>Beacon/buoy type (cod)</v>
      </c>
      <c r="G49" s="118" t="str">
        <f>VLOOKUP("BeaconTypeCd",tblTrans3Langs[],7,FALSE)</f>
        <v>string</v>
      </c>
      <c r="H49" s="121" t="str">
        <f>VLOOKUP("BeaconTypeCd",tblTrans3Langs[],LangNameID,FALSE)</f>
        <v>Indicate the type of beacon (buoy) deployed with these FADs</v>
      </c>
    </row>
    <row r="50" spans="1:8" ht="37.5" customHeight="1" x14ac:dyDescent="0.35">
      <c r="A50" s="275"/>
      <c r="B50" s="275"/>
      <c r="C50" s="282"/>
      <c r="D50" s="274"/>
      <c r="E50" s="274"/>
      <c r="F50" s="56" t="str">
        <f>VLOOKUP("AvgNOperatFADs",tblTrans3Langs[],LangFieldID,FALSE)</f>
        <v>Avg Number Operating FADs</v>
      </c>
      <c r="G50" s="118" t="str">
        <f>VLOOKUP("AvgNOperatFADs",tblTrans3Langs[],7,FALSE)</f>
        <v>number</v>
      </c>
      <c r="H50" s="121" t="str">
        <f>VLOOKUP("AvgNOperatFADs",tblTrans3Langs[],LangNameID,FALSE)</f>
        <v>Average number of operational beacons belonging to the vessels reported over the month. Estimated by summing up the total number of operational beacons recorded per day over the entire month and dividing by the total number of days</v>
      </c>
    </row>
    <row r="51" spans="1:8" x14ac:dyDescent="0.35">
      <c r="A51" s="275"/>
      <c r="B51" s="275"/>
      <c r="C51" s="282"/>
      <c r="D51" s="274"/>
      <c r="E51" s="274"/>
      <c r="F51" s="56" t="str">
        <f>VLOOKUP("Remarks",tblTrans3Langs[],LangFieldID,FALSE)</f>
        <v>Remarks</v>
      </c>
      <c r="G51" s="118" t="str">
        <f>VLOOKUP("Remarks",tblTrans3Langs[],7,FALSE)</f>
        <v>string</v>
      </c>
      <c r="H51" s="122" t="str">
        <f>VLOOKUP("Remarks",tblTrans3Langs[],LangNameID,FALSE)</f>
        <v>Add additional "record based" remarks (e.g. other spatial area when no 1x1 resolution is possible)</v>
      </c>
    </row>
  </sheetData>
  <sheetProtection algorithmName="SHA-512" hashValue="tYdHGIFi63aJw28qPkaIH0KGLcZT6Uxz16IUZuydnBfiZToqeUbaQqlf4my2ncmJ1hW8K71vv7HY1slXG9A6Gw==" saltValue="p0RxPfPoPZ2mISNbXz/26g==" spinCount="100000" sheet="1" objects="1" scenarios="1" formatCells="0" autoFilter="0"/>
  <mergeCells count="25">
    <mergeCell ref="D34:E39"/>
    <mergeCell ref="D40:E41"/>
    <mergeCell ref="D25:E29"/>
    <mergeCell ref="D20:E24"/>
    <mergeCell ref="A1:H1"/>
    <mergeCell ref="A2:F2"/>
    <mergeCell ref="B3:H3"/>
    <mergeCell ref="B4:H4"/>
    <mergeCell ref="B5:H5"/>
    <mergeCell ref="D43:E51"/>
    <mergeCell ref="B11:B41"/>
    <mergeCell ref="B6:H6"/>
    <mergeCell ref="B7:H7"/>
    <mergeCell ref="A9:F9"/>
    <mergeCell ref="C42:E42"/>
    <mergeCell ref="C13:C29"/>
    <mergeCell ref="D13:D19"/>
    <mergeCell ref="C11:E12"/>
    <mergeCell ref="C43:C51"/>
    <mergeCell ref="B42:B51"/>
    <mergeCell ref="A11:A51"/>
    <mergeCell ref="E13:E15"/>
    <mergeCell ref="E16:E19"/>
    <mergeCell ref="C30:C41"/>
    <mergeCell ref="D30:E33"/>
  </mergeCells>
  <pageMargins left="0.7" right="0.7" top="0.75" bottom="0.75" header="0.3" footer="0.3"/>
  <pageSetup paperSize="256" scale="71"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D0D60-B738-4456-A99F-BE85FB253C9E}">
  <dimension ref="A1:G10"/>
  <sheetViews>
    <sheetView zoomScale="85" zoomScaleNormal="85" workbookViewId="0">
      <selection activeCell="A11" sqref="A11"/>
    </sheetView>
  </sheetViews>
  <sheetFormatPr defaultColWidth="9.07421875" defaultRowHeight="12" x14ac:dyDescent="0.35"/>
  <cols>
    <col min="1" max="1" width="4.23046875" style="161" bestFit="1" customWidth="1"/>
    <col min="2" max="2" width="4.4609375" style="161" bestFit="1" customWidth="1"/>
    <col min="3" max="3" width="4" style="161" bestFit="1" customWidth="1"/>
    <col min="4" max="4" width="74.765625" style="161" customWidth="1"/>
    <col min="5" max="5" width="11" style="161" bestFit="1" customWidth="1"/>
    <col min="6" max="6" width="20" style="161" bestFit="1" customWidth="1"/>
    <col min="7" max="7" width="10.4609375" style="161" customWidth="1"/>
    <col min="8" max="8" width="9.07421875" style="161"/>
    <col min="9" max="9" width="16.4609375" style="161" bestFit="1" customWidth="1"/>
    <col min="10" max="16384" width="9.07421875" style="161"/>
  </cols>
  <sheetData>
    <row r="1" spans="1:7" ht="18.45" x14ac:dyDescent="0.35">
      <c r="A1" s="287" t="s">
        <v>964</v>
      </c>
      <c r="B1" s="287"/>
      <c r="C1" s="287"/>
      <c r="D1" s="287"/>
      <c r="E1" s="287"/>
      <c r="F1" s="287"/>
    </row>
    <row r="3" spans="1:7" x14ac:dyDescent="0.35">
      <c r="A3" s="176" t="str">
        <f>VLOOKUP("SC01",tblTrans3Langs[],LangFieldID,FALSE)</f>
        <v>Form</v>
      </c>
      <c r="B3" s="175" t="s">
        <v>963</v>
      </c>
      <c r="C3" s="175" t="s">
        <v>506</v>
      </c>
      <c r="D3" s="175" t="s">
        <v>190</v>
      </c>
      <c r="E3" s="175" t="s">
        <v>962</v>
      </c>
      <c r="F3" s="175" t="s">
        <v>961</v>
      </c>
      <c r="G3" s="175" t="str">
        <f>"Status ("&amp;LEFT('ST08A-FadsDep'!Q2,4)&amp;")"</f>
        <v>Status (2024)</v>
      </c>
    </row>
    <row r="4" spans="1:7" x14ac:dyDescent="0.35">
      <c r="A4" s="288" t="str">
        <f>VLOOKUP("T00",tblTrans3Langs[],LangFieldID,FALSE)</f>
        <v>ST08-FadsDep</v>
      </c>
      <c r="B4" s="291">
        <v>1</v>
      </c>
      <c r="C4" s="172" t="s">
        <v>589</v>
      </c>
      <c r="D4" s="174" t="s">
        <v>960</v>
      </c>
      <c r="E4" s="171" t="s">
        <v>956</v>
      </c>
      <c r="F4" s="170" t="str">
        <f>"{"&amp;LEFT('ST08A-FadsDep'!Q2,4)&amp;"a}*"</f>
        <v>{2024a}*</v>
      </c>
      <c r="G4" s="169" t="s">
        <v>954</v>
      </c>
    </row>
    <row r="5" spans="1:7" x14ac:dyDescent="0.35">
      <c r="A5" s="289"/>
      <c r="B5" s="293"/>
      <c r="C5" s="168" t="s">
        <v>590</v>
      </c>
      <c r="D5" s="173" t="s">
        <v>959</v>
      </c>
      <c r="E5" s="161" t="s">
        <v>956</v>
      </c>
      <c r="F5" s="167" t="s">
        <v>958</v>
      </c>
      <c r="G5" s="166" t="s">
        <v>954</v>
      </c>
    </row>
    <row r="6" spans="1:7" x14ac:dyDescent="0.35">
      <c r="A6" s="289"/>
      <c r="B6" s="292"/>
      <c r="C6" s="168" t="s">
        <v>591</v>
      </c>
      <c r="D6" s="173" t="s">
        <v>957</v>
      </c>
      <c r="E6" s="161" t="s">
        <v>956</v>
      </c>
      <c r="F6" s="167" t="s">
        <v>955</v>
      </c>
      <c r="G6" s="166" t="s">
        <v>954</v>
      </c>
    </row>
    <row r="7" spans="1:7" ht="13.4" customHeight="1" x14ac:dyDescent="0.35">
      <c r="A7" s="289"/>
      <c r="B7" s="291">
        <v>2</v>
      </c>
      <c r="C7" s="172"/>
      <c r="D7" s="183" t="s">
        <v>969</v>
      </c>
      <c r="E7" s="184" t="s">
        <v>953</v>
      </c>
      <c r="F7" s="185" t="s">
        <v>970</v>
      </c>
      <c r="G7" s="186" t="s">
        <v>515</v>
      </c>
    </row>
    <row r="8" spans="1:7" x14ac:dyDescent="0.35">
      <c r="A8" s="290"/>
      <c r="B8" s="292"/>
      <c r="C8" s="165"/>
      <c r="D8" s="164"/>
      <c r="E8" s="163"/>
      <c r="F8" s="162"/>
      <c r="G8" s="187"/>
    </row>
    <row r="9" spans="1:7" x14ac:dyDescent="0.35">
      <c r="A9" s="188"/>
      <c r="B9" s="189"/>
      <c r="C9" s="168"/>
      <c r="E9" s="190"/>
      <c r="F9" s="168"/>
      <c r="G9" s="191"/>
    </row>
    <row r="10" spans="1:7" x14ac:dyDescent="0.35">
      <c r="A10" s="294" t="s">
        <v>1075</v>
      </c>
      <c r="B10" s="294"/>
      <c r="C10" s="294"/>
      <c r="D10" s="294"/>
      <c r="E10" s="294"/>
      <c r="F10" s="294"/>
      <c r="G10" s="294"/>
    </row>
  </sheetData>
  <sheetProtection algorithmName="SHA-512" hashValue="pu2RGlV1B7yAipMDQFefiOHHUNcemCyIaGoYa3677lrRGP/3WFwW48D86n4PMMNigzbcTnSHQKtMDnTwXH2LbA==" saltValue="r7VWpnzSzGy/5M4d4+/ouw==" spinCount="100000" sheet="1" objects="1" scenarios="1"/>
  <mergeCells count="5">
    <mergeCell ref="A1:F1"/>
    <mergeCell ref="A4:A8"/>
    <mergeCell ref="B7:B8"/>
    <mergeCell ref="B4:B6"/>
    <mergeCell ref="A10:G10"/>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M75"/>
  <sheetViews>
    <sheetView topLeftCell="A56" zoomScale="85" zoomScaleNormal="85" workbookViewId="0">
      <selection activeCell="L62" sqref="L62"/>
    </sheetView>
  </sheetViews>
  <sheetFormatPr defaultColWidth="9.07421875" defaultRowHeight="10.75" x14ac:dyDescent="0.3"/>
  <cols>
    <col min="1" max="1" width="11" style="61" bestFit="1" customWidth="1"/>
    <col min="2" max="2" width="6.765625" style="61" bestFit="1" customWidth="1"/>
    <col min="3" max="3" width="7.4609375" style="61" bestFit="1" customWidth="1"/>
    <col min="4" max="4" width="8.23046875" style="61" bestFit="1" customWidth="1"/>
    <col min="5" max="6" width="7.4609375" style="61" bestFit="1" customWidth="1"/>
    <col min="7" max="7" width="10.07421875" style="61" customWidth="1"/>
    <col min="8" max="10" width="20.23046875" style="61" customWidth="1"/>
    <col min="11" max="13" width="52.4609375" style="61" customWidth="1"/>
    <col min="14" max="16384" width="9.07421875" style="61"/>
  </cols>
  <sheetData>
    <row r="1" spans="1:13" x14ac:dyDescent="0.3">
      <c r="A1" s="295" t="s">
        <v>670</v>
      </c>
      <c r="B1" s="295"/>
      <c r="C1" s="295"/>
      <c r="D1" s="295"/>
      <c r="E1" s="295"/>
      <c r="F1" s="295"/>
      <c r="G1" s="14"/>
      <c r="H1" s="59" t="s">
        <v>671</v>
      </c>
      <c r="I1" s="60">
        <f>IF(Idiom="ENG",8,IF(Idiom="FRA",9,10))</f>
        <v>8</v>
      </c>
      <c r="K1" s="62"/>
    </row>
    <row r="2" spans="1:13" x14ac:dyDescent="0.3">
      <c r="A2" s="15"/>
      <c r="B2" s="15"/>
      <c r="C2" s="15"/>
      <c r="D2" s="15"/>
      <c r="E2" s="15"/>
      <c r="F2" s="15"/>
      <c r="G2" s="15"/>
      <c r="H2" s="59" t="s">
        <v>672</v>
      </c>
      <c r="I2" s="60">
        <f>IF(Idiom="ENG",11,IF(Idiom="FRA",12,13))</f>
        <v>11</v>
      </c>
    </row>
    <row r="4" spans="1:13" x14ac:dyDescent="0.3">
      <c r="A4" s="62" t="s">
        <v>503</v>
      </c>
      <c r="B4" s="62" t="s">
        <v>504</v>
      </c>
      <c r="C4" s="62" t="s">
        <v>748</v>
      </c>
      <c r="D4" s="62" t="s">
        <v>505</v>
      </c>
      <c r="E4" s="62" t="s">
        <v>222</v>
      </c>
      <c r="F4" s="62" t="s">
        <v>506</v>
      </c>
      <c r="G4" s="62" t="s">
        <v>507</v>
      </c>
      <c r="H4" s="62" t="s">
        <v>508</v>
      </c>
      <c r="I4" s="62" t="s">
        <v>509</v>
      </c>
      <c r="J4" s="62" t="s">
        <v>510</v>
      </c>
      <c r="K4" s="62" t="s">
        <v>511</v>
      </c>
      <c r="L4" s="62" t="s">
        <v>512</v>
      </c>
      <c r="M4" s="62" t="s">
        <v>513</v>
      </c>
    </row>
    <row r="5" spans="1:13" ht="24" x14ac:dyDescent="0.3">
      <c r="A5" s="62" t="s">
        <v>514</v>
      </c>
      <c r="B5" s="62">
        <v>1</v>
      </c>
      <c r="C5" s="62" t="s">
        <v>749</v>
      </c>
      <c r="D5" s="62" t="s">
        <v>744</v>
      </c>
      <c r="E5" s="62" t="s">
        <v>750</v>
      </c>
      <c r="F5" s="62" t="s">
        <v>227</v>
      </c>
      <c r="G5" s="62" t="s">
        <v>515</v>
      </c>
      <c r="H5" s="8" t="s">
        <v>710</v>
      </c>
      <c r="I5" s="8" t="s">
        <v>710</v>
      </c>
      <c r="J5" s="8" t="s">
        <v>710</v>
      </c>
      <c r="K5" s="8" t="s">
        <v>984</v>
      </c>
      <c r="L5" s="8" t="s">
        <v>982</v>
      </c>
      <c r="M5" s="8" t="s">
        <v>983</v>
      </c>
    </row>
    <row r="6" spans="1:13" ht="24" x14ac:dyDescent="0.3">
      <c r="A6" s="63" t="s">
        <v>516</v>
      </c>
      <c r="B6" s="62">
        <v>2</v>
      </c>
      <c r="C6" s="62" t="s">
        <v>749</v>
      </c>
      <c r="D6" s="62" t="s">
        <v>744</v>
      </c>
      <c r="E6" s="62" t="s">
        <v>750</v>
      </c>
      <c r="F6" s="62" t="s">
        <v>517</v>
      </c>
      <c r="G6" s="62" t="s">
        <v>515</v>
      </c>
      <c r="H6" s="8" t="s">
        <v>518</v>
      </c>
      <c r="I6" s="8" t="s">
        <v>519</v>
      </c>
      <c r="J6" s="8" t="s">
        <v>520</v>
      </c>
      <c r="K6" s="8" t="s">
        <v>202</v>
      </c>
      <c r="L6" s="8" t="s">
        <v>203</v>
      </c>
      <c r="M6" s="8" t="s">
        <v>843</v>
      </c>
    </row>
    <row r="7" spans="1:13" ht="12" x14ac:dyDescent="0.3">
      <c r="A7" s="14" t="s">
        <v>678</v>
      </c>
      <c r="B7" s="62">
        <v>3</v>
      </c>
      <c r="C7" s="14" t="s">
        <v>749</v>
      </c>
      <c r="D7" s="62" t="s">
        <v>744</v>
      </c>
      <c r="E7" s="62" t="s">
        <v>750</v>
      </c>
      <c r="F7" s="14" t="s">
        <v>521</v>
      </c>
      <c r="G7" s="14" t="s">
        <v>515</v>
      </c>
      <c r="H7" s="127" t="s">
        <v>680</v>
      </c>
      <c r="I7" s="127" t="s">
        <v>681</v>
      </c>
      <c r="J7" s="127" t="s">
        <v>682</v>
      </c>
      <c r="K7" s="127" t="s">
        <v>683</v>
      </c>
      <c r="L7" s="127" t="s">
        <v>684</v>
      </c>
      <c r="M7" s="127" t="s">
        <v>685</v>
      </c>
    </row>
    <row r="8" spans="1:13" ht="12" x14ac:dyDescent="0.3">
      <c r="A8" s="63" t="s">
        <v>522</v>
      </c>
      <c r="B8" s="62">
        <v>4</v>
      </c>
      <c r="C8" s="14" t="s">
        <v>749</v>
      </c>
      <c r="D8" s="62" t="s">
        <v>744</v>
      </c>
      <c r="E8" s="62" t="s">
        <v>750</v>
      </c>
      <c r="F8" s="62" t="s">
        <v>517</v>
      </c>
      <c r="G8" s="62" t="s">
        <v>515</v>
      </c>
      <c r="H8" s="8" t="s">
        <v>744</v>
      </c>
      <c r="I8" s="8" t="s">
        <v>744</v>
      </c>
      <c r="J8" s="8" t="s">
        <v>744</v>
      </c>
      <c r="K8" s="8" t="s">
        <v>844</v>
      </c>
      <c r="L8" s="8" t="s">
        <v>845</v>
      </c>
      <c r="M8" s="8" t="s">
        <v>846</v>
      </c>
    </row>
    <row r="9" spans="1:13" ht="12" x14ac:dyDescent="0.3">
      <c r="A9" s="63" t="s">
        <v>679</v>
      </c>
      <c r="B9" s="62">
        <v>5</v>
      </c>
      <c r="C9" s="62" t="s">
        <v>749</v>
      </c>
      <c r="D9" s="62" t="s">
        <v>745</v>
      </c>
      <c r="E9" s="62" t="s">
        <v>750</v>
      </c>
      <c r="F9" s="62" t="s">
        <v>517</v>
      </c>
      <c r="G9" s="62" t="s">
        <v>515</v>
      </c>
      <c r="H9" s="8" t="s">
        <v>745</v>
      </c>
      <c r="I9" s="8" t="s">
        <v>745</v>
      </c>
      <c r="J9" s="8" t="s">
        <v>745</v>
      </c>
      <c r="K9" s="8" t="s">
        <v>847</v>
      </c>
      <c r="L9" s="8" t="s">
        <v>848</v>
      </c>
      <c r="M9" s="8" t="s">
        <v>849</v>
      </c>
    </row>
    <row r="10" spans="1:13" ht="12" x14ac:dyDescent="0.3">
      <c r="A10" s="63" t="s">
        <v>751</v>
      </c>
      <c r="B10" s="62">
        <v>6</v>
      </c>
      <c r="C10" s="14" t="s">
        <v>749</v>
      </c>
      <c r="D10" s="62" t="s">
        <v>744</v>
      </c>
      <c r="E10" s="62" t="s">
        <v>750</v>
      </c>
      <c r="F10" s="62" t="s">
        <v>523</v>
      </c>
      <c r="G10" s="62" t="s">
        <v>524</v>
      </c>
      <c r="H10" s="8" t="s">
        <v>228</v>
      </c>
      <c r="I10" s="8" t="s">
        <v>228</v>
      </c>
      <c r="J10" s="8" t="s">
        <v>525</v>
      </c>
      <c r="K10" s="8" t="s">
        <v>756</v>
      </c>
      <c r="L10" s="8" t="s">
        <v>766</v>
      </c>
      <c r="M10" s="8" t="s">
        <v>777</v>
      </c>
    </row>
    <row r="11" spans="1:13" ht="12" x14ac:dyDescent="0.3">
      <c r="A11" s="63" t="s">
        <v>752</v>
      </c>
      <c r="B11" s="62">
        <v>7</v>
      </c>
      <c r="C11" s="62" t="s">
        <v>749</v>
      </c>
      <c r="D11" s="62" t="s">
        <v>744</v>
      </c>
      <c r="E11" s="62" t="s">
        <v>750</v>
      </c>
      <c r="F11" s="62" t="s">
        <v>523</v>
      </c>
      <c r="G11" s="62" t="s">
        <v>526</v>
      </c>
      <c r="H11" s="8" t="s">
        <v>223</v>
      </c>
      <c r="I11" s="8" t="s">
        <v>224</v>
      </c>
      <c r="J11" s="8" t="s">
        <v>225</v>
      </c>
      <c r="K11" s="8" t="s">
        <v>798</v>
      </c>
      <c r="L11" s="8" t="s">
        <v>799</v>
      </c>
      <c r="M11" s="8" t="s">
        <v>800</v>
      </c>
    </row>
    <row r="12" spans="1:13" ht="12" x14ac:dyDescent="0.3">
      <c r="A12" s="62" t="s">
        <v>527</v>
      </c>
      <c r="B12" s="62">
        <v>8</v>
      </c>
      <c r="C12" s="14" t="s">
        <v>749</v>
      </c>
      <c r="D12" s="62" t="s">
        <v>744</v>
      </c>
      <c r="E12" s="62" t="s">
        <v>189</v>
      </c>
      <c r="F12" s="62" t="s">
        <v>227</v>
      </c>
      <c r="G12" s="62" t="s">
        <v>515</v>
      </c>
      <c r="H12" s="8" t="s">
        <v>189</v>
      </c>
      <c r="I12" s="8" t="s">
        <v>850</v>
      </c>
      <c r="J12" s="8" t="s">
        <v>528</v>
      </c>
      <c r="K12" s="8" t="s">
        <v>515</v>
      </c>
      <c r="L12" s="8" t="s">
        <v>515</v>
      </c>
      <c r="M12" s="8" t="s">
        <v>515</v>
      </c>
    </row>
    <row r="13" spans="1:13" ht="12" x14ac:dyDescent="0.3">
      <c r="A13" s="62" t="s">
        <v>530</v>
      </c>
      <c r="B13" s="62">
        <v>9</v>
      </c>
      <c r="C13" s="14" t="s">
        <v>749</v>
      </c>
      <c r="D13" s="62" t="s">
        <v>744</v>
      </c>
      <c r="E13" s="62" t="s">
        <v>189</v>
      </c>
      <c r="F13" s="62" t="s">
        <v>521</v>
      </c>
      <c r="G13" s="62" t="s">
        <v>515</v>
      </c>
      <c r="H13" s="8" t="s">
        <v>0</v>
      </c>
      <c r="I13" s="8" t="s">
        <v>204</v>
      </c>
      <c r="J13" s="8" t="s">
        <v>531</v>
      </c>
      <c r="K13" s="8" t="s">
        <v>515</v>
      </c>
      <c r="L13" s="8" t="s">
        <v>515</v>
      </c>
      <c r="M13" s="8" t="s">
        <v>515</v>
      </c>
    </row>
    <row r="14" spans="1:13" ht="12" x14ac:dyDescent="0.3">
      <c r="A14" s="63" t="s">
        <v>532</v>
      </c>
      <c r="B14" s="62">
        <v>10</v>
      </c>
      <c r="C14" s="62" t="s">
        <v>749</v>
      </c>
      <c r="D14" s="62" t="s">
        <v>744</v>
      </c>
      <c r="E14" s="62" t="s">
        <v>189</v>
      </c>
      <c r="F14" s="62" t="s">
        <v>533</v>
      </c>
      <c r="G14" s="62" t="s">
        <v>515</v>
      </c>
      <c r="H14" s="127" t="s">
        <v>604</v>
      </c>
      <c r="I14" s="127" t="s">
        <v>604</v>
      </c>
      <c r="J14" s="127" t="s">
        <v>605</v>
      </c>
      <c r="K14" s="127" t="s">
        <v>515</v>
      </c>
      <c r="L14" s="127" t="s">
        <v>515</v>
      </c>
      <c r="M14" s="127" t="s">
        <v>515</v>
      </c>
    </row>
    <row r="15" spans="1:13" ht="12" x14ac:dyDescent="0.3">
      <c r="A15" s="63" t="s">
        <v>534</v>
      </c>
      <c r="B15" s="62">
        <v>11</v>
      </c>
      <c r="C15" s="14" t="s">
        <v>749</v>
      </c>
      <c r="D15" s="62" t="s">
        <v>744</v>
      </c>
      <c r="E15" s="62" t="s">
        <v>189</v>
      </c>
      <c r="F15" s="62" t="s">
        <v>533</v>
      </c>
      <c r="G15" s="62" t="s">
        <v>515</v>
      </c>
      <c r="H15" s="8" t="s">
        <v>10</v>
      </c>
      <c r="I15" s="8" t="s">
        <v>10</v>
      </c>
      <c r="J15" s="8" t="s">
        <v>214</v>
      </c>
      <c r="K15" s="8" t="s">
        <v>515</v>
      </c>
      <c r="L15" s="8" t="s">
        <v>515</v>
      </c>
      <c r="M15" s="8" t="s">
        <v>515</v>
      </c>
    </row>
    <row r="16" spans="1:13" ht="12" x14ac:dyDescent="0.3">
      <c r="A16" s="63" t="s">
        <v>535</v>
      </c>
      <c r="B16" s="62">
        <v>12</v>
      </c>
      <c r="C16" s="62" t="s">
        <v>749</v>
      </c>
      <c r="D16" s="62" t="s">
        <v>744</v>
      </c>
      <c r="E16" s="62" t="s">
        <v>189</v>
      </c>
      <c r="F16" s="62" t="s">
        <v>521</v>
      </c>
      <c r="G16" s="62" t="s">
        <v>515</v>
      </c>
      <c r="H16" s="8" t="s">
        <v>9</v>
      </c>
      <c r="I16" s="8" t="s">
        <v>536</v>
      </c>
      <c r="J16" s="8" t="s">
        <v>537</v>
      </c>
      <c r="K16" s="8" t="s">
        <v>515</v>
      </c>
      <c r="L16" s="8" t="s">
        <v>515</v>
      </c>
      <c r="M16" s="8" t="s">
        <v>515</v>
      </c>
    </row>
    <row r="17" spans="1:13" ht="12" x14ac:dyDescent="0.3">
      <c r="A17" s="64" t="s">
        <v>538</v>
      </c>
      <c r="B17" s="62">
        <v>13</v>
      </c>
      <c r="C17" s="14" t="s">
        <v>749</v>
      </c>
      <c r="D17" s="62" t="s">
        <v>744</v>
      </c>
      <c r="E17" s="62" t="s">
        <v>189</v>
      </c>
      <c r="F17" s="64" t="s">
        <v>533</v>
      </c>
      <c r="G17" s="64" t="s">
        <v>515</v>
      </c>
      <c r="H17" s="9" t="s">
        <v>539</v>
      </c>
      <c r="I17" s="8" t="s">
        <v>540</v>
      </c>
      <c r="J17" s="8" t="s">
        <v>541</v>
      </c>
      <c r="K17" s="8" t="s">
        <v>515</v>
      </c>
      <c r="L17" s="8" t="s">
        <v>515</v>
      </c>
      <c r="M17" s="8" t="s">
        <v>515</v>
      </c>
    </row>
    <row r="18" spans="1:13" ht="24" x14ac:dyDescent="0.3">
      <c r="A18" s="63" t="s">
        <v>542</v>
      </c>
      <c r="B18" s="62">
        <v>14</v>
      </c>
      <c r="C18" s="62" t="s">
        <v>749</v>
      </c>
      <c r="D18" s="62" t="s">
        <v>744</v>
      </c>
      <c r="E18" s="62" t="s">
        <v>189</v>
      </c>
      <c r="F18" s="62" t="s">
        <v>521</v>
      </c>
      <c r="G18" s="62" t="s">
        <v>515</v>
      </c>
      <c r="H18" s="8" t="s">
        <v>8</v>
      </c>
      <c r="I18" s="8" t="s">
        <v>210</v>
      </c>
      <c r="J18" s="8" t="s">
        <v>219</v>
      </c>
      <c r="K18" s="8" t="s">
        <v>515</v>
      </c>
      <c r="L18" s="8" t="s">
        <v>515</v>
      </c>
      <c r="M18" s="8" t="s">
        <v>515</v>
      </c>
    </row>
    <row r="19" spans="1:13" ht="12" x14ac:dyDescent="0.3">
      <c r="A19" s="62" t="s">
        <v>543</v>
      </c>
      <c r="B19" s="62">
        <v>15</v>
      </c>
      <c r="C19" s="62" t="s">
        <v>749</v>
      </c>
      <c r="D19" s="62" t="s">
        <v>744</v>
      </c>
      <c r="E19" s="62" t="s">
        <v>189</v>
      </c>
      <c r="F19" s="62" t="s">
        <v>521</v>
      </c>
      <c r="G19" s="62" t="s">
        <v>515</v>
      </c>
      <c r="H19" s="8" t="s">
        <v>544</v>
      </c>
      <c r="I19" s="8" t="s">
        <v>545</v>
      </c>
      <c r="J19" s="8" t="s">
        <v>546</v>
      </c>
      <c r="K19" s="8" t="s">
        <v>515</v>
      </c>
      <c r="L19" s="8" t="s">
        <v>515</v>
      </c>
      <c r="M19" s="8" t="s">
        <v>515</v>
      </c>
    </row>
    <row r="20" spans="1:13" ht="12" x14ac:dyDescent="0.3">
      <c r="A20" s="102" t="s">
        <v>797</v>
      </c>
      <c r="B20" s="62">
        <v>16</v>
      </c>
      <c r="C20" s="62" t="s">
        <v>749</v>
      </c>
      <c r="D20" s="62" t="s">
        <v>745</v>
      </c>
      <c r="E20" s="62" t="s">
        <v>189</v>
      </c>
      <c r="F20" s="14" t="s">
        <v>521</v>
      </c>
      <c r="G20" s="50" t="s">
        <v>529</v>
      </c>
      <c r="H20" s="127" t="s">
        <v>189</v>
      </c>
      <c r="I20" s="8" t="s">
        <v>850</v>
      </c>
      <c r="J20" s="127" t="s">
        <v>528</v>
      </c>
      <c r="K20" s="127" t="s">
        <v>747</v>
      </c>
      <c r="L20" s="127" t="s">
        <v>851</v>
      </c>
      <c r="M20" s="127" t="s">
        <v>852</v>
      </c>
    </row>
    <row r="21" spans="1:13" ht="24" x14ac:dyDescent="0.3">
      <c r="A21" s="62" t="s">
        <v>547</v>
      </c>
      <c r="B21" s="62">
        <v>17</v>
      </c>
      <c r="C21" s="14" t="s">
        <v>749</v>
      </c>
      <c r="D21" s="62" t="s">
        <v>744</v>
      </c>
      <c r="E21" s="62" t="s">
        <v>189</v>
      </c>
      <c r="F21" s="62" t="s">
        <v>523</v>
      </c>
      <c r="G21" s="62" t="s">
        <v>686</v>
      </c>
      <c r="H21" s="8" t="s">
        <v>1</v>
      </c>
      <c r="I21" s="8" t="s">
        <v>205</v>
      </c>
      <c r="J21" s="8" t="s">
        <v>212</v>
      </c>
      <c r="K21" s="8" t="s">
        <v>757</v>
      </c>
      <c r="L21" s="8" t="s">
        <v>853</v>
      </c>
      <c r="M21" s="8" t="s">
        <v>854</v>
      </c>
    </row>
    <row r="22" spans="1:13" ht="12" x14ac:dyDescent="0.3">
      <c r="A22" s="62" t="s">
        <v>548</v>
      </c>
      <c r="B22" s="62">
        <v>18</v>
      </c>
      <c r="C22" s="62" t="s">
        <v>749</v>
      </c>
      <c r="D22" s="62" t="s">
        <v>744</v>
      </c>
      <c r="E22" s="62" t="s">
        <v>189</v>
      </c>
      <c r="F22" s="62" t="s">
        <v>523</v>
      </c>
      <c r="G22" s="62" t="s">
        <v>686</v>
      </c>
      <c r="H22" s="9" t="s">
        <v>2</v>
      </c>
      <c r="I22" s="9" t="s">
        <v>2</v>
      </c>
      <c r="J22" s="9" t="s">
        <v>2</v>
      </c>
      <c r="K22" s="8" t="s">
        <v>758</v>
      </c>
      <c r="L22" s="8" t="s">
        <v>767</v>
      </c>
      <c r="M22" s="8" t="s">
        <v>778</v>
      </c>
    </row>
    <row r="23" spans="1:13" ht="12" x14ac:dyDescent="0.3">
      <c r="A23" s="62" t="s">
        <v>549</v>
      </c>
      <c r="B23" s="62">
        <v>19</v>
      </c>
      <c r="C23" s="14" t="s">
        <v>749</v>
      </c>
      <c r="D23" s="62" t="s">
        <v>744</v>
      </c>
      <c r="E23" s="62" t="s">
        <v>189</v>
      </c>
      <c r="F23" s="62" t="s">
        <v>523</v>
      </c>
      <c r="G23" s="62" t="s">
        <v>686</v>
      </c>
      <c r="H23" s="8" t="s">
        <v>3</v>
      </c>
      <c r="I23" s="8" t="s">
        <v>206</v>
      </c>
      <c r="J23" s="8" t="s">
        <v>213</v>
      </c>
      <c r="K23" s="8" t="s">
        <v>759</v>
      </c>
      <c r="L23" s="8" t="s">
        <v>768</v>
      </c>
      <c r="M23" s="8" t="s">
        <v>779</v>
      </c>
    </row>
    <row r="24" spans="1:13" ht="24" x14ac:dyDescent="0.3">
      <c r="A24" s="62" t="s">
        <v>550</v>
      </c>
      <c r="B24" s="62">
        <v>20</v>
      </c>
      <c r="C24" s="62" t="s">
        <v>749</v>
      </c>
      <c r="D24" s="62" t="s">
        <v>744</v>
      </c>
      <c r="E24" s="62" t="s">
        <v>189</v>
      </c>
      <c r="F24" s="62" t="s">
        <v>523</v>
      </c>
      <c r="G24" s="62" t="s">
        <v>686</v>
      </c>
      <c r="H24" s="8" t="s">
        <v>4</v>
      </c>
      <c r="I24" s="8" t="s">
        <v>4</v>
      </c>
      <c r="J24" s="8" t="s">
        <v>215</v>
      </c>
      <c r="K24" s="8" t="s">
        <v>855</v>
      </c>
      <c r="L24" s="8" t="s">
        <v>769</v>
      </c>
      <c r="M24" s="8" t="s">
        <v>780</v>
      </c>
    </row>
    <row r="25" spans="1:13" ht="12" x14ac:dyDescent="0.3">
      <c r="A25" s="62" t="s">
        <v>551</v>
      </c>
      <c r="B25" s="62">
        <v>21</v>
      </c>
      <c r="C25" s="14" t="s">
        <v>749</v>
      </c>
      <c r="D25" s="62" t="s">
        <v>744</v>
      </c>
      <c r="E25" s="62" t="s">
        <v>189</v>
      </c>
      <c r="F25" s="62" t="s">
        <v>523</v>
      </c>
      <c r="G25" s="62" t="s">
        <v>686</v>
      </c>
      <c r="H25" s="8" t="s">
        <v>5</v>
      </c>
      <c r="I25" s="8" t="s">
        <v>207</v>
      </c>
      <c r="J25" s="8" t="s">
        <v>216</v>
      </c>
      <c r="K25" s="8" t="s">
        <v>760</v>
      </c>
      <c r="L25" s="8" t="s">
        <v>770</v>
      </c>
      <c r="M25" s="8" t="s">
        <v>781</v>
      </c>
    </row>
    <row r="26" spans="1:13" ht="12" x14ac:dyDescent="0.3">
      <c r="A26" s="62" t="s">
        <v>552</v>
      </c>
      <c r="B26" s="62">
        <v>22</v>
      </c>
      <c r="C26" s="62" t="s">
        <v>749</v>
      </c>
      <c r="D26" s="62" t="s">
        <v>744</v>
      </c>
      <c r="E26" s="62" t="s">
        <v>189</v>
      </c>
      <c r="F26" s="62" t="s">
        <v>523</v>
      </c>
      <c r="G26" s="62" t="s">
        <v>686</v>
      </c>
      <c r="H26" s="8" t="s">
        <v>6</v>
      </c>
      <c r="I26" s="8" t="s">
        <v>208</v>
      </c>
      <c r="J26" s="8" t="s">
        <v>217</v>
      </c>
      <c r="K26" s="8" t="s">
        <v>856</v>
      </c>
      <c r="L26" s="8" t="s">
        <v>771</v>
      </c>
      <c r="M26" s="8" t="s">
        <v>782</v>
      </c>
    </row>
    <row r="27" spans="1:13" ht="12" x14ac:dyDescent="0.3">
      <c r="A27" s="62" t="s">
        <v>553</v>
      </c>
      <c r="B27" s="62">
        <v>23</v>
      </c>
      <c r="C27" s="14" t="s">
        <v>749</v>
      </c>
      <c r="D27" s="62" t="s">
        <v>744</v>
      </c>
      <c r="E27" s="62" t="s">
        <v>189</v>
      </c>
      <c r="F27" s="62" t="s">
        <v>523</v>
      </c>
      <c r="G27" s="62" t="s">
        <v>526</v>
      </c>
      <c r="H27" s="8" t="s">
        <v>7</v>
      </c>
      <c r="I27" s="8" t="s">
        <v>209</v>
      </c>
      <c r="J27" s="8" t="s">
        <v>218</v>
      </c>
      <c r="K27" s="8" t="s">
        <v>761</v>
      </c>
      <c r="L27" s="8" t="s">
        <v>772</v>
      </c>
      <c r="M27" s="8" t="s">
        <v>783</v>
      </c>
    </row>
    <row r="28" spans="1:13" ht="12" x14ac:dyDescent="0.3">
      <c r="A28" s="62" t="s">
        <v>554</v>
      </c>
      <c r="B28" s="62">
        <v>24</v>
      </c>
      <c r="C28" s="62" t="s">
        <v>749</v>
      </c>
      <c r="D28" s="62" t="s">
        <v>744</v>
      </c>
      <c r="E28" s="62" t="s">
        <v>189</v>
      </c>
      <c r="F28" s="62" t="s">
        <v>523</v>
      </c>
      <c r="G28" s="62" t="s">
        <v>526</v>
      </c>
      <c r="H28" s="8" t="s">
        <v>555</v>
      </c>
      <c r="I28" s="8" t="s">
        <v>211</v>
      </c>
      <c r="J28" s="8" t="s">
        <v>249</v>
      </c>
      <c r="K28" s="8" t="s">
        <v>762</v>
      </c>
      <c r="L28" s="8" t="s">
        <v>857</v>
      </c>
      <c r="M28" s="8" t="s">
        <v>784</v>
      </c>
    </row>
    <row r="29" spans="1:13" ht="12" x14ac:dyDescent="0.3">
      <c r="A29" s="62" t="s">
        <v>556</v>
      </c>
      <c r="B29" s="62">
        <v>25</v>
      </c>
      <c r="C29" s="14" t="s">
        <v>749</v>
      </c>
      <c r="D29" s="62" t="s">
        <v>744</v>
      </c>
      <c r="E29" s="62" t="s">
        <v>189</v>
      </c>
      <c r="F29" s="62" t="s">
        <v>523</v>
      </c>
      <c r="G29" s="62" t="s">
        <v>557</v>
      </c>
      <c r="H29" s="8" t="s">
        <v>187</v>
      </c>
      <c r="I29" s="8" t="s">
        <v>858</v>
      </c>
      <c r="J29" s="8" t="s">
        <v>220</v>
      </c>
      <c r="K29" s="8" t="s">
        <v>763</v>
      </c>
      <c r="L29" s="8" t="s">
        <v>773</v>
      </c>
      <c r="M29" s="8" t="s">
        <v>785</v>
      </c>
    </row>
    <row r="30" spans="1:13" ht="24" x14ac:dyDescent="0.3">
      <c r="A30" s="14" t="s">
        <v>558</v>
      </c>
      <c r="B30" s="62">
        <v>26</v>
      </c>
      <c r="C30" s="14" t="s">
        <v>749</v>
      </c>
      <c r="D30" s="62" t="s">
        <v>744</v>
      </c>
      <c r="E30" s="14" t="s">
        <v>189</v>
      </c>
      <c r="F30" s="14" t="s">
        <v>523</v>
      </c>
      <c r="G30" s="14" t="s">
        <v>526</v>
      </c>
      <c r="H30" s="127" t="s">
        <v>559</v>
      </c>
      <c r="I30" s="127" t="s">
        <v>560</v>
      </c>
      <c r="J30" s="127" t="s">
        <v>561</v>
      </c>
      <c r="K30" s="127" t="s">
        <v>764</v>
      </c>
      <c r="L30" s="127" t="s">
        <v>774</v>
      </c>
      <c r="M30" s="127" t="s">
        <v>786</v>
      </c>
    </row>
    <row r="31" spans="1:13" ht="24" x14ac:dyDescent="0.3">
      <c r="A31" s="102" t="s">
        <v>692</v>
      </c>
      <c r="B31" s="62">
        <v>27</v>
      </c>
      <c r="C31" s="62" t="s">
        <v>749</v>
      </c>
      <c r="D31" s="62" t="s">
        <v>744</v>
      </c>
      <c r="E31" s="14" t="s">
        <v>189</v>
      </c>
      <c r="F31" s="14" t="s">
        <v>523</v>
      </c>
      <c r="G31" s="14" t="s">
        <v>526</v>
      </c>
      <c r="H31" s="127" t="s">
        <v>688</v>
      </c>
      <c r="I31" s="127" t="s">
        <v>693</v>
      </c>
      <c r="J31" s="127" t="s">
        <v>694</v>
      </c>
      <c r="K31" s="127" t="s">
        <v>835</v>
      </c>
      <c r="L31" s="127" t="s">
        <v>859</v>
      </c>
      <c r="M31" s="127" t="s">
        <v>860</v>
      </c>
    </row>
    <row r="32" spans="1:13" ht="12" x14ac:dyDescent="0.3">
      <c r="A32" s="63" t="s">
        <v>562</v>
      </c>
      <c r="B32" s="62">
        <v>28</v>
      </c>
      <c r="C32" s="62" t="s">
        <v>749</v>
      </c>
      <c r="D32" s="62" t="s">
        <v>744</v>
      </c>
      <c r="E32" s="62" t="s">
        <v>189</v>
      </c>
      <c r="F32" s="62" t="s">
        <v>523</v>
      </c>
      <c r="G32" s="62" t="s">
        <v>563</v>
      </c>
      <c r="H32" s="8" t="s">
        <v>564</v>
      </c>
      <c r="I32" s="8" t="s">
        <v>565</v>
      </c>
      <c r="J32" s="8" t="s">
        <v>566</v>
      </c>
      <c r="K32" s="8" t="s">
        <v>9</v>
      </c>
      <c r="L32" s="8" t="s">
        <v>536</v>
      </c>
      <c r="M32" s="8" t="s">
        <v>567</v>
      </c>
    </row>
    <row r="33" spans="1:13" ht="12" x14ac:dyDescent="0.3">
      <c r="A33" s="62" t="s">
        <v>568</v>
      </c>
      <c r="B33" s="62">
        <v>29</v>
      </c>
      <c r="C33" s="14" t="s">
        <v>749</v>
      </c>
      <c r="D33" s="62" t="s">
        <v>744</v>
      </c>
      <c r="E33" s="62" t="s">
        <v>189</v>
      </c>
      <c r="F33" s="62" t="s">
        <v>523</v>
      </c>
      <c r="G33" s="62" t="s">
        <v>526</v>
      </c>
      <c r="H33" s="8" t="s">
        <v>569</v>
      </c>
      <c r="I33" s="8" t="s">
        <v>570</v>
      </c>
      <c r="J33" s="8" t="s">
        <v>571</v>
      </c>
      <c r="K33" s="8" t="s">
        <v>9</v>
      </c>
      <c r="L33" s="8" t="s">
        <v>536</v>
      </c>
      <c r="M33" s="8" t="s">
        <v>537</v>
      </c>
    </row>
    <row r="34" spans="1:13" ht="24" x14ac:dyDescent="0.3">
      <c r="A34" s="63" t="s">
        <v>572</v>
      </c>
      <c r="B34" s="62">
        <v>30</v>
      </c>
      <c r="C34" s="62" t="s">
        <v>749</v>
      </c>
      <c r="D34" s="62" t="s">
        <v>744</v>
      </c>
      <c r="E34" s="62" t="s">
        <v>189</v>
      </c>
      <c r="F34" s="62" t="s">
        <v>523</v>
      </c>
      <c r="G34" s="62" t="s">
        <v>686</v>
      </c>
      <c r="H34" s="8" t="s">
        <v>573</v>
      </c>
      <c r="I34" s="8" t="s">
        <v>574</v>
      </c>
      <c r="J34" s="8" t="s">
        <v>575</v>
      </c>
      <c r="K34" s="8" t="s">
        <v>576</v>
      </c>
      <c r="L34" s="8" t="s">
        <v>577</v>
      </c>
      <c r="M34" s="8" t="s">
        <v>578</v>
      </c>
    </row>
    <row r="35" spans="1:13" ht="12" x14ac:dyDescent="0.3">
      <c r="A35" s="63" t="s">
        <v>579</v>
      </c>
      <c r="B35" s="62">
        <v>31</v>
      </c>
      <c r="C35" s="14" t="s">
        <v>749</v>
      </c>
      <c r="D35" s="62" t="s">
        <v>744</v>
      </c>
      <c r="E35" s="62" t="s">
        <v>189</v>
      </c>
      <c r="F35" s="62" t="s">
        <v>523</v>
      </c>
      <c r="G35" s="62" t="s">
        <v>580</v>
      </c>
      <c r="H35" s="8" t="s">
        <v>581</v>
      </c>
      <c r="I35" s="8" t="s">
        <v>582</v>
      </c>
      <c r="J35" s="8" t="s">
        <v>583</v>
      </c>
      <c r="K35" s="8" t="s">
        <v>9</v>
      </c>
      <c r="L35" s="8" t="s">
        <v>536</v>
      </c>
      <c r="M35" s="8" t="s">
        <v>567</v>
      </c>
    </row>
    <row r="36" spans="1:13" ht="12" x14ac:dyDescent="0.3">
      <c r="A36" s="63" t="s">
        <v>584</v>
      </c>
      <c r="B36" s="62">
        <v>32</v>
      </c>
      <c r="C36" s="62" t="s">
        <v>749</v>
      </c>
      <c r="D36" s="62" t="s">
        <v>744</v>
      </c>
      <c r="E36" s="62" t="s">
        <v>189</v>
      </c>
      <c r="F36" s="62" t="s">
        <v>523</v>
      </c>
      <c r="G36" s="62" t="s">
        <v>580</v>
      </c>
      <c r="H36" s="8" t="s">
        <v>585</v>
      </c>
      <c r="I36" s="8" t="s">
        <v>586</v>
      </c>
      <c r="J36" s="8" t="s">
        <v>587</v>
      </c>
      <c r="K36" s="8" t="s">
        <v>9</v>
      </c>
      <c r="L36" s="8" t="s">
        <v>536</v>
      </c>
      <c r="M36" s="8" t="s">
        <v>567</v>
      </c>
    </row>
    <row r="37" spans="1:13" ht="24" x14ac:dyDescent="0.3">
      <c r="A37" s="63" t="s">
        <v>588</v>
      </c>
      <c r="B37" s="62">
        <v>33</v>
      </c>
      <c r="C37" s="14" t="s">
        <v>749</v>
      </c>
      <c r="D37" s="62" t="s">
        <v>744</v>
      </c>
      <c r="E37" s="62" t="s">
        <v>189</v>
      </c>
      <c r="F37" s="62" t="s">
        <v>523</v>
      </c>
      <c r="G37" s="62" t="s">
        <v>686</v>
      </c>
      <c r="H37" s="8" t="s">
        <v>188</v>
      </c>
      <c r="I37" s="8" t="s">
        <v>188</v>
      </c>
      <c r="J37" s="8" t="s">
        <v>221</v>
      </c>
      <c r="K37" s="8" t="s">
        <v>861</v>
      </c>
      <c r="L37" s="8" t="s">
        <v>775</v>
      </c>
      <c r="M37" s="8" t="s">
        <v>787</v>
      </c>
    </row>
    <row r="38" spans="1:13" ht="24" x14ac:dyDescent="0.3">
      <c r="A38" s="14" t="s">
        <v>687</v>
      </c>
      <c r="B38" s="62">
        <v>34</v>
      </c>
      <c r="C38" s="62" t="s">
        <v>749</v>
      </c>
      <c r="D38" s="62" t="s">
        <v>744</v>
      </c>
      <c r="E38" s="14" t="s">
        <v>669</v>
      </c>
      <c r="F38" s="14" t="s">
        <v>227</v>
      </c>
      <c r="G38" s="14" t="s">
        <v>515</v>
      </c>
      <c r="H38" s="127" t="s">
        <v>669</v>
      </c>
      <c r="I38" s="127" t="s">
        <v>697</v>
      </c>
      <c r="J38" s="127" t="s">
        <v>698</v>
      </c>
      <c r="K38" s="8" t="s">
        <v>862</v>
      </c>
      <c r="L38" s="8" t="s">
        <v>863</v>
      </c>
      <c r="M38" s="8" t="s">
        <v>864</v>
      </c>
    </row>
    <row r="39" spans="1:13" ht="36" x14ac:dyDescent="0.3">
      <c r="A39" s="62" t="s">
        <v>833</v>
      </c>
      <c r="B39" s="62">
        <v>35</v>
      </c>
      <c r="C39" s="14" t="s">
        <v>749</v>
      </c>
      <c r="D39" s="62" t="s">
        <v>745</v>
      </c>
      <c r="E39" s="62" t="s">
        <v>669</v>
      </c>
      <c r="F39" s="62" t="s">
        <v>521</v>
      </c>
      <c r="G39" s="62" t="s">
        <v>515</v>
      </c>
      <c r="H39" s="127" t="s">
        <v>669</v>
      </c>
      <c r="I39" s="127" t="s">
        <v>697</v>
      </c>
      <c r="J39" s="127" t="s">
        <v>698</v>
      </c>
      <c r="K39" s="8" t="s">
        <v>865</v>
      </c>
      <c r="L39" s="8" t="s">
        <v>866</v>
      </c>
      <c r="M39" s="8" t="s">
        <v>867</v>
      </c>
    </row>
    <row r="40" spans="1:13" ht="12" x14ac:dyDescent="0.3">
      <c r="A40" s="50" t="s">
        <v>690</v>
      </c>
      <c r="B40" s="62">
        <v>36</v>
      </c>
      <c r="C40" s="62" t="s">
        <v>749</v>
      </c>
      <c r="D40" s="62" t="s">
        <v>744</v>
      </c>
      <c r="E40" s="14" t="s">
        <v>669</v>
      </c>
      <c r="F40" s="14" t="s">
        <v>521</v>
      </c>
      <c r="G40" s="14" t="s">
        <v>515</v>
      </c>
      <c r="H40" s="127" t="s">
        <v>796</v>
      </c>
      <c r="I40" s="8" t="s">
        <v>811</v>
      </c>
      <c r="J40" s="8" t="s">
        <v>868</v>
      </c>
      <c r="K40" s="8" t="s">
        <v>515</v>
      </c>
      <c r="L40" s="8" t="s">
        <v>515</v>
      </c>
      <c r="M40" s="8" t="s">
        <v>515</v>
      </c>
    </row>
    <row r="41" spans="1:13" ht="60" x14ac:dyDescent="0.3">
      <c r="A41" s="62" t="s">
        <v>691</v>
      </c>
      <c r="B41" s="62">
        <v>37</v>
      </c>
      <c r="C41" s="62" t="s">
        <v>749</v>
      </c>
      <c r="D41" s="62" t="s">
        <v>744</v>
      </c>
      <c r="E41" s="62" t="s">
        <v>669</v>
      </c>
      <c r="F41" s="62" t="s">
        <v>521</v>
      </c>
      <c r="G41" s="62" t="s">
        <v>515</v>
      </c>
      <c r="H41" s="8" t="s">
        <v>804</v>
      </c>
      <c r="I41" s="8" t="s">
        <v>869</v>
      </c>
      <c r="J41" s="8" t="s">
        <v>870</v>
      </c>
      <c r="K41" s="8" t="s">
        <v>871</v>
      </c>
      <c r="L41" s="8" t="s">
        <v>872</v>
      </c>
      <c r="M41" s="8" t="s">
        <v>864</v>
      </c>
    </row>
    <row r="42" spans="1:13" ht="24" x14ac:dyDescent="0.3">
      <c r="A42" s="62" t="s">
        <v>808</v>
      </c>
      <c r="B42" s="62">
        <v>38</v>
      </c>
      <c r="C42" s="14" t="s">
        <v>749</v>
      </c>
      <c r="D42" s="62" t="s">
        <v>744</v>
      </c>
      <c r="E42" s="62" t="s">
        <v>669</v>
      </c>
      <c r="F42" s="62" t="s">
        <v>521</v>
      </c>
      <c r="G42" s="62" t="s">
        <v>515</v>
      </c>
      <c r="H42" s="8" t="s">
        <v>810</v>
      </c>
      <c r="I42" s="8" t="s">
        <v>873</v>
      </c>
      <c r="J42" s="8" t="s">
        <v>874</v>
      </c>
      <c r="K42" s="8" t="s">
        <v>515</v>
      </c>
      <c r="L42" s="8" t="s">
        <v>515</v>
      </c>
      <c r="M42" s="8" t="s">
        <v>515</v>
      </c>
    </row>
    <row r="43" spans="1:13" ht="12" x14ac:dyDescent="0.3">
      <c r="A43" s="62" t="s">
        <v>689</v>
      </c>
      <c r="B43" s="62">
        <v>39</v>
      </c>
      <c r="C43" s="14" t="s">
        <v>749</v>
      </c>
      <c r="D43" s="62" t="s">
        <v>744</v>
      </c>
      <c r="E43" s="62" t="s">
        <v>669</v>
      </c>
      <c r="F43" s="62" t="s">
        <v>523</v>
      </c>
      <c r="G43" s="62" t="s">
        <v>526</v>
      </c>
      <c r="H43" s="8" t="s">
        <v>801</v>
      </c>
      <c r="I43" s="8" t="s">
        <v>802</v>
      </c>
      <c r="J43" s="8" t="s">
        <v>803</v>
      </c>
      <c r="K43" s="8" t="s">
        <v>765</v>
      </c>
      <c r="L43" s="8" t="s">
        <v>246</v>
      </c>
      <c r="M43" s="8" t="s">
        <v>250</v>
      </c>
    </row>
    <row r="44" spans="1:13" ht="12" x14ac:dyDescent="0.3">
      <c r="A44" s="62" t="s">
        <v>695</v>
      </c>
      <c r="B44" s="62">
        <v>40</v>
      </c>
      <c r="C44" s="62" t="s">
        <v>749</v>
      </c>
      <c r="D44" s="62" t="s">
        <v>744</v>
      </c>
      <c r="E44" s="62" t="s">
        <v>669</v>
      </c>
      <c r="F44" s="62" t="s">
        <v>523</v>
      </c>
      <c r="G44" s="62" t="s">
        <v>686</v>
      </c>
      <c r="H44" s="8" t="s">
        <v>243</v>
      </c>
      <c r="I44" s="8" t="s">
        <v>245</v>
      </c>
      <c r="J44" s="8" t="s">
        <v>248</v>
      </c>
      <c r="K44" s="8" t="s">
        <v>244</v>
      </c>
      <c r="L44" s="8" t="s">
        <v>247</v>
      </c>
      <c r="M44" s="8" t="s">
        <v>251</v>
      </c>
    </row>
    <row r="45" spans="1:13" ht="12" x14ac:dyDescent="0.3">
      <c r="A45" s="62" t="s">
        <v>753</v>
      </c>
      <c r="B45" s="62">
        <v>41</v>
      </c>
      <c r="C45" s="14" t="s">
        <v>749</v>
      </c>
      <c r="D45" s="62" t="s">
        <v>744</v>
      </c>
      <c r="E45" s="62" t="s">
        <v>669</v>
      </c>
      <c r="F45" s="62" t="s">
        <v>523</v>
      </c>
      <c r="G45" s="62" t="s">
        <v>526</v>
      </c>
      <c r="H45" s="8" t="s">
        <v>819</v>
      </c>
      <c r="I45" s="8" t="s">
        <v>820</v>
      </c>
      <c r="J45" s="8" t="s">
        <v>821</v>
      </c>
      <c r="K45" s="8" t="s">
        <v>823</v>
      </c>
      <c r="L45" s="8" t="s">
        <v>825</v>
      </c>
      <c r="M45" s="8" t="s">
        <v>826</v>
      </c>
    </row>
    <row r="46" spans="1:13" ht="12" x14ac:dyDescent="0.3">
      <c r="A46" s="62" t="s">
        <v>696</v>
      </c>
      <c r="B46" s="62">
        <v>42</v>
      </c>
      <c r="C46" s="62" t="s">
        <v>749</v>
      </c>
      <c r="D46" s="62" t="s">
        <v>744</v>
      </c>
      <c r="E46" s="62" t="s">
        <v>669</v>
      </c>
      <c r="F46" s="62" t="s">
        <v>523</v>
      </c>
      <c r="G46" s="62" t="s">
        <v>526</v>
      </c>
      <c r="H46" s="8" t="s">
        <v>836</v>
      </c>
      <c r="I46" s="8" t="s">
        <v>837</v>
      </c>
      <c r="J46" s="8" t="s">
        <v>838</v>
      </c>
      <c r="K46" s="8" t="s">
        <v>824</v>
      </c>
      <c r="L46" s="8" t="s">
        <v>875</v>
      </c>
      <c r="M46" s="8" t="s">
        <v>876</v>
      </c>
    </row>
    <row r="47" spans="1:13" ht="12" x14ac:dyDescent="0.3">
      <c r="A47" s="62" t="s">
        <v>711</v>
      </c>
      <c r="B47" s="62">
        <v>43</v>
      </c>
      <c r="C47" s="62" t="s">
        <v>749</v>
      </c>
      <c r="D47" s="62" t="s">
        <v>744</v>
      </c>
      <c r="E47" s="62" t="s">
        <v>669</v>
      </c>
      <c r="F47" s="62" t="s">
        <v>523</v>
      </c>
      <c r="G47" s="62" t="s">
        <v>557</v>
      </c>
      <c r="H47" s="8" t="s">
        <v>711</v>
      </c>
      <c r="I47" s="8" t="s">
        <v>805</v>
      </c>
      <c r="J47" s="8" t="s">
        <v>877</v>
      </c>
      <c r="K47" s="8" t="s">
        <v>712</v>
      </c>
      <c r="L47" s="8" t="s">
        <v>878</v>
      </c>
      <c r="M47" s="8" t="s">
        <v>879</v>
      </c>
    </row>
    <row r="48" spans="1:13" ht="12" x14ac:dyDescent="0.3">
      <c r="A48" s="62" t="s">
        <v>971</v>
      </c>
      <c r="B48" s="62">
        <v>44</v>
      </c>
      <c r="C48" s="14" t="s">
        <v>749</v>
      </c>
      <c r="D48" s="62" t="s">
        <v>744</v>
      </c>
      <c r="E48" s="62" t="s">
        <v>669</v>
      </c>
      <c r="F48" s="62" t="s">
        <v>523</v>
      </c>
      <c r="G48" s="62" t="s">
        <v>975</v>
      </c>
      <c r="H48" s="9" t="s">
        <v>828</v>
      </c>
      <c r="I48" s="9" t="s">
        <v>828</v>
      </c>
      <c r="J48" s="9" t="s">
        <v>829</v>
      </c>
      <c r="K48" s="8" t="s">
        <v>834</v>
      </c>
      <c r="L48" s="8" t="s">
        <v>880</v>
      </c>
      <c r="M48" s="8" t="s">
        <v>881</v>
      </c>
    </row>
    <row r="49" spans="1:13" ht="12" x14ac:dyDescent="0.3">
      <c r="A49" s="62" t="s">
        <v>973</v>
      </c>
      <c r="B49" s="62">
        <v>45</v>
      </c>
      <c r="C49" s="50" t="s">
        <v>749</v>
      </c>
      <c r="D49" s="62" t="s">
        <v>744</v>
      </c>
      <c r="E49" s="62" t="s">
        <v>669</v>
      </c>
      <c r="F49" s="62" t="s">
        <v>523</v>
      </c>
      <c r="G49" s="62" t="s">
        <v>975</v>
      </c>
      <c r="H49" s="9" t="s">
        <v>830</v>
      </c>
      <c r="I49" s="9" t="s">
        <v>830</v>
      </c>
      <c r="J49" s="9" t="s">
        <v>831</v>
      </c>
      <c r="K49" s="8" t="s">
        <v>713</v>
      </c>
      <c r="L49" s="8" t="s">
        <v>882</v>
      </c>
      <c r="M49" s="8" t="s">
        <v>883</v>
      </c>
    </row>
    <row r="50" spans="1:13" ht="12" x14ac:dyDescent="0.3">
      <c r="A50" s="62" t="s">
        <v>974</v>
      </c>
      <c r="B50" s="62">
        <v>44</v>
      </c>
      <c r="C50" s="14" t="s">
        <v>749</v>
      </c>
      <c r="D50" s="62" t="s">
        <v>745</v>
      </c>
      <c r="E50" s="62" t="s">
        <v>669</v>
      </c>
      <c r="F50" s="62" t="s">
        <v>523</v>
      </c>
      <c r="G50" s="62" t="s">
        <v>557</v>
      </c>
      <c r="H50" s="9" t="s">
        <v>828</v>
      </c>
      <c r="I50" s="9" t="s">
        <v>828</v>
      </c>
      <c r="J50" s="9" t="s">
        <v>829</v>
      </c>
      <c r="K50" s="8" t="s">
        <v>976</v>
      </c>
      <c r="L50" s="8" t="s">
        <v>880</v>
      </c>
      <c r="M50" s="8" t="s">
        <v>881</v>
      </c>
    </row>
    <row r="51" spans="1:13" ht="12" x14ac:dyDescent="0.3">
      <c r="A51" s="62" t="s">
        <v>972</v>
      </c>
      <c r="B51" s="62">
        <v>45</v>
      </c>
      <c r="C51" s="50" t="s">
        <v>749</v>
      </c>
      <c r="D51" s="62" t="s">
        <v>745</v>
      </c>
      <c r="E51" s="62" t="s">
        <v>669</v>
      </c>
      <c r="F51" s="62" t="s">
        <v>523</v>
      </c>
      <c r="G51" s="62" t="s">
        <v>557</v>
      </c>
      <c r="H51" s="9" t="s">
        <v>830</v>
      </c>
      <c r="I51" s="9" t="s">
        <v>830</v>
      </c>
      <c r="J51" s="9" t="s">
        <v>831</v>
      </c>
      <c r="K51" s="8" t="s">
        <v>977</v>
      </c>
      <c r="L51" s="8" t="s">
        <v>882</v>
      </c>
      <c r="M51" s="8" t="s">
        <v>883</v>
      </c>
    </row>
    <row r="52" spans="1:13" ht="12" x14ac:dyDescent="0.3">
      <c r="A52" s="62" t="s">
        <v>755</v>
      </c>
      <c r="B52" s="62">
        <v>46</v>
      </c>
      <c r="C52" s="62" t="s">
        <v>749</v>
      </c>
      <c r="D52" s="62" t="s">
        <v>744</v>
      </c>
      <c r="E52" s="62" t="s">
        <v>669</v>
      </c>
      <c r="F52" s="62" t="s">
        <v>523</v>
      </c>
      <c r="G52" s="62" t="s">
        <v>526</v>
      </c>
      <c r="H52" s="8" t="s">
        <v>809</v>
      </c>
      <c r="I52" s="8" t="s">
        <v>884</v>
      </c>
      <c r="J52" s="8" t="s">
        <v>885</v>
      </c>
      <c r="K52" s="8" t="s">
        <v>822</v>
      </c>
      <c r="L52" s="8" t="s">
        <v>886</v>
      </c>
      <c r="M52" s="8" t="s">
        <v>887</v>
      </c>
    </row>
    <row r="53" spans="1:13" ht="12" x14ac:dyDescent="0.3">
      <c r="A53" s="62" t="s">
        <v>839</v>
      </c>
      <c r="B53" s="62">
        <v>47</v>
      </c>
      <c r="C53" s="14" t="s">
        <v>749</v>
      </c>
      <c r="D53" s="62" t="s">
        <v>744</v>
      </c>
      <c r="E53" s="62" t="s">
        <v>669</v>
      </c>
      <c r="F53" s="62" t="s">
        <v>523</v>
      </c>
      <c r="G53" s="62" t="s">
        <v>686</v>
      </c>
      <c r="H53" s="8" t="s">
        <v>888</v>
      </c>
      <c r="I53" s="8" t="s">
        <v>841</v>
      </c>
      <c r="J53" s="8" t="s">
        <v>840</v>
      </c>
      <c r="K53" s="8" t="s">
        <v>889</v>
      </c>
      <c r="L53" s="8" t="s">
        <v>890</v>
      </c>
      <c r="M53" s="8" t="s">
        <v>891</v>
      </c>
    </row>
    <row r="54" spans="1:13" ht="60" x14ac:dyDescent="0.3">
      <c r="A54" s="62" t="s">
        <v>793</v>
      </c>
      <c r="B54" s="62">
        <v>48</v>
      </c>
      <c r="C54" s="62" t="s">
        <v>749</v>
      </c>
      <c r="D54" s="62" t="s">
        <v>744</v>
      </c>
      <c r="E54" s="62" t="s">
        <v>669</v>
      </c>
      <c r="F54" s="62" t="s">
        <v>523</v>
      </c>
      <c r="G54" s="62" t="s">
        <v>557</v>
      </c>
      <c r="H54" s="8" t="s">
        <v>913</v>
      </c>
      <c r="I54" s="8" t="s">
        <v>914</v>
      </c>
      <c r="J54" s="8" t="s">
        <v>912</v>
      </c>
      <c r="K54" s="8" t="s">
        <v>892</v>
      </c>
      <c r="L54" s="8" t="s">
        <v>893</v>
      </c>
      <c r="M54" s="8" t="s">
        <v>894</v>
      </c>
    </row>
    <row r="55" spans="1:13" ht="72" x14ac:dyDescent="0.3">
      <c r="A55" s="62" t="s">
        <v>794</v>
      </c>
      <c r="B55" s="62">
        <v>49</v>
      </c>
      <c r="C55" s="14" t="s">
        <v>749</v>
      </c>
      <c r="D55" s="62" t="s">
        <v>745</v>
      </c>
      <c r="E55" s="62" t="s">
        <v>669</v>
      </c>
      <c r="F55" s="62" t="s">
        <v>523</v>
      </c>
      <c r="G55" s="62" t="s">
        <v>557</v>
      </c>
      <c r="H55" s="8" t="s">
        <v>915</v>
      </c>
      <c r="I55" s="8" t="s">
        <v>917</v>
      </c>
      <c r="J55" s="8" t="s">
        <v>916</v>
      </c>
      <c r="K55" s="8" t="s">
        <v>895</v>
      </c>
      <c r="L55" s="8" t="s">
        <v>896</v>
      </c>
      <c r="M55" s="8" t="s">
        <v>897</v>
      </c>
    </row>
    <row r="56" spans="1:13" ht="24" x14ac:dyDescent="0.3">
      <c r="A56" s="62" t="s">
        <v>795</v>
      </c>
      <c r="B56" s="62">
        <v>50</v>
      </c>
      <c r="C56" s="62" t="s">
        <v>749</v>
      </c>
      <c r="D56" s="62" t="s">
        <v>745</v>
      </c>
      <c r="E56" s="62" t="s">
        <v>669</v>
      </c>
      <c r="F56" s="62" t="s">
        <v>523</v>
      </c>
      <c r="G56" s="62" t="s">
        <v>557</v>
      </c>
      <c r="H56" s="8" t="s">
        <v>919</v>
      </c>
      <c r="I56" s="8" t="s">
        <v>918</v>
      </c>
      <c r="J56" s="8" t="s">
        <v>920</v>
      </c>
      <c r="K56" s="8" t="s">
        <v>898</v>
      </c>
      <c r="L56" s="8" t="s">
        <v>899</v>
      </c>
      <c r="M56" s="8" t="s">
        <v>900</v>
      </c>
    </row>
    <row r="57" spans="1:13" ht="24" x14ac:dyDescent="0.3">
      <c r="A57" s="62" t="s">
        <v>827</v>
      </c>
      <c r="B57" s="62">
        <v>51</v>
      </c>
      <c r="C57" s="62" t="s">
        <v>749</v>
      </c>
      <c r="D57" s="62" t="s">
        <v>745</v>
      </c>
      <c r="E57" s="62" t="s">
        <v>669</v>
      </c>
      <c r="F57" s="62" t="s">
        <v>523</v>
      </c>
      <c r="G57" s="62" t="s">
        <v>557</v>
      </c>
      <c r="H57" s="8" t="s">
        <v>921</v>
      </c>
      <c r="I57" s="8" t="s">
        <v>922</v>
      </c>
      <c r="J57" s="8" t="s">
        <v>923</v>
      </c>
      <c r="K57" s="8" t="s">
        <v>901</v>
      </c>
      <c r="L57" s="8" t="s">
        <v>902</v>
      </c>
      <c r="M57" s="8" t="s">
        <v>903</v>
      </c>
    </row>
    <row r="58" spans="1:13" ht="48" x14ac:dyDescent="0.3">
      <c r="A58" s="62" t="s">
        <v>746</v>
      </c>
      <c r="B58" s="62">
        <v>52</v>
      </c>
      <c r="C58" s="62" t="s">
        <v>749</v>
      </c>
      <c r="D58" s="62" t="s">
        <v>745</v>
      </c>
      <c r="E58" s="62" t="s">
        <v>669</v>
      </c>
      <c r="F58" s="62" t="s">
        <v>523</v>
      </c>
      <c r="G58" s="62" t="s">
        <v>925</v>
      </c>
      <c r="H58" s="8" t="s">
        <v>832</v>
      </c>
      <c r="I58" s="8" t="s">
        <v>904</v>
      </c>
      <c r="J58" s="8" t="s">
        <v>905</v>
      </c>
      <c r="K58" s="8" t="s">
        <v>906</v>
      </c>
      <c r="L58" s="8" t="s">
        <v>907</v>
      </c>
      <c r="M58" s="8" t="s">
        <v>908</v>
      </c>
    </row>
    <row r="59" spans="1:13" ht="24" x14ac:dyDescent="0.3">
      <c r="A59" s="62" t="s">
        <v>792</v>
      </c>
      <c r="B59" s="62">
        <v>53</v>
      </c>
      <c r="C59" s="62" t="s">
        <v>749</v>
      </c>
      <c r="D59" s="62" t="s">
        <v>745</v>
      </c>
      <c r="E59" s="62" t="s">
        <v>669</v>
      </c>
      <c r="F59" s="62" t="s">
        <v>523</v>
      </c>
      <c r="G59" s="62" t="s">
        <v>686</v>
      </c>
      <c r="H59" s="8" t="s">
        <v>792</v>
      </c>
      <c r="I59" s="8" t="s">
        <v>806</v>
      </c>
      <c r="J59" s="9" t="s">
        <v>807</v>
      </c>
      <c r="K59" s="8" t="s">
        <v>909</v>
      </c>
      <c r="L59" s="8" t="s">
        <v>910</v>
      </c>
      <c r="M59" s="8" t="s">
        <v>911</v>
      </c>
    </row>
    <row r="60" spans="1:13" x14ac:dyDescent="0.3">
      <c r="A60" s="62" t="s">
        <v>607</v>
      </c>
      <c r="B60" s="62">
        <v>54</v>
      </c>
      <c r="C60" s="14" t="s">
        <v>749</v>
      </c>
      <c r="D60" s="62" t="s">
        <v>609</v>
      </c>
      <c r="E60" s="62" t="s">
        <v>608</v>
      </c>
      <c r="F60" s="62" t="s">
        <v>227</v>
      </c>
      <c r="G60" s="62" t="s">
        <v>515</v>
      </c>
      <c r="H60" s="62" t="s">
        <v>609</v>
      </c>
      <c r="I60" s="62" t="s">
        <v>609</v>
      </c>
      <c r="J60" s="62" t="s">
        <v>610</v>
      </c>
      <c r="K60" s="62" t="s">
        <v>611</v>
      </c>
      <c r="L60" s="62" t="s">
        <v>612</v>
      </c>
      <c r="M60" s="62" t="s">
        <v>613</v>
      </c>
    </row>
    <row r="61" spans="1:13" x14ac:dyDescent="0.3">
      <c r="A61" s="62" t="s">
        <v>614</v>
      </c>
      <c r="B61" s="62">
        <v>55</v>
      </c>
      <c r="C61" s="62" t="s">
        <v>749</v>
      </c>
      <c r="D61" s="62" t="s">
        <v>609</v>
      </c>
      <c r="E61" s="62" t="s">
        <v>608</v>
      </c>
      <c r="F61" s="62" t="s">
        <v>517</v>
      </c>
      <c r="G61" s="62" t="s">
        <v>515</v>
      </c>
      <c r="H61" s="62" t="s">
        <v>608</v>
      </c>
      <c r="I61" s="62" t="s">
        <v>608</v>
      </c>
      <c r="J61" s="62" t="s">
        <v>608</v>
      </c>
      <c r="K61" s="62" t="s">
        <v>515</v>
      </c>
      <c r="L61" s="62" t="s">
        <v>515</v>
      </c>
      <c r="M61" s="62" t="s">
        <v>515</v>
      </c>
    </row>
    <row r="62" spans="1:13" ht="21.45" x14ac:dyDescent="0.3">
      <c r="A62" s="62" t="s">
        <v>615</v>
      </c>
      <c r="B62" s="62">
        <v>56</v>
      </c>
      <c r="C62" s="14" t="s">
        <v>749</v>
      </c>
      <c r="D62" s="62" t="s">
        <v>609</v>
      </c>
      <c r="E62" s="62" t="s">
        <v>608</v>
      </c>
      <c r="F62" s="62" t="s">
        <v>616</v>
      </c>
      <c r="G62" s="62" t="s">
        <v>515</v>
      </c>
      <c r="H62" s="62" t="s">
        <v>617</v>
      </c>
      <c r="I62" s="62" t="s">
        <v>617</v>
      </c>
      <c r="J62" s="62" t="s">
        <v>617</v>
      </c>
      <c r="K62" s="62" t="s">
        <v>618</v>
      </c>
      <c r="L62" s="62" t="s">
        <v>619</v>
      </c>
      <c r="M62" s="62" t="s">
        <v>620</v>
      </c>
    </row>
    <row r="63" spans="1:13" ht="21.45" x14ac:dyDescent="0.3">
      <c r="A63" s="62" t="s">
        <v>621</v>
      </c>
      <c r="B63" s="62">
        <v>57</v>
      </c>
      <c r="C63" s="62" t="s">
        <v>749</v>
      </c>
      <c r="D63" s="62" t="s">
        <v>609</v>
      </c>
      <c r="E63" s="62" t="s">
        <v>608</v>
      </c>
      <c r="F63" s="62" t="s">
        <v>616</v>
      </c>
      <c r="G63" s="62" t="s">
        <v>515</v>
      </c>
      <c r="H63" s="62" t="s">
        <v>622</v>
      </c>
      <c r="I63" s="62" t="s">
        <v>622</v>
      </c>
      <c r="J63" s="62" t="s">
        <v>622</v>
      </c>
      <c r="K63" s="62" t="s">
        <v>623</v>
      </c>
      <c r="L63" s="62" t="s">
        <v>624</v>
      </c>
      <c r="M63" s="62" t="s">
        <v>625</v>
      </c>
    </row>
    <row r="64" spans="1:13" ht="21.45" x14ac:dyDescent="0.3">
      <c r="A64" s="62" t="s">
        <v>626</v>
      </c>
      <c r="B64" s="62">
        <v>58</v>
      </c>
      <c r="C64" s="14" t="s">
        <v>749</v>
      </c>
      <c r="D64" s="62" t="s">
        <v>609</v>
      </c>
      <c r="E64" s="62" t="s">
        <v>608</v>
      </c>
      <c r="F64" s="62" t="s">
        <v>616</v>
      </c>
      <c r="G64" s="62" t="s">
        <v>515</v>
      </c>
      <c r="H64" s="62" t="s">
        <v>627</v>
      </c>
      <c r="I64" s="62" t="s">
        <v>627</v>
      </c>
      <c r="J64" s="62" t="s">
        <v>627</v>
      </c>
      <c r="K64" s="62" t="s">
        <v>628</v>
      </c>
      <c r="L64" s="62" t="s">
        <v>629</v>
      </c>
      <c r="M64" s="62" t="s">
        <v>630</v>
      </c>
    </row>
    <row r="65" spans="1:13" ht="32.15" x14ac:dyDescent="0.3">
      <c r="A65" s="62" t="s">
        <v>631</v>
      </c>
      <c r="B65" s="62">
        <v>59</v>
      </c>
      <c r="C65" s="62" t="s">
        <v>749</v>
      </c>
      <c r="D65" s="62" t="s">
        <v>609</v>
      </c>
      <c r="E65" s="62" t="s">
        <v>608</v>
      </c>
      <c r="F65" s="62" t="s">
        <v>616</v>
      </c>
      <c r="G65" s="62" t="s">
        <v>515</v>
      </c>
      <c r="H65" s="62" t="s">
        <v>632</v>
      </c>
      <c r="I65" s="62" t="s">
        <v>632</v>
      </c>
      <c r="J65" s="62" t="s">
        <v>632</v>
      </c>
      <c r="K65" s="62" t="s">
        <v>842</v>
      </c>
      <c r="L65" s="62" t="s">
        <v>776</v>
      </c>
      <c r="M65" s="62" t="s">
        <v>633</v>
      </c>
    </row>
    <row r="66" spans="1:13" x14ac:dyDescent="0.3">
      <c r="A66" s="62" t="s">
        <v>634</v>
      </c>
      <c r="B66" s="62">
        <v>60</v>
      </c>
      <c r="C66" s="14" t="s">
        <v>749</v>
      </c>
      <c r="D66" s="62" t="s">
        <v>609</v>
      </c>
      <c r="E66" s="62" t="s">
        <v>608</v>
      </c>
      <c r="F66" s="62" t="s">
        <v>616</v>
      </c>
      <c r="G66" s="62" t="s">
        <v>515</v>
      </c>
      <c r="H66" s="62" t="s">
        <v>635</v>
      </c>
      <c r="I66" s="62" t="s">
        <v>635</v>
      </c>
      <c r="J66" s="62" t="s">
        <v>635</v>
      </c>
      <c r="K66" s="62" t="s">
        <v>790</v>
      </c>
      <c r="L66" s="62" t="s">
        <v>788</v>
      </c>
      <c r="M66" s="62" t="s">
        <v>789</v>
      </c>
    </row>
    <row r="67" spans="1:13" x14ac:dyDescent="0.3">
      <c r="A67" s="62" t="s">
        <v>636</v>
      </c>
      <c r="B67" s="62">
        <v>61</v>
      </c>
      <c r="C67" s="62" t="s">
        <v>749</v>
      </c>
      <c r="D67" s="62" t="s">
        <v>609</v>
      </c>
      <c r="E67" s="62" t="s">
        <v>637</v>
      </c>
      <c r="F67" s="62" t="s">
        <v>517</v>
      </c>
      <c r="G67" s="62" t="s">
        <v>515</v>
      </c>
      <c r="H67" s="62" t="s">
        <v>638</v>
      </c>
      <c r="I67" s="62" t="s">
        <v>639</v>
      </c>
      <c r="J67" s="62" t="s">
        <v>640</v>
      </c>
      <c r="K67" s="62" t="s">
        <v>515</v>
      </c>
      <c r="L67" s="62" t="s">
        <v>515</v>
      </c>
      <c r="M67" s="62" t="s">
        <v>515</v>
      </c>
    </row>
    <row r="68" spans="1:13" x14ac:dyDescent="0.3">
      <c r="A68" s="63" t="s">
        <v>641</v>
      </c>
      <c r="B68" s="62">
        <v>62</v>
      </c>
      <c r="C68" s="14" t="s">
        <v>749</v>
      </c>
      <c r="D68" s="62" t="s">
        <v>609</v>
      </c>
      <c r="E68" s="62" t="s">
        <v>637</v>
      </c>
      <c r="F68" s="62" t="s">
        <v>616</v>
      </c>
      <c r="G68" s="62" t="s">
        <v>515</v>
      </c>
      <c r="H68" s="62" t="s">
        <v>642</v>
      </c>
      <c r="I68" s="62" t="s">
        <v>643</v>
      </c>
      <c r="J68" s="62" t="s">
        <v>644</v>
      </c>
      <c r="K68" s="62" t="s">
        <v>515</v>
      </c>
      <c r="L68" s="62" t="s">
        <v>515</v>
      </c>
      <c r="M68" s="62" t="s">
        <v>515</v>
      </c>
    </row>
    <row r="69" spans="1:13" x14ac:dyDescent="0.3">
      <c r="A69" s="63" t="s">
        <v>645</v>
      </c>
      <c r="B69" s="62">
        <v>63</v>
      </c>
      <c r="C69" s="62" t="s">
        <v>749</v>
      </c>
      <c r="D69" s="62" t="s">
        <v>609</v>
      </c>
      <c r="E69" s="62" t="s">
        <v>637</v>
      </c>
      <c r="F69" s="62" t="s">
        <v>616</v>
      </c>
      <c r="G69" s="62" t="s">
        <v>515</v>
      </c>
      <c r="H69" s="62" t="s">
        <v>646</v>
      </c>
      <c r="I69" s="62" t="s">
        <v>647</v>
      </c>
      <c r="J69" s="62" t="s">
        <v>648</v>
      </c>
      <c r="K69" s="62" t="s">
        <v>515</v>
      </c>
      <c r="L69" s="62" t="s">
        <v>515</v>
      </c>
      <c r="M69" s="62" t="s">
        <v>515</v>
      </c>
    </row>
    <row r="70" spans="1:13" x14ac:dyDescent="0.3">
      <c r="A70" s="62" t="s">
        <v>649</v>
      </c>
      <c r="B70" s="62">
        <v>64</v>
      </c>
      <c r="C70" s="14" t="s">
        <v>749</v>
      </c>
      <c r="D70" s="62" t="s">
        <v>609</v>
      </c>
      <c r="E70" s="62" t="s">
        <v>637</v>
      </c>
      <c r="F70" s="62" t="s">
        <v>616</v>
      </c>
      <c r="G70" s="62" t="s">
        <v>515</v>
      </c>
      <c r="H70" s="62" t="s">
        <v>650</v>
      </c>
      <c r="I70" s="62" t="s">
        <v>651</v>
      </c>
      <c r="J70" s="62" t="s">
        <v>652</v>
      </c>
      <c r="K70" s="62" t="s">
        <v>515</v>
      </c>
      <c r="L70" s="62" t="s">
        <v>515</v>
      </c>
      <c r="M70" s="62" t="s">
        <v>515</v>
      </c>
    </row>
    <row r="71" spans="1:13" x14ac:dyDescent="0.3">
      <c r="A71" s="62" t="s">
        <v>653</v>
      </c>
      <c r="B71" s="62">
        <v>65</v>
      </c>
      <c r="C71" s="62" t="s">
        <v>749</v>
      </c>
      <c r="D71" s="62" t="s">
        <v>609</v>
      </c>
      <c r="E71" s="62" t="s">
        <v>637</v>
      </c>
      <c r="F71" s="62" t="s">
        <v>616</v>
      </c>
      <c r="G71" s="62" t="s">
        <v>515</v>
      </c>
      <c r="H71" s="62" t="s">
        <v>222</v>
      </c>
      <c r="I71" s="62" t="s">
        <v>654</v>
      </c>
      <c r="J71" s="62" t="s">
        <v>655</v>
      </c>
      <c r="K71" s="62" t="s">
        <v>515</v>
      </c>
      <c r="L71" s="62" t="s">
        <v>515</v>
      </c>
      <c r="M71" s="62" t="s">
        <v>515</v>
      </c>
    </row>
    <row r="72" spans="1:13" x14ac:dyDescent="0.3">
      <c r="A72" s="62" t="s">
        <v>656</v>
      </c>
      <c r="B72" s="62">
        <v>66</v>
      </c>
      <c r="C72" s="14" t="s">
        <v>749</v>
      </c>
      <c r="D72" s="62" t="s">
        <v>609</v>
      </c>
      <c r="E72" s="62" t="s">
        <v>637</v>
      </c>
      <c r="F72" s="62" t="s">
        <v>616</v>
      </c>
      <c r="G72" s="62" t="s">
        <v>515</v>
      </c>
      <c r="H72" s="62" t="s">
        <v>657</v>
      </c>
      <c r="I72" s="62" t="s">
        <v>658</v>
      </c>
      <c r="J72" s="62" t="s">
        <v>659</v>
      </c>
      <c r="K72" s="62" t="s">
        <v>515</v>
      </c>
      <c r="L72" s="62" t="s">
        <v>515</v>
      </c>
      <c r="M72" s="62" t="s">
        <v>515</v>
      </c>
    </row>
    <row r="73" spans="1:13" x14ac:dyDescent="0.3">
      <c r="A73" s="62" t="s">
        <v>660</v>
      </c>
      <c r="B73" s="62">
        <v>67</v>
      </c>
      <c r="C73" s="62" t="s">
        <v>749</v>
      </c>
      <c r="D73" s="62" t="s">
        <v>609</v>
      </c>
      <c r="E73" s="62" t="s">
        <v>637</v>
      </c>
      <c r="F73" s="62" t="s">
        <v>616</v>
      </c>
      <c r="G73" s="62" t="s">
        <v>515</v>
      </c>
      <c r="H73" s="62" t="s">
        <v>661</v>
      </c>
      <c r="I73" s="62" t="s">
        <v>662</v>
      </c>
      <c r="J73" s="62" t="s">
        <v>663</v>
      </c>
      <c r="K73" s="62" t="s">
        <v>515</v>
      </c>
      <c r="L73" s="62" t="s">
        <v>515</v>
      </c>
      <c r="M73" s="62" t="s">
        <v>515</v>
      </c>
    </row>
    <row r="74" spans="1:13" x14ac:dyDescent="0.3">
      <c r="A74" s="62" t="s">
        <v>664</v>
      </c>
      <c r="B74" s="62">
        <v>68</v>
      </c>
      <c r="C74" s="14" t="s">
        <v>749</v>
      </c>
      <c r="D74" s="62" t="s">
        <v>609</v>
      </c>
      <c r="E74" s="62" t="s">
        <v>637</v>
      </c>
      <c r="F74" s="62" t="s">
        <v>616</v>
      </c>
      <c r="G74" s="62" t="s">
        <v>515</v>
      </c>
      <c r="H74" s="62" t="s">
        <v>665</v>
      </c>
      <c r="I74" s="62" t="s">
        <v>666</v>
      </c>
      <c r="J74" s="62" t="s">
        <v>667</v>
      </c>
      <c r="K74" s="62" t="s">
        <v>515</v>
      </c>
      <c r="L74" s="62" t="s">
        <v>515</v>
      </c>
      <c r="M74" s="62" t="s">
        <v>515</v>
      </c>
    </row>
    <row r="75" spans="1:13" x14ac:dyDescent="0.3">
      <c r="A75" s="62" t="s">
        <v>668</v>
      </c>
      <c r="B75" s="62">
        <v>69</v>
      </c>
      <c r="C75" s="62" t="s">
        <v>749</v>
      </c>
      <c r="D75" s="62" t="s">
        <v>609</v>
      </c>
      <c r="E75" s="62" t="s">
        <v>637</v>
      </c>
      <c r="F75" s="62" t="s">
        <v>616</v>
      </c>
      <c r="G75" s="62" t="s">
        <v>515</v>
      </c>
      <c r="H75" s="62" t="s">
        <v>190</v>
      </c>
      <c r="I75" s="62" t="s">
        <v>190</v>
      </c>
      <c r="J75" s="62" t="s">
        <v>226</v>
      </c>
      <c r="K75" s="62" t="s">
        <v>515</v>
      </c>
      <c r="L75" s="62" t="s">
        <v>515</v>
      </c>
      <c r="M75" s="62" t="s">
        <v>515</v>
      </c>
    </row>
  </sheetData>
  <sheetProtection algorithmName="SHA-512" hashValue="h7twaFGWU5ZPNikRUiorMMIhjTUj1PiN5/F74en1EI5kwJPJ3MMhCO8XAkQLIMffGvpEcLzFuMWIoq7sS9/7dQ==" saltValue="rnPTmxVhj5KYmiODzZPKww==" spinCount="100000" sheet="1" objects="1" scenarios="1" formatCells="0" autoFilter="0"/>
  <mergeCells count="1">
    <mergeCell ref="A1:F1"/>
  </mergeCells>
  <printOptions horizontalCentered="1"/>
  <pageMargins left="0.11811023622047245" right="0.11811023622047245" top="0.74803149606299213" bottom="0.74803149606299213" header="0.31496062992125984" footer="0.31496062992125984"/>
  <pageSetup paperSize="9" scale="95"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ST08A-FadsDep</vt:lpstr>
      <vt:lpstr>ST08B-FadsDen</vt:lpstr>
      <vt:lpstr>Codes</vt:lpstr>
      <vt:lpstr>Instructions</vt:lpstr>
      <vt:lpstr>Filters</vt:lpstr>
      <vt:lpstr>Translation</vt:lpstr>
      <vt:lpstr>BeaconTypeCode</vt:lpstr>
      <vt:lpstr>Content</vt:lpstr>
      <vt:lpstr>FadTypeCode</vt:lpstr>
      <vt:lpstr>FlagA3ISO</vt:lpstr>
      <vt:lpstr>FlagCode</vt:lpstr>
      <vt:lpstr>FlagName</vt:lpstr>
      <vt:lpstr>Idiom</vt:lpstr>
      <vt:lpstr>LangFieldID</vt:lpstr>
      <vt:lpstr>LangNameID</vt:lpstr>
      <vt:lpstr>PortsZones</vt:lpstr>
      <vt:lpstr>Version</vt:lpstr>
      <vt:lpstr>VesselTypeCode</vt:lpstr>
    </vt:vector>
  </TitlesOfParts>
  <Company>ICCAT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cpalma</dc:creator>
  <cp:lastModifiedBy>Carlos Palma</cp:lastModifiedBy>
  <cp:lastPrinted>2015-03-18T08:43:48Z</cp:lastPrinted>
  <dcterms:created xsi:type="dcterms:W3CDTF">2004-02-12T11:14:25Z</dcterms:created>
  <dcterms:modified xsi:type="dcterms:W3CDTF">2024-02-04T18:50:27Z</dcterms:modified>
</cp:coreProperties>
</file>