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D:\eforms\2024\ST01-10-TRI_2024a\"/>
    </mc:Choice>
  </mc:AlternateContent>
  <xr:revisionPtr revIDLastSave="0" documentId="13_ncr:1_{8F853C3A-87E1-4E05-8E72-A7974A7F0813}" xr6:coauthVersionLast="47" xr6:coauthVersionMax="47" xr10:uidLastSave="{00000000-0000-0000-0000-000000000000}"/>
  <workbookProtection workbookAlgorithmName="SHA-512" workbookHashValue="Al/mm6fNsZ1SayLjSJhkpmeVHFFNmBxXw0f25J2aGHoyVDYHPQYpc1JhUb4T1/NyGTvpHuXgj5MWXsxYRHqpPg==" workbookSaltValue="0/lDOr0s/EWvvNr1kH2vbQ==" workbookSpinCount="100000" lockStructure="1"/>
  <bookViews>
    <workbookView xWindow="-103" yWindow="-103" windowWidth="33120" windowHeight="18000" tabRatio="856" xr2:uid="{00000000-000D-0000-FFFF-FFFF00000000}"/>
  </bookViews>
  <sheets>
    <sheet name="ST09A-FishingActivity" sheetId="1" r:id="rId1"/>
    <sheet name="ST09B-Catch" sheetId="5" r:id="rId2"/>
    <sheet name="ST09C-Samples (Optional)" sheetId="18" r:id="rId3"/>
    <sheet name="Codes" sheetId="7" r:id="rId4"/>
    <sheet name="Instructions" sheetId="17" r:id="rId5"/>
    <sheet name="Translation" sheetId="16" state="hidden" r:id="rId6"/>
    <sheet name="Filters" sheetId="19" r:id="rId7"/>
  </sheets>
  <definedNames>
    <definedName name="_xlnm._FilterDatabase" localSheetId="3" hidden="1">Codes!$W$2:$AB$17</definedName>
    <definedName name="_xlnm._FilterDatabase" localSheetId="4" hidden="1">Instructions!$A$10:$H$87</definedName>
    <definedName name="_xlnm._FilterDatabase" localSheetId="0" hidden="1">'ST09A-FishingActivity'!#REF!</definedName>
    <definedName name="_xlnm._FilterDatabase" localSheetId="1" hidden="1">'ST09B-Catch'!#REF!</definedName>
    <definedName name="_xlcn.WorksheetConnection_ST09NatObPrg_v2.xlsxtblST09A1" hidden="1">tblST09A[]</definedName>
    <definedName name="Content">Codes!$T$9:$T$12</definedName>
    <definedName name="DataCollectionSource">Codes!$X$85:$X$88</definedName>
    <definedName name="DCollSourceCode">Codes!$W$85:$W$88</definedName>
    <definedName name="FlagA2ISO">Codes!$F$3:$F$175</definedName>
    <definedName name="FlagA3ISO">Codes!$E$3:$E$175</definedName>
    <definedName name="FlagCode">Codes!$B$3:$B$175</definedName>
    <definedName name="FlagName">Codes!$A$3:$A$175</definedName>
    <definedName name="FOpDepthCode">Codes!$T$90:$T$92</definedName>
    <definedName name="FOperGrpCdA">'ST09A-FishingActivity'!$A$30:$A$40</definedName>
    <definedName name="FOperTypeCode">Codes!$T$66:$T$68</definedName>
    <definedName name="GearCovTypeCod">Codes!$W$3:$W$17</definedName>
    <definedName name="GearGrpCode">Codes!$T$17:$T$28</definedName>
    <definedName name="GridResolCode">Codes!$T$59:$T$61</definedName>
    <definedName name="HookTypeCode">Codes!$T$81:$T$85</definedName>
    <definedName name="Idiom">'ST09A-FishingActivity'!$R$2</definedName>
    <definedName name="InjurSclCode">Codes!$W$75:$W$80</definedName>
    <definedName name="LangFieldID">Translation!$I$1</definedName>
    <definedName name="LangNameID">Translation!$I$2</definedName>
    <definedName name="LenTypeCode">Codes!$W$62:$W$69</definedName>
    <definedName name="LLType">Codes!$T$33:$T$43</definedName>
    <definedName name="LOACLassCode">Codes!$T$48:$T$54</definedName>
    <definedName name="MitMeasCode">Codes!$T$97:$T$109</definedName>
    <definedName name="MitMeasCode2">Codes!$T$105:$T$109</definedName>
    <definedName name="PortsZones">Codes!$D$3:$D$175</definedName>
    <definedName name="ProdTypeCode">Codes!$W$52:$W$57</definedName>
    <definedName name="SchoolTypeCode">Codes!$T$73:$T$76</definedName>
    <definedName name="SexCode">Codes!$W$44:$W$47</definedName>
    <definedName name="SpeciesCode">Codes!$H$3:$H$204</definedName>
    <definedName name="StatusCPC">Codes!$C$3:$C$175</definedName>
    <definedName name="TPeriodID">Codes!$W$24:$W$39</definedName>
    <definedName name="Version">Codes!$T$3:$T$4</definedName>
  </definedNames>
  <calcPr calcId="191029"/>
  <extLst>
    <ext xmlns:x15="http://schemas.microsoft.com/office/spreadsheetml/2010/11/main" uri="{FCE2AD5D-F65C-4FA6-A056-5C36A1767C68}">
      <x15:dataModel>
        <x15:modelTables>
          <x15:modelTable id="tblST09A" name="tblST09A" connection="WorksheetConnection_ST09-NatObPrg_v2.xlsx!tblST09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8" i="17" l="1"/>
  <c r="G39" i="17"/>
  <c r="G36" i="17"/>
  <c r="K20" i="1"/>
  <c r="K21" i="1"/>
  <c r="J20" i="1"/>
  <c r="J21" i="1"/>
  <c r="G34" i="17"/>
  <c r="G32" i="17"/>
  <c r="W4" i="7"/>
  <c r="W6" i="7"/>
  <c r="J17" i="1" s="1"/>
  <c r="W7" i="7"/>
  <c r="W8" i="7"/>
  <c r="W9" i="7"/>
  <c r="W10" i="7"/>
  <c r="W11" i="7"/>
  <c r="W12" i="7"/>
  <c r="W13" i="7"/>
  <c r="W14" i="7"/>
  <c r="W15" i="7"/>
  <c r="W16" i="7"/>
  <c r="W17" i="7"/>
  <c r="W3" i="7"/>
  <c r="E12" i="1" l="1"/>
  <c r="K11" i="1" s="1"/>
  <c r="F4" i="19" l="1"/>
  <c r="K12" i="1" l="1"/>
  <c r="L28" i="1" l="1"/>
  <c r="D6" i="18" l="1"/>
  <c r="D6" i="5"/>
  <c r="O16" i="18"/>
  <c r="B10" i="5" l="1"/>
  <c r="B10" i="18"/>
  <c r="B9" i="5"/>
  <c r="B9" i="18"/>
  <c r="C5" i="5"/>
  <c r="C5" i="18"/>
  <c r="B6" i="5"/>
  <c r="B6" i="18"/>
  <c r="B5" i="5"/>
  <c r="B5" i="18"/>
  <c r="G37" i="17" l="1"/>
  <c r="I28" i="1"/>
  <c r="H28" i="1"/>
  <c r="G85" i="17"/>
  <c r="G84" i="17"/>
  <c r="G83" i="17"/>
  <c r="G81" i="17"/>
  <c r="G80" i="17"/>
  <c r="J16" i="18" l="1"/>
  <c r="K16" i="18"/>
  <c r="L16" i="18"/>
  <c r="I16" i="18"/>
  <c r="G71" i="17" l="1"/>
  <c r="G60" i="17"/>
  <c r="G33" i="17"/>
  <c r="G49" i="17"/>
  <c r="G55" i="17"/>
  <c r="G87" i="17"/>
  <c r="P16" i="18" l="1"/>
  <c r="W28" i="1"/>
  <c r="G31" i="17" l="1"/>
  <c r="G82" i="17" l="1"/>
  <c r="G86" i="17"/>
  <c r="G79" i="17"/>
  <c r="G78" i="17"/>
  <c r="G76" i="17"/>
  <c r="G75" i="17"/>
  <c r="G74" i="17"/>
  <c r="G73" i="17"/>
  <c r="G72" i="17"/>
  <c r="M16" i="18"/>
  <c r="N16" i="18"/>
  <c r="G70" i="17"/>
  <c r="G69" i="17"/>
  <c r="G68" i="17"/>
  <c r="G67" i="17"/>
  <c r="G66" i="17"/>
  <c r="G65" i="17"/>
  <c r="G64" i="17"/>
  <c r="G63" i="17"/>
  <c r="G62" i="17"/>
  <c r="G61" i="17"/>
  <c r="G59" i="17"/>
  <c r="G58" i="17"/>
  <c r="G57" i="17"/>
  <c r="G56" i="17"/>
  <c r="G54" i="17"/>
  <c r="G53" i="17"/>
  <c r="G52" i="17"/>
  <c r="G51" i="17"/>
  <c r="G50" i="17"/>
  <c r="G48" i="17"/>
  <c r="G47" i="17"/>
  <c r="G46" i="17"/>
  <c r="G45" i="17"/>
  <c r="G44" i="17"/>
  <c r="G43" i="17"/>
  <c r="G42" i="17"/>
  <c r="G41" i="17"/>
  <c r="G40" i="17"/>
  <c r="G38" i="17"/>
  <c r="G30" i="17"/>
  <c r="B16" i="18" l="1"/>
  <c r="C16" i="18"/>
  <c r="D16" i="18"/>
  <c r="E16" i="18"/>
  <c r="F16" i="18"/>
  <c r="G16" i="18"/>
  <c r="H16" i="18"/>
  <c r="B16" i="5" l="1"/>
  <c r="C16" i="5"/>
  <c r="D16" i="5"/>
  <c r="E16" i="5"/>
  <c r="F16" i="5"/>
  <c r="G16" i="5"/>
  <c r="H16" i="5"/>
  <c r="I16" i="5"/>
  <c r="J16" i="5"/>
  <c r="A16" i="5" l="1"/>
  <c r="U28" i="1"/>
  <c r="V28" i="1"/>
  <c r="T28" i="1"/>
  <c r="K4" i="1" l="1"/>
  <c r="C28" i="1"/>
  <c r="G35" i="17"/>
  <c r="G24" i="17"/>
  <c r="G23" i="17"/>
  <c r="G27" i="17" l="1"/>
  <c r="G26" i="17"/>
  <c r="O28" i="1" l="1"/>
  <c r="P28" i="1"/>
  <c r="Q28" i="1"/>
  <c r="R28" i="1"/>
  <c r="A28" i="1" l="1"/>
  <c r="J28" i="1"/>
  <c r="A16" i="18" l="1"/>
  <c r="D28" i="1" l="1"/>
  <c r="E28" i="1"/>
  <c r="F28" i="1"/>
  <c r="G28" i="1"/>
  <c r="B19" i="1" l="1"/>
  <c r="O2" i="18" l="1"/>
  <c r="N2" i="18"/>
  <c r="L9" i="1" l="1"/>
  <c r="S28" i="1" l="1"/>
  <c r="K28" i="1"/>
  <c r="N28" i="1"/>
  <c r="M28" i="1"/>
  <c r="G19" i="17" l="1"/>
  <c r="G15" i="17"/>
  <c r="G14" i="17"/>
  <c r="G12" i="17"/>
  <c r="G11" i="17"/>
  <c r="G29" i="17"/>
  <c r="G25" i="17"/>
  <c r="G22" i="17"/>
  <c r="G21" i="17"/>
  <c r="G20" i="17"/>
  <c r="G18" i="17"/>
  <c r="G17" i="17"/>
  <c r="G16" i="17"/>
  <c r="G13" i="17"/>
  <c r="I2" i="16"/>
  <c r="H28" i="17" s="1"/>
  <c r="H36" i="17" l="1"/>
  <c r="H39" i="17"/>
  <c r="H32" i="17"/>
  <c r="H34" i="17"/>
  <c r="H37" i="17"/>
  <c r="H85" i="17"/>
  <c r="H81" i="17"/>
  <c r="H80" i="17"/>
  <c r="H84" i="17"/>
  <c r="H83" i="17"/>
  <c r="H71" i="17"/>
  <c r="H60" i="17"/>
  <c r="H49" i="17"/>
  <c r="H33" i="17"/>
  <c r="H55" i="17"/>
  <c r="H31" i="17"/>
  <c r="H87" i="17"/>
  <c r="H78" i="17"/>
  <c r="H74" i="17"/>
  <c r="H66" i="17"/>
  <c r="H62" i="17"/>
  <c r="H46" i="17"/>
  <c r="H41" i="17"/>
  <c r="H38" i="17"/>
  <c r="H70" i="17"/>
  <c r="H69" i="17"/>
  <c r="H51" i="17"/>
  <c r="H43" i="17"/>
  <c r="H58" i="17"/>
  <c r="H86" i="17"/>
  <c r="H77" i="17"/>
  <c r="H73" i="17"/>
  <c r="H65" i="17"/>
  <c r="H61" i="17"/>
  <c r="H57" i="17"/>
  <c r="H48" i="17"/>
  <c r="H68" i="17"/>
  <c r="H54" i="17"/>
  <c r="H45" i="17"/>
  <c r="H40" i="17"/>
  <c r="H82" i="17"/>
  <c r="H76" i="17"/>
  <c r="H72" i="17"/>
  <c r="H64" i="17"/>
  <c r="H59" i="17"/>
  <c r="H50" i="17"/>
  <c r="H42" i="17"/>
  <c r="H30" i="17"/>
  <c r="H67" i="17"/>
  <c r="H56" i="17"/>
  <c r="H47" i="17"/>
  <c r="H79" i="17"/>
  <c r="H75" i="17"/>
  <c r="H63" i="17"/>
  <c r="H53" i="17"/>
  <c r="H52" i="17"/>
  <c r="H44" i="17"/>
  <c r="H24" i="17"/>
  <c r="H35" i="17"/>
  <c r="H23" i="17"/>
  <c r="H27" i="17"/>
  <c r="H26" i="17"/>
  <c r="H11" i="17"/>
  <c r="H12" i="17"/>
  <c r="I1" i="16" l="1"/>
  <c r="F39" i="17" l="1"/>
  <c r="A15" i="1"/>
  <c r="H16" i="1"/>
  <c r="F28" i="17"/>
  <c r="F36" i="17"/>
  <c r="J16" i="1"/>
  <c r="I16" i="1"/>
  <c r="F34" i="17"/>
  <c r="G12" i="1"/>
  <c r="F32" i="17"/>
  <c r="G21" i="1"/>
  <c r="G18" i="1"/>
  <c r="G19" i="1"/>
  <c r="G20" i="1"/>
  <c r="G17" i="1"/>
  <c r="H15" i="1"/>
  <c r="G14" i="1"/>
  <c r="G13" i="1"/>
  <c r="F37" i="17"/>
  <c r="F85" i="17"/>
  <c r="F81" i="17"/>
  <c r="F83" i="17"/>
  <c r="F84" i="17"/>
  <c r="F80" i="17"/>
  <c r="O14" i="18"/>
  <c r="M14" i="18"/>
  <c r="N15" i="18"/>
  <c r="O15" i="18"/>
  <c r="P15" i="18"/>
  <c r="I14" i="18"/>
  <c r="L15" i="18"/>
  <c r="M15" i="18"/>
  <c r="H15" i="18"/>
  <c r="I15" i="18"/>
  <c r="J15" i="18"/>
  <c r="K15" i="18"/>
  <c r="C71" i="17"/>
  <c r="C60" i="17"/>
  <c r="F33" i="17"/>
  <c r="B71" i="17"/>
  <c r="F55" i="17"/>
  <c r="B60" i="17"/>
  <c r="B11" i="17"/>
  <c r="F49" i="17"/>
  <c r="F87" i="17"/>
  <c r="D34" i="17"/>
  <c r="F31" i="17"/>
  <c r="F7" i="18"/>
  <c r="G7" i="18"/>
  <c r="G7" i="5"/>
  <c r="F7" i="5"/>
  <c r="A4" i="19"/>
  <c r="A3" i="19"/>
  <c r="F82" i="17"/>
  <c r="F76" i="17"/>
  <c r="E80" i="17"/>
  <c r="F65" i="17"/>
  <c r="E64" i="17"/>
  <c r="F53" i="17"/>
  <c r="F52" i="17"/>
  <c r="F44" i="17"/>
  <c r="E58" i="17"/>
  <c r="E41" i="17"/>
  <c r="F56" i="17"/>
  <c r="F75" i="17"/>
  <c r="E78" i="17"/>
  <c r="F64" i="17"/>
  <c r="E62" i="17"/>
  <c r="F58" i="17"/>
  <c r="E56" i="17"/>
  <c r="D41" i="17"/>
  <c r="D56" i="17"/>
  <c r="E51" i="17"/>
  <c r="F77" i="17"/>
  <c r="F41" i="17"/>
  <c r="F74" i="17"/>
  <c r="E76" i="17"/>
  <c r="F63" i="17"/>
  <c r="E61" i="17"/>
  <c r="F46" i="17"/>
  <c r="F38" i="17"/>
  <c r="E38" i="17"/>
  <c r="E37" i="17"/>
  <c r="D84" i="17"/>
  <c r="E59" i="17"/>
  <c r="F86" i="17"/>
  <c r="F73" i="17"/>
  <c r="E75" i="17"/>
  <c r="F62" i="17"/>
  <c r="D61" i="17"/>
  <c r="F51" i="17"/>
  <c r="F43" i="17"/>
  <c r="F66" i="17"/>
  <c r="F47" i="17"/>
  <c r="F72" i="17"/>
  <c r="D75" i="17"/>
  <c r="F70" i="17"/>
  <c r="F61" i="17"/>
  <c r="F57" i="17"/>
  <c r="F48" i="17"/>
  <c r="F45" i="17"/>
  <c r="F40" i="17"/>
  <c r="E46" i="17"/>
  <c r="D37" i="17"/>
  <c r="F68" i="17"/>
  <c r="F79" i="17"/>
  <c r="E86" i="17"/>
  <c r="E72" i="17"/>
  <c r="F69" i="17"/>
  <c r="F54" i="17"/>
  <c r="D46" i="17"/>
  <c r="E43" i="17"/>
  <c r="E67" i="17"/>
  <c r="F78" i="17"/>
  <c r="E84" i="17"/>
  <c r="D72" i="17"/>
  <c r="F67" i="17"/>
  <c r="E70" i="17"/>
  <c r="F59" i="17"/>
  <c r="F50" i="17"/>
  <c r="F42" i="17"/>
  <c r="F30" i="17"/>
  <c r="D43" i="17"/>
  <c r="W26" i="1"/>
  <c r="B15" i="18"/>
  <c r="C15" i="18"/>
  <c r="V26" i="1"/>
  <c r="T26" i="1"/>
  <c r="T25" i="1"/>
  <c r="D14" i="18"/>
  <c r="M13" i="18"/>
  <c r="E14" i="18"/>
  <c r="G14" i="18"/>
  <c r="J14" i="5"/>
  <c r="A13" i="18"/>
  <c r="A14" i="18"/>
  <c r="D15" i="18"/>
  <c r="E15" i="5"/>
  <c r="D13" i="18"/>
  <c r="A15" i="18"/>
  <c r="D14" i="5"/>
  <c r="G14" i="5"/>
  <c r="A14" i="5"/>
  <c r="B14" i="5"/>
  <c r="A26" i="1"/>
  <c r="A13" i="5"/>
  <c r="C15" i="5"/>
  <c r="P27" i="1"/>
  <c r="Q27" i="1"/>
  <c r="R27" i="1"/>
  <c r="O26" i="1"/>
  <c r="E25" i="1"/>
  <c r="J26" i="1"/>
  <c r="J25" i="1"/>
  <c r="G25" i="1"/>
  <c r="G26" i="1"/>
  <c r="S27" i="1"/>
  <c r="O27" i="1"/>
  <c r="D32" i="17"/>
  <c r="F35" i="17"/>
  <c r="F24" i="17"/>
  <c r="F23" i="17"/>
  <c r="E34" i="17"/>
  <c r="G11" i="1"/>
  <c r="J27" i="1"/>
  <c r="K27" i="1"/>
  <c r="L27" i="1"/>
  <c r="M27" i="1"/>
  <c r="N27" i="1"/>
  <c r="F27" i="17"/>
  <c r="F26" i="17"/>
  <c r="B26" i="1"/>
  <c r="A25" i="1"/>
  <c r="T27" i="1"/>
  <c r="U27" i="1"/>
  <c r="V27" i="1"/>
  <c r="D27" i="1"/>
  <c r="D21" i="1"/>
  <c r="C21" i="1"/>
  <c r="H27" i="1"/>
  <c r="I27" i="1"/>
  <c r="G27" i="1"/>
  <c r="F27" i="1"/>
  <c r="E27" i="1"/>
  <c r="B27" i="1"/>
  <c r="C27" i="1"/>
  <c r="A12" i="1"/>
  <c r="A17" i="1"/>
  <c r="E15" i="18"/>
  <c r="G15" i="18"/>
  <c r="F15" i="18"/>
  <c r="E26" i="1"/>
  <c r="A13" i="1"/>
  <c r="D13" i="1"/>
  <c r="L5" i="1"/>
  <c r="C61" i="17"/>
  <c r="C37" i="17"/>
  <c r="D25" i="17"/>
  <c r="E13" i="17"/>
  <c r="I15" i="5"/>
  <c r="A15" i="5"/>
  <c r="W27" i="1"/>
  <c r="A27" i="1"/>
  <c r="E16" i="17"/>
  <c r="Q1" i="1"/>
  <c r="N1" i="18" s="1"/>
  <c r="D11" i="17"/>
  <c r="R1" i="1"/>
  <c r="O1" i="18" s="1"/>
  <c r="F11" i="17"/>
  <c r="F12" i="17"/>
  <c r="A5" i="18" l="1"/>
  <c r="A5" i="5"/>
  <c r="A9" i="18"/>
  <c r="A9" i="5"/>
  <c r="C6" i="18"/>
  <c r="C6" i="5"/>
  <c r="A6" i="18"/>
  <c r="A6" i="5"/>
  <c r="C1" i="1"/>
  <c r="C1" i="18" s="1"/>
  <c r="K2" i="5" l="1"/>
  <c r="H22" i="17" l="1"/>
  <c r="H20" i="17"/>
  <c r="H21" i="17"/>
  <c r="H17" i="17" l="1"/>
  <c r="H18" i="17"/>
  <c r="H25" i="17"/>
  <c r="H16" i="17"/>
  <c r="H29" i="17"/>
  <c r="H19" i="17"/>
  <c r="H15" i="17"/>
  <c r="H13" i="17"/>
  <c r="H14" i="17"/>
  <c r="A1" i="17" l="1"/>
  <c r="B7" i="17" l="1"/>
  <c r="B6" i="17"/>
  <c r="B5" i="17"/>
  <c r="B4" i="17"/>
  <c r="B3" i="17"/>
  <c r="C2" i="1" l="1"/>
  <c r="C2" i="18" s="1"/>
  <c r="L8" i="1"/>
  <c r="L6" i="1"/>
  <c r="L4" i="1"/>
  <c r="A11" i="1"/>
  <c r="A18" i="1"/>
  <c r="F25" i="17"/>
  <c r="F29" i="17"/>
  <c r="F17" i="17"/>
  <c r="F21" i="17"/>
  <c r="F20" i="17"/>
  <c r="F19" i="17"/>
  <c r="F22" i="17"/>
  <c r="F16" i="17"/>
  <c r="F13" i="17"/>
  <c r="F14" i="17"/>
  <c r="F18" i="17"/>
  <c r="F10" i="17"/>
  <c r="F15" i="17"/>
  <c r="D15" i="5"/>
  <c r="D20" i="17"/>
  <c r="D13" i="17"/>
  <c r="G9" i="1"/>
  <c r="G15" i="5"/>
  <c r="H15" i="5"/>
  <c r="F15" i="5"/>
  <c r="J15" i="5"/>
  <c r="B15" i="5"/>
  <c r="C11" i="17"/>
  <c r="A1" i="1"/>
  <c r="A1" i="18" s="1"/>
  <c r="A4" i="1"/>
  <c r="A11" i="17"/>
  <c r="A10" i="17"/>
  <c r="A2" i="17"/>
  <c r="H10" i="17"/>
  <c r="G10" i="17"/>
  <c r="A9" i="17"/>
  <c r="C10" i="17"/>
  <c r="E10" i="17"/>
  <c r="D10" i="17"/>
  <c r="B10" i="17"/>
  <c r="R5" i="1"/>
  <c r="Q5" i="1"/>
  <c r="P4" i="1"/>
  <c r="B5" i="1"/>
  <c r="B6" i="1"/>
  <c r="L11" i="1"/>
  <c r="A7" i="1"/>
  <c r="G6" i="1"/>
  <c r="A5" i="1"/>
  <c r="B8" i="1"/>
  <c r="B9" i="1"/>
  <c r="B7" i="1"/>
  <c r="A10" i="18" l="1"/>
  <c r="A10" i="5"/>
  <c r="B28" i="1"/>
  <c r="K1" i="5"/>
  <c r="J2" i="5" l="1"/>
  <c r="J1" i="5"/>
  <c r="A4" i="5" l="1"/>
  <c r="B2" i="5"/>
  <c r="B1" i="5"/>
  <c r="A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tc={14494377-D765-49F5-8F0D-85612F20F4C2}</author>
  </authors>
  <commentList>
    <comment ref="AD5" authorId="0" shapeId="0" xr:uid="{14494377-D765-49F5-8F0D-85612F20F4C2}">
      <text>
        <t xml:space="preserve">[Threaded comment]
Your version of Excel allows you to read this threaded comment; however, any edits to it will get removed if the file is opened in a newer version of Excel. Learn more: https://go.microsoft.com/fwlink/?linkid=870924
Comment:
    NEXT (2024+)
SC-ECO should decide how to proceed
- proceed with the split of ST09 into two forms:
- PS(ETRO) only - vessels/trip/set/catch/samples
- remainder (current ST09 structure)
Deadline: April/30 should go to the generic deadline of July/31
(SCRS generic deadline for stats &amp; bio data)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0E1D31-814D-4FFC-A6AF-25A9B0A9313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D8C6D1F-9708-4B93-9678-E4E4836475CF}" name="WorksheetConnection_ST09-NatObPrg_v2.xlsx!tblST09A" type="102" refreshedVersion="6" minRefreshableVersion="5">
    <extLst>
      <ext xmlns:x15="http://schemas.microsoft.com/office/spreadsheetml/2010/11/main" uri="{DE250136-89BD-433C-8126-D09CA5730AF9}">
        <x15:connection id="tblST09A">
          <x15:rangePr sourceName="_xlcn.WorksheetConnection_ST09NatObPrg_v2.xlsxtblST09A1"/>
        </x15:connection>
      </ext>
    </extLst>
  </connection>
</connections>
</file>

<file path=xl/sharedStrings.xml><?xml version="1.0" encoding="utf-8"?>
<sst xmlns="http://schemas.openxmlformats.org/spreadsheetml/2006/main" count="4717" uniqueCount="2778">
  <si>
    <t>BSL</t>
  </si>
  <si>
    <t>NS</t>
  </si>
  <si>
    <t>DIX</t>
  </si>
  <si>
    <t>DKN</t>
  </si>
  <si>
    <t>FUG</t>
  </si>
  <si>
    <t>MAH</t>
  </si>
  <si>
    <t>MAI</t>
  </si>
  <si>
    <t>PCI</t>
  </si>
  <si>
    <t>PCN</t>
  </si>
  <si>
    <t>PDM</t>
  </si>
  <si>
    <t>PFC</t>
  </si>
  <si>
    <t>PFG</t>
  </si>
  <si>
    <t>PHE</t>
  </si>
  <si>
    <t>PHU</t>
  </si>
  <si>
    <t>PRO</t>
  </si>
  <si>
    <t>PUG</t>
  </si>
  <si>
    <t>TQH</t>
  </si>
  <si>
    <t>TWD</t>
  </si>
  <si>
    <t>DKK</t>
  </si>
  <si>
    <t>LKV</t>
  </si>
  <si>
    <t>LKY</t>
  </si>
  <si>
    <t>TTH</t>
  </si>
  <si>
    <t>TTL</t>
  </si>
  <si>
    <t>TUG</t>
  </si>
  <si>
    <t>TTX</t>
  </si>
  <si>
    <t>Makaira indica</t>
  </si>
  <si>
    <t>Thunnini</t>
  </si>
  <si>
    <t>Lepidocybium flavobrunneum</t>
  </si>
  <si>
    <t>Aphanopus carbo</t>
  </si>
  <si>
    <t>Gempylus serpens</t>
  </si>
  <si>
    <t>Lepidopus caudatus</t>
  </si>
  <si>
    <t>Ruvettus pretiosus</t>
  </si>
  <si>
    <t>Gasterochisma melampus</t>
  </si>
  <si>
    <t>Euthynnus affinis</t>
  </si>
  <si>
    <t>Rhincodon typus</t>
  </si>
  <si>
    <t>Carcharhinus galapagensis</t>
  </si>
  <si>
    <t>Isistius brasiliensis</t>
  </si>
  <si>
    <t>Megachasma pelagios</t>
  </si>
  <si>
    <t>Mobulidae</t>
  </si>
  <si>
    <t>Squaliolus laticaudus</t>
  </si>
  <si>
    <t>Mobula hypostoma</t>
  </si>
  <si>
    <t>Mobula mobular</t>
  </si>
  <si>
    <t>Mobula thurstoni</t>
  </si>
  <si>
    <t>Mobula tarapacana</t>
  </si>
  <si>
    <t>Dasyatidae</t>
  </si>
  <si>
    <t>Mobula rochebrunei</t>
  </si>
  <si>
    <t>Caranx hippos</t>
  </si>
  <si>
    <t>Sphyraena barracuda</t>
  </si>
  <si>
    <t>Seriola lalandi</t>
  </si>
  <si>
    <t>Scomberesox saurus</t>
  </si>
  <si>
    <t>Brama brama</t>
  </si>
  <si>
    <t>Seriola dumerili</t>
  </si>
  <si>
    <t>Aluterus schoepfii</t>
  </si>
  <si>
    <t>Balistes punctatus</t>
  </si>
  <si>
    <t>Euleptorhamphus velox</t>
  </si>
  <si>
    <t>Lagocephalus lagocephalus</t>
  </si>
  <si>
    <t>Aluterus monoceros</t>
  </si>
  <si>
    <t>Sphyraenidae</t>
  </si>
  <si>
    <t>Rachycentron canadum</t>
  </si>
  <si>
    <t>Coryphaena equiselis</t>
  </si>
  <si>
    <t>Canthidermis maculata</t>
  </si>
  <si>
    <t>Diodon hystrix</t>
  </si>
  <si>
    <t>Exocoetidae</t>
  </si>
  <si>
    <t>Belone belone</t>
  </si>
  <si>
    <t>Trachurus mediterraneus</t>
  </si>
  <si>
    <t>Lichia amia</t>
  </si>
  <si>
    <t>Mola mola</t>
  </si>
  <si>
    <t>Masturus lanceolatus</t>
  </si>
  <si>
    <t>Naucrates ductor</t>
  </si>
  <si>
    <t>Elagatis bipinnulata</t>
  </si>
  <si>
    <t>Caranx crysos</t>
  </si>
  <si>
    <t>Ranzania laevis</t>
  </si>
  <si>
    <t>Taractichthys longipinnis</t>
  </si>
  <si>
    <t>Taractes asper</t>
  </si>
  <si>
    <t>Taractes rubescens</t>
  </si>
  <si>
    <t>Balistes carolinensis</t>
  </si>
  <si>
    <t>Balistidae</t>
  </si>
  <si>
    <t>Taractichthys steindachneri</t>
  </si>
  <si>
    <t>Uraspis secunda</t>
  </si>
  <si>
    <t>Campogramma glaycos</t>
  </si>
  <si>
    <t>Seriola rivoliana</t>
  </si>
  <si>
    <t>Arctocephalus spp</t>
  </si>
  <si>
    <t>Otaria flavescens</t>
  </si>
  <si>
    <t>Ziphius cavirostris</t>
  </si>
  <si>
    <t>Balaenoptera edeni</t>
  </si>
  <si>
    <t>Tursiops truncatus</t>
  </si>
  <si>
    <t>Stenella clymene</t>
  </si>
  <si>
    <t>Delphinus delphis</t>
  </si>
  <si>
    <t>Delphinidae</t>
  </si>
  <si>
    <t>Stenella attenuata</t>
  </si>
  <si>
    <t>Grampus griseus</t>
  </si>
  <si>
    <t>Stenella frontalis</t>
  </si>
  <si>
    <t>Stenella longirostris</t>
  </si>
  <si>
    <t>Stenella coeruleoalba</t>
  </si>
  <si>
    <t>Lagenorhynchus acutus</t>
  </si>
  <si>
    <t>Eubalaena australis</t>
  </si>
  <si>
    <t>Eubalaena glacialis</t>
  </si>
  <si>
    <t>Pseudorca crassidens</t>
  </si>
  <si>
    <t>Balaenoptera physalus</t>
  </si>
  <si>
    <t>Megaptera novaeangliae</t>
  </si>
  <si>
    <t>Orcinus orca</t>
  </si>
  <si>
    <t>Mesoplodon spp</t>
  </si>
  <si>
    <t>Balaenoptera acutorostrata</t>
  </si>
  <si>
    <t>Phocoena phocoena</t>
  </si>
  <si>
    <t>Globicephala melas</t>
  </si>
  <si>
    <t>Kogia breviceps</t>
  </si>
  <si>
    <t>Steno bredanensis</t>
  </si>
  <si>
    <t>Globicephala macrorhynchus</t>
  </si>
  <si>
    <t>Balaenoptera borealis</t>
  </si>
  <si>
    <t>Physeter macrocephalus</t>
  </si>
  <si>
    <t>Calonectris edwardsii</t>
  </si>
  <si>
    <t>Fratercula arctica</t>
  </si>
  <si>
    <t>Fulmarus glacialis</t>
  </si>
  <si>
    <t>Larus argentatus</t>
  </si>
  <si>
    <t>Larus atricilla</t>
  </si>
  <si>
    <t>Larus audouinii</t>
  </si>
  <si>
    <t>Larus cachinnans</t>
  </si>
  <si>
    <t>Larus marinus</t>
  </si>
  <si>
    <t>Morus bassanus</t>
  </si>
  <si>
    <t>Morus capensis</t>
  </si>
  <si>
    <t>Phoebastria albatrus</t>
  </si>
  <si>
    <t>Pterodroma arminjoniana</t>
  </si>
  <si>
    <t>Pterodroma cahow</t>
  </si>
  <si>
    <t>Pterodroma hasitata</t>
  </si>
  <si>
    <t>Puffinus lherminieri</t>
  </si>
  <si>
    <t>Puffinus mauretanicus</t>
  </si>
  <si>
    <t>Puffinus puffinus</t>
  </si>
  <si>
    <t>Puffinus yelkouan</t>
  </si>
  <si>
    <t>Diomedeidae</t>
  </si>
  <si>
    <t>Calonectris diomedea</t>
  </si>
  <si>
    <t>Stercorarius skua</t>
  </si>
  <si>
    <t>Daption capense</t>
  </si>
  <si>
    <t>Diomedea dabbenena</t>
  </si>
  <si>
    <t>Thalassarche chlororhynchos</t>
  </si>
  <si>
    <t>Thalassarche cauta</t>
  </si>
  <si>
    <t>Thalassarche chrysostoma</t>
  </si>
  <si>
    <t>Thalassarche melanophrys</t>
  </si>
  <si>
    <t>Diomedea epomophora</t>
  </si>
  <si>
    <t>Diomedea sanfordi</t>
  </si>
  <si>
    <t>Diomedea exulans</t>
  </si>
  <si>
    <t>Phoebastria nigripes</t>
  </si>
  <si>
    <t>Fulmarus glacialoides</t>
  </si>
  <si>
    <t>Macronectes halli</t>
  </si>
  <si>
    <t>Macronectes giganteus</t>
  </si>
  <si>
    <t>Procellaria cinerea</t>
  </si>
  <si>
    <t>Procellaria conspicillata</t>
  </si>
  <si>
    <t>Pterodroma macroptera</t>
  </si>
  <si>
    <t>Puffinus carneipes</t>
  </si>
  <si>
    <t>Puffinus griseus</t>
  </si>
  <si>
    <t>Phoebetria palpebrata</t>
  </si>
  <si>
    <t>Phoebetria fusca</t>
  </si>
  <si>
    <t>Procellaria aequinoctialis</t>
  </si>
  <si>
    <t>Puffinus gravis</t>
  </si>
  <si>
    <t>Thalassarche carteri</t>
  </si>
  <si>
    <t>Thalassarche steadi</t>
  </si>
  <si>
    <t>Dermochelys coriacea</t>
  </si>
  <si>
    <t>Lepidochelys olivacea</t>
  </si>
  <si>
    <t>Lepidochelys kempii</t>
  </si>
  <si>
    <t>Eretmochelys imbricata</t>
  </si>
  <si>
    <t>Caretta caretta</t>
  </si>
  <si>
    <t>Chelonia mydas</t>
  </si>
  <si>
    <t>Cheloniidae</t>
  </si>
  <si>
    <t>Black marlin</t>
  </si>
  <si>
    <t>Makaire noir</t>
  </si>
  <si>
    <t>Aguja negra</t>
  </si>
  <si>
    <t>Tunas nei</t>
  </si>
  <si>
    <t>Thonidés nca</t>
  </si>
  <si>
    <t>Atunes nep</t>
  </si>
  <si>
    <t>Escolar</t>
  </si>
  <si>
    <t>Escolier noir</t>
  </si>
  <si>
    <t>Escolar negro</t>
  </si>
  <si>
    <t>black scabbardfish</t>
  </si>
  <si>
    <t>Sabre noir</t>
  </si>
  <si>
    <t>Sable negro</t>
  </si>
  <si>
    <t>Snake mackerel</t>
  </si>
  <si>
    <t>Escolier serpent</t>
  </si>
  <si>
    <t>Escolar de canal</t>
  </si>
  <si>
    <t>Silver scabbardfish</t>
  </si>
  <si>
    <t>Sabre argenté</t>
  </si>
  <si>
    <t>Pez cinto</t>
  </si>
  <si>
    <t>Oilfish</t>
  </si>
  <si>
    <t>Rouvet</t>
  </si>
  <si>
    <t>Escolar clavo</t>
  </si>
  <si>
    <t>Butterfly kingfish</t>
  </si>
  <si>
    <t>Thon papillon</t>
  </si>
  <si>
    <t>Atún chauchera</t>
  </si>
  <si>
    <t>Kawakawa</t>
  </si>
  <si>
    <t>Thonine orientale</t>
  </si>
  <si>
    <t>Bacoreta oriental</t>
  </si>
  <si>
    <t>Whale shark</t>
  </si>
  <si>
    <t>Requin baleine</t>
  </si>
  <si>
    <t>Tiburón ballena</t>
  </si>
  <si>
    <t>Galapagos shark</t>
  </si>
  <si>
    <t>Requin des Galapagos</t>
  </si>
  <si>
    <t>Tiburón de Galápagos</t>
  </si>
  <si>
    <t>Cookie cutter shark</t>
  </si>
  <si>
    <t>Squalelet féroce</t>
  </si>
  <si>
    <t>Tollo cigarro</t>
  </si>
  <si>
    <t>Megamouth shark</t>
  </si>
  <si>
    <t>Requin grande guele</t>
  </si>
  <si>
    <t>Tiburón bocudo</t>
  </si>
  <si>
    <t>Mantas, devil rays nei</t>
  </si>
  <si>
    <t>Mantes, diables de mer nca</t>
  </si>
  <si>
    <t>Mantas, diablos nep</t>
  </si>
  <si>
    <t>Spined pygmy shark</t>
  </si>
  <si>
    <t>Squale nain</t>
  </si>
  <si>
    <t>Tollo pigmeo espinudo</t>
  </si>
  <si>
    <t>Lesser devil ray</t>
  </si>
  <si>
    <t>Mante diable</t>
  </si>
  <si>
    <t>Manta del Golfo</t>
  </si>
  <si>
    <t>Spinetail mobula</t>
  </si>
  <si>
    <t>Devil fish</t>
  </si>
  <si>
    <t>Diable de mer méditerranéen</t>
  </si>
  <si>
    <t>Manta mobula</t>
  </si>
  <si>
    <t>Smoothtail mobula</t>
  </si>
  <si>
    <t>Mante vampire</t>
  </si>
  <si>
    <t>Diablo chupasangre</t>
  </si>
  <si>
    <t>Chilean devil ray</t>
  </si>
  <si>
    <t>Stingrays, butterfly rays nei</t>
  </si>
  <si>
    <t>Pastenagues, etc. nca</t>
  </si>
  <si>
    <t>Pastinacas, etc. nep</t>
  </si>
  <si>
    <t>Lesser Guinean devil ray</t>
  </si>
  <si>
    <t>Petit diable de Guinée</t>
  </si>
  <si>
    <t>Diablito de Guinea</t>
  </si>
  <si>
    <t>Crevalle jack</t>
  </si>
  <si>
    <t>Carangue crevalle</t>
  </si>
  <si>
    <t>Jurel común</t>
  </si>
  <si>
    <t>Great barracuda</t>
  </si>
  <si>
    <t>Barracuda</t>
  </si>
  <si>
    <t>Picuda barracuda</t>
  </si>
  <si>
    <t>Yellowtail amberjack</t>
  </si>
  <si>
    <t>Sériole chicard</t>
  </si>
  <si>
    <t>Medregal rabo amarillo</t>
  </si>
  <si>
    <t>Atlantic saury</t>
  </si>
  <si>
    <t>Balaou atlantique</t>
  </si>
  <si>
    <t>Paparda del Atlántico</t>
  </si>
  <si>
    <t>Atlantic pomfret</t>
  </si>
  <si>
    <t>Grande castagnole</t>
  </si>
  <si>
    <t>Japuta</t>
  </si>
  <si>
    <t>Greater amberjack</t>
  </si>
  <si>
    <t>Sériole couronnée</t>
  </si>
  <si>
    <t>Pez de limón</t>
  </si>
  <si>
    <t>Orange filefish</t>
  </si>
  <si>
    <t>Bourse orange</t>
  </si>
  <si>
    <t>Lija naranja</t>
  </si>
  <si>
    <t>Bluespotted triggerfish</t>
  </si>
  <si>
    <t>Baliste à taches bleues</t>
  </si>
  <si>
    <t>Pejepuerco moteado</t>
  </si>
  <si>
    <t>Flying halfbeak</t>
  </si>
  <si>
    <t>Demi-bec volant</t>
  </si>
  <si>
    <t>Agujeta voladora</t>
  </si>
  <si>
    <t>Oceanic puffer</t>
  </si>
  <si>
    <t>Compère océanique</t>
  </si>
  <si>
    <t>Tamboril liebre</t>
  </si>
  <si>
    <t>Unicorn leatherjacket filefish</t>
  </si>
  <si>
    <t>Bourse loulou</t>
  </si>
  <si>
    <t>Lija barbuda</t>
  </si>
  <si>
    <t>Barracudas, etc. nei</t>
  </si>
  <si>
    <t>Bécunes, barracudas, nca</t>
  </si>
  <si>
    <t>Barracudas, picudas, nep</t>
  </si>
  <si>
    <t>Cobia</t>
  </si>
  <si>
    <t>Mafou</t>
  </si>
  <si>
    <t>Pompano dolphinfish</t>
  </si>
  <si>
    <t>Coryphène dauphin</t>
  </si>
  <si>
    <t>Dorado</t>
  </si>
  <si>
    <t>Rough triggerfish</t>
  </si>
  <si>
    <t>Baliste rude</t>
  </si>
  <si>
    <t>Calafate áspero</t>
  </si>
  <si>
    <t>Spot-fin porcupinefish</t>
  </si>
  <si>
    <t>Porc-épic boubou</t>
  </si>
  <si>
    <t>Pejerizo común</t>
  </si>
  <si>
    <t>Flyingfishes nei</t>
  </si>
  <si>
    <t>Exocets nca</t>
  </si>
  <si>
    <t>Voladores nep</t>
  </si>
  <si>
    <t>Garfish</t>
  </si>
  <si>
    <t>Orphie</t>
  </si>
  <si>
    <t>Aguja</t>
  </si>
  <si>
    <t>Mediterranean horse mackerel</t>
  </si>
  <si>
    <t>Chinchard à queue jaune</t>
  </si>
  <si>
    <t>Jurel mediterráneo</t>
  </si>
  <si>
    <t>Leerfish</t>
  </si>
  <si>
    <t>Liche</t>
  </si>
  <si>
    <t>Palometón</t>
  </si>
  <si>
    <t>Ocean sunfish</t>
  </si>
  <si>
    <t>Poisson lune</t>
  </si>
  <si>
    <t>Pez luna</t>
  </si>
  <si>
    <t>Sharptail mola</t>
  </si>
  <si>
    <t>Poisson-lune lancéolé</t>
  </si>
  <si>
    <t>Pilotfish</t>
  </si>
  <si>
    <t>Poisson pilote</t>
  </si>
  <si>
    <t>Pez piloto</t>
  </si>
  <si>
    <t>Rainbow runner</t>
  </si>
  <si>
    <t>Comète saumon</t>
  </si>
  <si>
    <t>Macarela salmón</t>
  </si>
  <si>
    <t>Blue runner</t>
  </si>
  <si>
    <t>Carangue coubali</t>
  </si>
  <si>
    <t>Cojinúa negra</t>
  </si>
  <si>
    <t>Slender sunfish</t>
  </si>
  <si>
    <t>Ranzania</t>
  </si>
  <si>
    <t>Big-scale pomfret</t>
  </si>
  <si>
    <t>Castagnole fauchoir</t>
  </si>
  <si>
    <t>Tristón aletudo</t>
  </si>
  <si>
    <t>Rough pomfret</t>
  </si>
  <si>
    <t>Dagger pomfret</t>
  </si>
  <si>
    <t>Grey triggerfish</t>
  </si>
  <si>
    <t>Baliste cabri</t>
  </si>
  <si>
    <t>Pejepuerco blanco</t>
  </si>
  <si>
    <t>Triggerfishes, durgons nei</t>
  </si>
  <si>
    <t>Balistes nca</t>
  </si>
  <si>
    <t>Peces-ballesta nep</t>
  </si>
  <si>
    <t>Sickle pomfret</t>
  </si>
  <si>
    <t>Tristón segador</t>
  </si>
  <si>
    <t>Cottonmouth jack</t>
  </si>
  <si>
    <t>Carangue coton</t>
  </si>
  <si>
    <t>Jurel volantín</t>
  </si>
  <si>
    <t>Vadigo</t>
  </si>
  <si>
    <t>Liche lirio</t>
  </si>
  <si>
    <t>Lirio</t>
  </si>
  <si>
    <t>Longfin yellowtail</t>
  </si>
  <si>
    <t>Sériole limon</t>
  </si>
  <si>
    <t>Medregal limón</t>
  </si>
  <si>
    <t>Fur seals nei</t>
  </si>
  <si>
    <t>Otaries nca</t>
  </si>
  <si>
    <t>Lobos finos nep</t>
  </si>
  <si>
    <t>South American sea lion</t>
  </si>
  <si>
    <t>Lion de mer d'Amérique du Sud</t>
  </si>
  <si>
    <t>Lobo común</t>
  </si>
  <si>
    <t>Cuvier's beaked whale</t>
  </si>
  <si>
    <t>Ziphius</t>
  </si>
  <si>
    <t>Zifio de Cuvier</t>
  </si>
  <si>
    <t>Bryde's whale</t>
  </si>
  <si>
    <t>Rorqual de Bryde</t>
  </si>
  <si>
    <t>Rorcual tropical</t>
  </si>
  <si>
    <t>Bottlenose dolphin</t>
  </si>
  <si>
    <t>Grand Dauphin</t>
  </si>
  <si>
    <t>Tursion</t>
  </si>
  <si>
    <t>Clymene dolphin</t>
  </si>
  <si>
    <t>Dauphin de Clyméné</t>
  </si>
  <si>
    <t>Delfín Clymene</t>
  </si>
  <si>
    <t>Common dolphin</t>
  </si>
  <si>
    <t>Dauphin commun</t>
  </si>
  <si>
    <t>Delfín común</t>
  </si>
  <si>
    <t>Dolphins nei</t>
  </si>
  <si>
    <t>Dauphins nca</t>
  </si>
  <si>
    <t>Delfínidos nep</t>
  </si>
  <si>
    <t>Pantropical spotted dolphin</t>
  </si>
  <si>
    <t>Dauphin tacheté pantropical</t>
  </si>
  <si>
    <t>Estenela moteada</t>
  </si>
  <si>
    <t>Risso's dolphin</t>
  </si>
  <si>
    <t>Grampus</t>
  </si>
  <si>
    <t>Delfín de Risso</t>
  </si>
  <si>
    <t>Atlantic spotted dolphin</t>
  </si>
  <si>
    <t>Dauphin tacheté de l'Atlantiq.</t>
  </si>
  <si>
    <t>Delfín pintado</t>
  </si>
  <si>
    <t>Spinner dolphin</t>
  </si>
  <si>
    <t>Dauphin longirostre</t>
  </si>
  <si>
    <t>Estenela giradora</t>
  </si>
  <si>
    <t>Striped dolphin</t>
  </si>
  <si>
    <t>Dauphin bleu et blanc</t>
  </si>
  <si>
    <t>Estenela listada</t>
  </si>
  <si>
    <t>Atlantic white-sided dolphin</t>
  </si>
  <si>
    <t>Dauphin à flancs blancs Atlan.</t>
  </si>
  <si>
    <t>Delfín de flancos blancos</t>
  </si>
  <si>
    <t>Southern right whale</t>
  </si>
  <si>
    <t>Baleine australe</t>
  </si>
  <si>
    <t>Ballena franca austral</t>
  </si>
  <si>
    <t>Northern right whale</t>
  </si>
  <si>
    <t>Baleine de Biscaye</t>
  </si>
  <si>
    <t>Ballena franca</t>
  </si>
  <si>
    <t>False killer whale</t>
  </si>
  <si>
    <t>Faux-orque</t>
  </si>
  <si>
    <t>Orca Falsa</t>
  </si>
  <si>
    <t>Fin whale</t>
  </si>
  <si>
    <t>Rorqual commun</t>
  </si>
  <si>
    <t>Rorcual común</t>
  </si>
  <si>
    <t>Humpback whale</t>
  </si>
  <si>
    <t>Baleine à bosse</t>
  </si>
  <si>
    <t>Rorcual jorobado</t>
  </si>
  <si>
    <t>Killer whale</t>
  </si>
  <si>
    <t>Orque</t>
  </si>
  <si>
    <t>Orca</t>
  </si>
  <si>
    <t>Beaked whales nei</t>
  </si>
  <si>
    <t>Minke whale</t>
  </si>
  <si>
    <t>Petit rorqual</t>
  </si>
  <si>
    <t>Rorcual enano</t>
  </si>
  <si>
    <t>Harbour porpoise</t>
  </si>
  <si>
    <t>Marsouin Commun</t>
  </si>
  <si>
    <t>Marsopa Común</t>
  </si>
  <si>
    <t>Long-finned pilot whale</t>
  </si>
  <si>
    <t>Globicéphale commun</t>
  </si>
  <si>
    <t>Calderón común</t>
  </si>
  <si>
    <t>Pygmy sperm whale</t>
  </si>
  <si>
    <t>Cachalot Pygmée</t>
  </si>
  <si>
    <t>Cachalote pigmeo</t>
  </si>
  <si>
    <t>Rough-toothed dolphin</t>
  </si>
  <si>
    <t>Sténo</t>
  </si>
  <si>
    <t>Esteno</t>
  </si>
  <si>
    <t>Short-finned pilot whale</t>
  </si>
  <si>
    <t>Globicéphale tropical</t>
  </si>
  <si>
    <t>Calderón de aletas cortas</t>
  </si>
  <si>
    <t>Sei whale</t>
  </si>
  <si>
    <t>Rorqual de Rudolphi</t>
  </si>
  <si>
    <t>Rorcual del Norte</t>
  </si>
  <si>
    <t>Sperm whale</t>
  </si>
  <si>
    <t>Cachalot</t>
  </si>
  <si>
    <t>Cachalote</t>
  </si>
  <si>
    <t>Cape Verde Shearwater</t>
  </si>
  <si>
    <t>Puffin du Cap-Vert</t>
  </si>
  <si>
    <t>Pardela cenicienta de Edwards</t>
  </si>
  <si>
    <t>Atlantic puffin</t>
  </si>
  <si>
    <t>Macareux moine</t>
  </si>
  <si>
    <t>Frailecillo atlántico</t>
  </si>
  <si>
    <t>Northern fulmar</t>
  </si>
  <si>
    <t>Fulmar boréal</t>
  </si>
  <si>
    <t>Fulmar norteño</t>
  </si>
  <si>
    <t>Herring gull</t>
  </si>
  <si>
    <t>Goéland argenté</t>
  </si>
  <si>
    <t>Gaviota argéntea</t>
  </si>
  <si>
    <t>Laughing gull</t>
  </si>
  <si>
    <t>Mouette atricille</t>
  </si>
  <si>
    <t>Gaviota reidora americana</t>
  </si>
  <si>
    <t>Audouin's gull</t>
  </si>
  <si>
    <t>Goéland d'Audouin</t>
  </si>
  <si>
    <t>Gaviota de Audouin</t>
  </si>
  <si>
    <t>Yellow-legged gull</t>
  </si>
  <si>
    <t>Goéland leucophée</t>
  </si>
  <si>
    <t>Gaviota patiamarilla</t>
  </si>
  <si>
    <t>Great black-backed gull</t>
  </si>
  <si>
    <t>Goéland marin</t>
  </si>
  <si>
    <t>Gavión atlántico</t>
  </si>
  <si>
    <t>Northern gannet</t>
  </si>
  <si>
    <t>Fou De Bassan</t>
  </si>
  <si>
    <t>Alcatraz Atlántico</t>
  </si>
  <si>
    <t>Cape gannet</t>
  </si>
  <si>
    <t>Fou Du Cap</t>
  </si>
  <si>
    <t>Alcatraz del Cabo</t>
  </si>
  <si>
    <t>Short-tailed albatross</t>
  </si>
  <si>
    <t>Albatros à queue courte</t>
  </si>
  <si>
    <t>Albatros rabón</t>
  </si>
  <si>
    <t>Trindade petrel</t>
  </si>
  <si>
    <t>Pétrel de la Trinité du Sud</t>
  </si>
  <si>
    <t>Petrel de la Trinidade</t>
  </si>
  <si>
    <t>Bermuda petrel</t>
  </si>
  <si>
    <t>Pétrel des Bermudes</t>
  </si>
  <si>
    <t>Petrel Cahow</t>
  </si>
  <si>
    <t>Black-capped petrel</t>
  </si>
  <si>
    <t>Pétrel diablotin</t>
  </si>
  <si>
    <t>Petrel antillano</t>
  </si>
  <si>
    <t>Audubon's shearwater</t>
  </si>
  <si>
    <t>Puffin d'Audubon</t>
  </si>
  <si>
    <t>Pardela de Audubon</t>
  </si>
  <si>
    <t>Balearic shearwater</t>
  </si>
  <si>
    <t>Puffin des Baléares</t>
  </si>
  <si>
    <t>Pardela pichoneta balear</t>
  </si>
  <si>
    <t>Manx shearwater</t>
  </si>
  <si>
    <t>Puffin des anglais</t>
  </si>
  <si>
    <t>Pardela pichoneta</t>
  </si>
  <si>
    <t>Yelkouan shearwater</t>
  </si>
  <si>
    <t>Puffin de Méditerranée</t>
  </si>
  <si>
    <t>Pardela mediterránea</t>
  </si>
  <si>
    <t>Albatrosses nei</t>
  </si>
  <si>
    <t>Albatros nca</t>
  </si>
  <si>
    <t>Albatros nep</t>
  </si>
  <si>
    <t>Cory's shearwater</t>
  </si>
  <si>
    <t>Puffin cendré</t>
  </si>
  <si>
    <t>Pardela cenicienta</t>
  </si>
  <si>
    <t>Great skua</t>
  </si>
  <si>
    <t>Grand Labbe</t>
  </si>
  <si>
    <t>Págalo Grande</t>
  </si>
  <si>
    <t>Cape petrel</t>
  </si>
  <si>
    <t>Damier Du Cap</t>
  </si>
  <si>
    <t>Petrel darnero</t>
  </si>
  <si>
    <t>Tristan albatross</t>
  </si>
  <si>
    <t>Albatros de Tristan</t>
  </si>
  <si>
    <t>Albatros de Tristán</t>
  </si>
  <si>
    <t>Atlant. yellow-nosed albatross</t>
  </si>
  <si>
    <t>Albatros à nez jaune</t>
  </si>
  <si>
    <t>Albatros pico amarillo y negro</t>
  </si>
  <si>
    <t>Shy albatross</t>
  </si>
  <si>
    <t>Albatros timide</t>
  </si>
  <si>
    <t>Albatros Frentiblanco</t>
  </si>
  <si>
    <t>Grey-headed albatross</t>
  </si>
  <si>
    <t>Albatros À Tête Grise</t>
  </si>
  <si>
    <t>Albatros de cabeza gris</t>
  </si>
  <si>
    <t>Black-browed albatross</t>
  </si>
  <si>
    <t>Albatros à sourcils noirs</t>
  </si>
  <si>
    <t>Albatros ceja negra</t>
  </si>
  <si>
    <t>Southern royal albatross</t>
  </si>
  <si>
    <t>Albatros royal</t>
  </si>
  <si>
    <t>Albatros real</t>
  </si>
  <si>
    <t>Northern royal albatross</t>
  </si>
  <si>
    <t>Albatros royal du Nord</t>
  </si>
  <si>
    <t>Albatros real del norte</t>
  </si>
  <si>
    <t>Wandering albatross</t>
  </si>
  <si>
    <t>Albatros hurleur</t>
  </si>
  <si>
    <t>Albatros errante</t>
  </si>
  <si>
    <t>Black-footed albatross</t>
  </si>
  <si>
    <t>Albatros à pieds noirs</t>
  </si>
  <si>
    <t>Albatros de patas negras</t>
  </si>
  <si>
    <t>Southern fulmar</t>
  </si>
  <si>
    <t>Fulmar Argenté</t>
  </si>
  <si>
    <t>Fulmar austral</t>
  </si>
  <si>
    <t>Hall's giant petrel</t>
  </si>
  <si>
    <t>Pétrel De Hall</t>
  </si>
  <si>
    <t>Petrel gigante de Hall</t>
  </si>
  <si>
    <t>Antarctic giant petrel</t>
  </si>
  <si>
    <t>Pétrel géant</t>
  </si>
  <si>
    <t>Petrel gigante común</t>
  </si>
  <si>
    <t>Grey petrel</t>
  </si>
  <si>
    <t>Puffin Gris</t>
  </si>
  <si>
    <t>Pardela Gris</t>
  </si>
  <si>
    <t>Spectacled petrel</t>
  </si>
  <si>
    <t>Pétrel à lunettes</t>
  </si>
  <si>
    <t>Petrel mentón blanco</t>
  </si>
  <si>
    <t>Great-winged petrel</t>
  </si>
  <si>
    <t>Pétrel Noir</t>
  </si>
  <si>
    <t>Petrel aligrande</t>
  </si>
  <si>
    <t>Flesh-footed shearwater</t>
  </si>
  <si>
    <t>Puffin à pieds pâles</t>
  </si>
  <si>
    <t>Pardela paticlara</t>
  </si>
  <si>
    <t>Sooty shearwater</t>
  </si>
  <si>
    <t>Puffin fuligineux</t>
  </si>
  <si>
    <t>Pardela sombría</t>
  </si>
  <si>
    <t>Light-mantled sooty albatross</t>
  </si>
  <si>
    <t>Albatros fuligineux</t>
  </si>
  <si>
    <t>Albatros oscuro de manto claro</t>
  </si>
  <si>
    <t>Sooty albatross</t>
  </si>
  <si>
    <t>Albatros Brun</t>
  </si>
  <si>
    <t>Albatros Ahumado</t>
  </si>
  <si>
    <t>White-chinned petrel</t>
  </si>
  <si>
    <t>Puffin à menton blanc</t>
  </si>
  <si>
    <t>Pardela Gorgiblanca</t>
  </si>
  <si>
    <t>Great shearwater</t>
  </si>
  <si>
    <t>Puffin majeur</t>
  </si>
  <si>
    <t>Pardela capirotada</t>
  </si>
  <si>
    <t>Indian yellow-nosed albatross</t>
  </si>
  <si>
    <t>Albatros de l'océan indien</t>
  </si>
  <si>
    <t>Albatros índico pico amarillo</t>
  </si>
  <si>
    <t>White-capped albatross</t>
  </si>
  <si>
    <t>Albatros à cape blanche</t>
  </si>
  <si>
    <t>Albatros de Auckland</t>
  </si>
  <si>
    <t>Leatherback turtle</t>
  </si>
  <si>
    <t>Tortue Luth</t>
  </si>
  <si>
    <t>Tortuga Laud</t>
  </si>
  <si>
    <t>Olive Ridley turtle</t>
  </si>
  <si>
    <t>Tortue olivatre</t>
  </si>
  <si>
    <t>Tortuga golfina</t>
  </si>
  <si>
    <t>Kemp's ridley turtle</t>
  </si>
  <si>
    <t>Tortue de Kemp</t>
  </si>
  <si>
    <t>Tortuga lora</t>
  </si>
  <si>
    <t>Hawksbill turtle</t>
  </si>
  <si>
    <t>Tortue caret</t>
  </si>
  <si>
    <t>Tortuga carey</t>
  </si>
  <si>
    <t>Loggerhead turtle</t>
  </si>
  <si>
    <t>Caouane</t>
  </si>
  <si>
    <t>Caguama</t>
  </si>
  <si>
    <t>Green turtle</t>
  </si>
  <si>
    <t>Tortue verte</t>
  </si>
  <si>
    <t>Tortuga verde</t>
  </si>
  <si>
    <t>Marine turtles nei</t>
  </si>
  <si>
    <t>Tortues de mer nca</t>
  </si>
  <si>
    <t>Tortugas de mar nep</t>
  </si>
  <si>
    <t>3-Tribe</t>
  </si>
  <si>
    <t>TO</t>
  </si>
  <si>
    <t>AU</t>
  </si>
  <si>
    <t>Jan</t>
  </si>
  <si>
    <t>Feb</t>
  </si>
  <si>
    <t>Mar</t>
  </si>
  <si>
    <t>Apr</t>
  </si>
  <si>
    <t>May</t>
  </si>
  <si>
    <t>Jun</t>
  </si>
  <si>
    <t>Jul</t>
  </si>
  <si>
    <t>Aug</t>
  </si>
  <si>
    <t>Sep</t>
  </si>
  <si>
    <t>Oct</t>
  </si>
  <si>
    <t>Nov</t>
  </si>
  <si>
    <t>Dec</t>
  </si>
  <si>
    <t>GearName</t>
  </si>
  <si>
    <t>LL-B</t>
  </si>
  <si>
    <t>LLJAP</t>
  </si>
  <si>
    <t>LL-Shrk</t>
  </si>
  <si>
    <t>LL-surf</t>
  </si>
  <si>
    <t>LLALB</t>
  </si>
  <si>
    <t>LLBFT</t>
  </si>
  <si>
    <t>LLSWO</t>
  </si>
  <si>
    <t>Circle hook</t>
  </si>
  <si>
    <t>J hook</t>
  </si>
  <si>
    <t>J</t>
  </si>
  <si>
    <t>O</t>
  </si>
  <si>
    <t>Language</t>
  </si>
  <si>
    <t>INTERNATIONAL COMMISSION FOR THE CONSERVATION OF ATLANTIC TUNAS</t>
  </si>
  <si>
    <t>Statistical Correspondent</t>
  </si>
  <si>
    <t>Identification</t>
  </si>
  <si>
    <t>Name</t>
  </si>
  <si>
    <t>Date reported</t>
  </si>
  <si>
    <t>Phone</t>
  </si>
  <si>
    <t>Reference Nº</t>
  </si>
  <si>
    <t>Affiliation</t>
  </si>
  <si>
    <t>Institution</t>
  </si>
  <si>
    <t>File name (proposed)</t>
  </si>
  <si>
    <t/>
  </si>
  <si>
    <t>Department</t>
  </si>
  <si>
    <t>Address</t>
  </si>
  <si>
    <t>Notes</t>
  </si>
  <si>
    <t>Country</t>
  </si>
  <si>
    <t>Data set characteristics</t>
  </si>
  <si>
    <t>Version reported</t>
  </si>
  <si>
    <t>a)</t>
  </si>
  <si>
    <t>b)</t>
  </si>
  <si>
    <t>c)</t>
  </si>
  <si>
    <t>d)</t>
  </si>
  <si>
    <t>e)</t>
  </si>
  <si>
    <t>Other (specified in notes)</t>
  </si>
  <si>
    <t>NoVessels</t>
  </si>
  <si>
    <t>TPeriodID</t>
  </si>
  <si>
    <t>NoSampled</t>
  </si>
  <si>
    <t>CatchNo</t>
  </si>
  <si>
    <t>NoDL</t>
  </si>
  <si>
    <t>NoDD</t>
  </si>
  <si>
    <t>Number</t>
  </si>
  <si>
    <t>Weight (kg)</t>
  </si>
  <si>
    <t>Alive (DL)</t>
  </si>
  <si>
    <t>Dead (DD)</t>
  </si>
  <si>
    <t>Catch composition by fishing operation</t>
  </si>
  <si>
    <t>Header</t>
  </si>
  <si>
    <t>Detail</t>
  </si>
  <si>
    <t>Form</t>
  </si>
  <si>
    <t>Part</t>
  </si>
  <si>
    <t>Section</t>
  </si>
  <si>
    <t>Sub-section</t>
  </si>
  <si>
    <t>Description</t>
  </si>
  <si>
    <t>Specific (by field)</t>
  </si>
  <si>
    <t>ProductType</t>
  </si>
  <si>
    <t>LW</t>
  </si>
  <si>
    <t>Live (round) weight</t>
  </si>
  <si>
    <t>GG</t>
  </si>
  <si>
    <t>Gilled &amp; gutted</t>
  </si>
  <si>
    <t>FL</t>
  </si>
  <si>
    <t>Fillet</t>
  </si>
  <si>
    <t>DR</t>
  </si>
  <si>
    <t>Dressed weight</t>
  </si>
  <si>
    <t>Belly meat</t>
  </si>
  <si>
    <t>Other (specify it in notes)</t>
  </si>
  <si>
    <t>General</t>
  </si>
  <si>
    <t>LL</t>
  </si>
  <si>
    <t>PS</t>
  </si>
  <si>
    <t>FlagName</t>
  </si>
  <si>
    <t>FlagA3ISO</t>
  </si>
  <si>
    <t>FlagA2ISO</t>
  </si>
  <si>
    <t>Albania</t>
  </si>
  <si>
    <t>ALB</t>
  </si>
  <si>
    <t>CP</t>
  </si>
  <si>
    <t>AL</t>
  </si>
  <si>
    <t>Algerie</t>
  </si>
  <si>
    <t>DZA</t>
  </si>
  <si>
    <t>DZ</t>
  </si>
  <si>
    <t>Angola</t>
  </si>
  <si>
    <t>AGO</t>
  </si>
  <si>
    <t>AO</t>
  </si>
  <si>
    <t>Barbados</t>
  </si>
  <si>
    <t>BRB</t>
  </si>
  <si>
    <t>BB</t>
  </si>
  <si>
    <t>Belize</t>
  </si>
  <si>
    <t>BLZ</t>
  </si>
  <si>
    <t>ETRO</t>
  </si>
  <si>
    <t>BZ</t>
  </si>
  <si>
    <t>Brazil</t>
  </si>
  <si>
    <t>BRA</t>
  </si>
  <si>
    <t>BR</t>
  </si>
  <si>
    <t>Canada</t>
  </si>
  <si>
    <t>CAN</t>
  </si>
  <si>
    <t>CA</t>
  </si>
  <si>
    <t>Cape Verde</t>
  </si>
  <si>
    <t>CPV</t>
  </si>
  <si>
    <t>Artisanal, Industrial, ETRO</t>
  </si>
  <si>
    <t>CV</t>
  </si>
  <si>
    <t>China PR</t>
  </si>
  <si>
    <t>CHN</t>
  </si>
  <si>
    <t>CN</t>
  </si>
  <si>
    <t>CIV</t>
  </si>
  <si>
    <t>Abidjan, S. Pedro</t>
  </si>
  <si>
    <t>CI</t>
  </si>
  <si>
    <t>Egypt</t>
  </si>
  <si>
    <t>EGY</t>
  </si>
  <si>
    <t>EG</t>
  </si>
  <si>
    <t>BEL</t>
  </si>
  <si>
    <t>BE</t>
  </si>
  <si>
    <t>BGR</t>
  </si>
  <si>
    <t>BG</t>
  </si>
  <si>
    <t>HRV</t>
  </si>
  <si>
    <t>HR</t>
  </si>
  <si>
    <t>CYP</t>
  </si>
  <si>
    <t>CY</t>
  </si>
  <si>
    <t>DNK</t>
  </si>
  <si>
    <t>DK</t>
  </si>
  <si>
    <t>ESP</t>
  </si>
  <si>
    <t>ES</t>
  </si>
  <si>
    <t>EST</t>
  </si>
  <si>
    <t>EE</t>
  </si>
  <si>
    <t>FRA</t>
  </si>
  <si>
    <t>FR</t>
  </si>
  <si>
    <t>DEU</t>
  </si>
  <si>
    <t>DE</t>
  </si>
  <si>
    <t>GRC</t>
  </si>
  <si>
    <t>GR</t>
  </si>
  <si>
    <t>HUN</t>
  </si>
  <si>
    <t>HU</t>
  </si>
  <si>
    <t>IRL</t>
  </si>
  <si>
    <t>IE</t>
  </si>
  <si>
    <t>Adriatic sea, Ionian sea, Ligurian sea, Sardenha, Strait of Sicily, Tyrrenean sea</t>
  </si>
  <si>
    <t>ITA</t>
  </si>
  <si>
    <t>IT</t>
  </si>
  <si>
    <t>LVA</t>
  </si>
  <si>
    <t>LV</t>
  </si>
  <si>
    <t>LTU</t>
  </si>
  <si>
    <t>LT</t>
  </si>
  <si>
    <t>MLT</t>
  </si>
  <si>
    <t>MT</t>
  </si>
  <si>
    <t>NLD</t>
  </si>
  <si>
    <t>NL</t>
  </si>
  <si>
    <t>POL</t>
  </si>
  <si>
    <t>PL</t>
  </si>
  <si>
    <t>PRT</t>
  </si>
  <si>
    <t>PT</t>
  </si>
  <si>
    <t>SVN</t>
  </si>
  <si>
    <t>SI</t>
  </si>
  <si>
    <t>SWE</t>
  </si>
  <si>
    <t>SE</t>
  </si>
  <si>
    <t>GBR</t>
  </si>
  <si>
    <t>GB</t>
  </si>
  <si>
    <t>SPM</t>
  </si>
  <si>
    <t>PM</t>
  </si>
  <si>
    <t>Gabon</t>
  </si>
  <si>
    <t>GAB</t>
  </si>
  <si>
    <t>GA</t>
  </si>
  <si>
    <t>Ghana</t>
  </si>
  <si>
    <t>GHA</t>
  </si>
  <si>
    <t>GH</t>
  </si>
  <si>
    <t>Guatemala</t>
  </si>
  <si>
    <t>GTM</t>
  </si>
  <si>
    <t>GT</t>
  </si>
  <si>
    <t>Guinea Ecuatorial</t>
  </si>
  <si>
    <t>GNQ</t>
  </si>
  <si>
    <t>Artisanal, Industrial</t>
  </si>
  <si>
    <t>GQ</t>
  </si>
  <si>
    <t>GIN</t>
  </si>
  <si>
    <t>GN</t>
  </si>
  <si>
    <t>Honduras</t>
  </si>
  <si>
    <t>HND</t>
  </si>
  <si>
    <t>HN</t>
  </si>
  <si>
    <t>Iceland</t>
  </si>
  <si>
    <t>ISL</t>
  </si>
  <si>
    <t>IS</t>
  </si>
  <si>
    <t>Japan</t>
  </si>
  <si>
    <t>JPN</t>
  </si>
  <si>
    <t>JP</t>
  </si>
  <si>
    <t>KOR</t>
  </si>
  <si>
    <t>KR</t>
  </si>
  <si>
    <t>Libya</t>
  </si>
  <si>
    <t>LBY</t>
  </si>
  <si>
    <t>LY</t>
  </si>
  <si>
    <t>Maroc</t>
  </si>
  <si>
    <t>MAR</t>
  </si>
  <si>
    <t>Tanger, Nador, ETRO</t>
  </si>
  <si>
    <t>MA</t>
  </si>
  <si>
    <t>Mauritania</t>
  </si>
  <si>
    <t>MRT</t>
  </si>
  <si>
    <t>MR</t>
  </si>
  <si>
    <t>Mexico</t>
  </si>
  <si>
    <t>MEX</t>
  </si>
  <si>
    <t>MX</t>
  </si>
  <si>
    <t>Namibia</t>
  </si>
  <si>
    <t>NAM</t>
  </si>
  <si>
    <t>NA</t>
  </si>
  <si>
    <t>Nicaragua</t>
  </si>
  <si>
    <t>NIC</t>
  </si>
  <si>
    <t>NI</t>
  </si>
  <si>
    <t>Nigeria</t>
  </si>
  <si>
    <t>NGA</t>
  </si>
  <si>
    <t>NG</t>
  </si>
  <si>
    <t>Norway</t>
  </si>
  <si>
    <t>NOR</t>
  </si>
  <si>
    <t>NO</t>
  </si>
  <si>
    <t>Panama</t>
  </si>
  <si>
    <t>PAN</t>
  </si>
  <si>
    <t>PA</t>
  </si>
  <si>
    <t>Philippines</t>
  </si>
  <si>
    <t>PHL</t>
  </si>
  <si>
    <t>PH</t>
  </si>
  <si>
    <t>Russian Federation</t>
  </si>
  <si>
    <t>RUS</t>
  </si>
  <si>
    <t>RU</t>
  </si>
  <si>
    <t>STP</t>
  </si>
  <si>
    <t>ST</t>
  </si>
  <si>
    <t>Senegal</t>
  </si>
  <si>
    <t>SEN</t>
  </si>
  <si>
    <t>SN</t>
  </si>
  <si>
    <t>Sierra Leone</t>
  </si>
  <si>
    <t>SLE</t>
  </si>
  <si>
    <t>SL</t>
  </si>
  <si>
    <t>South Africa</t>
  </si>
  <si>
    <t>ZAF</t>
  </si>
  <si>
    <t>ZA</t>
  </si>
  <si>
    <t>VCT</t>
  </si>
  <si>
    <t>VC</t>
  </si>
  <si>
    <t>Syria</t>
  </si>
  <si>
    <t>SYR</t>
  </si>
  <si>
    <t>SY</t>
  </si>
  <si>
    <t>Trinidad and Tobago</t>
  </si>
  <si>
    <t>TTO</t>
  </si>
  <si>
    <t>Trinidad, Tobago</t>
  </si>
  <si>
    <t>TT</t>
  </si>
  <si>
    <t>Tunisie</t>
  </si>
  <si>
    <t>TUN</t>
  </si>
  <si>
    <t>TN</t>
  </si>
  <si>
    <t>Turkey</t>
  </si>
  <si>
    <t>TUR</t>
  </si>
  <si>
    <t>TR</t>
  </si>
  <si>
    <t>USA</t>
  </si>
  <si>
    <t>Comercial, Recreational</t>
  </si>
  <si>
    <t>US</t>
  </si>
  <si>
    <t>BMU</t>
  </si>
  <si>
    <t>BM</t>
  </si>
  <si>
    <t>VGB</t>
  </si>
  <si>
    <t>VG</t>
  </si>
  <si>
    <t>SHN</t>
  </si>
  <si>
    <t>SH</t>
  </si>
  <si>
    <t>TCA</t>
  </si>
  <si>
    <t>TC</t>
  </si>
  <si>
    <t>Uruguay</t>
  </si>
  <si>
    <t>URY</t>
  </si>
  <si>
    <t>UY</t>
  </si>
  <si>
    <t>Vanuatu</t>
  </si>
  <si>
    <t>VUT</t>
  </si>
  <si>
    <t>VU</t>
  </si>
  <si>
    <t>Venezuela</t>
  </si>
  <si>
    <t>VEN</t>
  </si>
  <si>
    <t>VE</t>
  </si>
  <si>
    <t>Bolivia</t>
  </si>
  <si>
    <t>BOL</t>
  </si>
  <si>
    <t>NCC</t>
  </si>
  <si>
    <t>BO</t>
  </si>
  <si>
    <t>Chinese Taipei</t>
  </si>
  <si>
    <t>TAI</t>
  </si>
  <si>
    <t>TWN</t>
  </si>
  <si>
    <t>TW</t>
  </si>
  <si>
    <t>Curaçao</t>
  </si>
  <si>
    <t>CUW</t>
  </si>
  <si>
    <t>CW</t>
  </si>
  <si>
    <t>El Salvador</t>
  </si>
  <si>
    <t>SLV</t>
  </si>
  <si>
    <t>SV</t>
  </si>
  <si>
    <t>Suriname</t>
  </si>
  <si>
    <t>SUR</t>
  </si>
  <si>
    <t>SR</t>
  </si>
  <si>
    <t>Anguilla</t>
  </si>
  <si>
    <t>AIA</t>
  </si>
  <si>
    <t>NCO</t>
  </si>
  <si>
    <t>AI</t>
  </si>
  <si>
    <t>Antigua and Barbuda</t>
  </si>
  <si>
    <t>ATG</t>
  </si>
  <si>
    <t>AG</t>
  </si>
  <si>
    <t>Argentina</t>
  </si>
  <si>
    <t>ARG</t>
  </si>
  <si>
    <t>AR</t>
  </si>
  <si>
    <t>Aruba</t>
  </si>
  <si>
    <t>ABW</t>
  </si>
  <si>
    <t>AW</t>
  </si>
  <si>
    <t>Bahamas</t>
  </si>
  <si>
    <t>BHS</t>
  </si>
  <si>
    <t>BS</t>
  </si>
  <si>
    <t>Belarus</t>
  </si>
  <si>
    <t>BLR</t>
  </si>
  <si>
    <t>BY</t>
  </si>
  <si>
    <t>Benin</t>
  </si>
  <si>
    <t>BEN</t>
  </si>
  <si>
    <t>BJ</t>
  </si>
  <si>
    <t>Cambodia</t>
  </si>
  <si>
    <t>KHM</t>
  </si>
  <si>
    <t>KH</t>
  </si>
  <si>
    <t>Cameroon</t>
  </si>
  <si>
    <t>CMR</t>
  </si>
  <si>
    <t>CM</t>
  </si>
  <si>
    <t>Cayman Islands</t>
  </si>
  <si>
    <t>CYM</t>
  </si>
  <si>
    <t>KY</t>
  </si>
  <si>
    <t>Chile</t>
  </si>
  <si>
    <t>CHL</t>
  </si>
  <si>
    <t>CL</t>
  </si>
  <si>
    <t>Colombia</t>
  </si>
  <si>
    <t>COL</t>
  </si>
  <si>
    <t>CO</t>
  </si>
  <si>
    <t>Congo</t>
  </si>
  <si>
    <t>COG</t>
  </si>
  <si>
    <t>CG</t>
  </si>
  <si>
    <t>Costa Rica</t>
  </si>
  <si>
    <t>CRI</t>
  </si>
  <si>
    <t>CR</t>
  </si>
  <si>
    <t>Cuba</t>
  </si>
  <si>
    <t>CUB</t>
  </si>
  <si>
    <t>CU</t>
  </si>
  <si>
    <t>Dominica</t>
  </si>
  <si>
    <t>DMA</t>
  </si>
  <si>
    <t>DM</t>
  </si>
  <si>
    <t>Dominican Republic</t>
  </si>
  <si>
    <t>DOM</t>
  </si>
  <si>
    <t>DO</t>
  </si>
  <si>
    <t>Ecuador</t>
  </si>
  <si>
    <t>ECU</t>
  </si>
  <si>
    <t>EC</t>
  </si>
  <si>
    <t>Falklands</t>
  </si>
  <si>
    <t>FLK</t>
  </si>
  <si>
    <t>FK</t>
  </si>
  <si>
    <t>Faroe Islands</t>
  </si>
  <si>
    <t>FRO</t>
  </si>
  <si>
    <t>FO</t>
  </si>
  <si>
    <t>Gambia</t>
  </si>
  <si>
    <t>GMB</t>
  </si>
  <si>
    <t>GM</t>
  </si>
  <si>
    <t>Georgia</t>
  </si>
  <si>
    <t>GEO</t>
  </si>
  <si>
    <t>GE</t>
  </si>
  <si>
    <t>Grenada</t>
  </si>
  <si>
    <t>GRD</t>
  </si>
  <si>
    <t>GD</t>
  </si>
  <si>
    <t>Guinea Bissau</t>
  </si>
  <si>
    <t>GNB</t>
  </si>
  <si>
    <t>GW</t>
  </si>
  <si>
    <t>Guyana</t>
  </si>
  <si>
    <t>GUY</t>
  </si>
  <si>
    <t>GY</t>
  </si>
  <si>
    <t>India</t>
  </si>
  <si>
    <t>IND</t>
  </si>
  <si>
    <t>IN</t>
  </si>
  <si>
    <t>Iran</t>
  </si>
  <si>
    <t>IRN</t>
  </si>
  <si>
    <t>IR</t>
  </si>
  <si>
    <t>Israel</t>
  </si>
  <si>
    <t>ISR</t>
  </si>
  <si>
    <t>IL</t>
  </si>
  <si>
    <t>Jamaica</t>
  </si>
  <si>
    <t>JAM</t>
  </si>
  <si>
    <t>JM</t>
  </si>
  <si>
    <t>Lebanon</t>
  </si>
  <si>
    <t>LBN</t>
  </si>
  <si>
    <t>LB</t>
  </si>
  <si>
    <t>Liberia</t>
  </si>
  <si>
    <t>LBR</t>
  </si>
  <si>
    <t>LR</t>
  </si>
  <si>
    <t>Malaysia</t>
  </si>
  <si>
    <t>MYS</t>
  </si>
  <si>
    <t>MY</t>
  </si>
  <si>
    <t>Mauritius</t>
  </si>
  <si>
    <t>MUS</t>
  </si>
  <si>
    <t>MU</t>
  </si>
  <si>
    <t>Montenegro</t>
  </si>
  <si>
    <t>MNE</t>
  </si>
  <si>
    <t>ME</t>
  </si>
  <si>
    <t>Palestine</t>
  </si>
  <si>
    <t>PSE</t>
  </si>
  <si>
    <t>Puerto Rico</t>
  </si>
  <si>
    <t>PRI</t>
  </si>
  <si>
    <t>PR</t>
  </si>
  <si>
    <t>ROU</t>
  </si>
  <si>
    <t>RO</t>
  </si>
  <si>
    <t>Saint Kitts and Nevis</t>
  </si>
  <si>
    <t>KNA</t>
  </si>
  <si>
    <t>St. Kitts, Nevis</t>
  </si>
  <si>
    <t>KN</t>
  </si>
  <si>
    <t>Serbia</t>
  </si>
  <si>
    <t>SRB</t>
  </si>
  <si>
    <t>RS</t>
  </si>
  <si>
    <t>Seychelles</t>
  </si>
  <si>
    <t>SYC</t>
  </si>
  <si>
    <t>SC</t>
  </si>
  <si>
    <t>Singapore</t>
  </si>
  <si>
    <t>SGP</t>
  </si>
  <si>
    <t>SG</t>
  </si>
  <si>
    <t>LCA</t>
  </si>
  <si>
    <t>LC</t>
  </si>
  <si>
    <t>Switzerland</t>
  </si>
  <si>
    <t>CHE</t>
  </si>
  <si>
    <t>CH</t>
  </si>
  <si>
    <t>Thailand</t>
  </si>
  <si>
    <t>THA</t>
  </si>
  <si>
    <t>TH</t>
  </si>
  <si>
    <t>Togo</t>
  </si>
  <si>
    <t>TGO</t>
  </si>
  <si>
    <t>TG</t>
  </si>
  <si>
    <t>Ukraine</t>
  </si>
  <si>
    <t>UKR</t>
  </si>
  <si>
    <t>UA</t>
  </si>
  <si>
    <t>US Virgin Islands</t>
  </si>
  <si>
    <t>VIR</t>
  </si>
  <si>
    <t>VI</t>
  </si>
  <si>
    <t>HL</t>
  </si>
  <si>
    <t>HP</t>
  </si>
  <si>
    <t>Harpoon</t>
  </si>
  <si>
    <t>RR</t>
  </si>
  <si>
    <t>Rod-and-reel</t>
  </si>
  <si>
    <t>TP</t>
  </si>
  <si>
    <t>Trolling</t>
  </si>
  <si>
    <t>MP</t>
  </si>
  <si>
    <t>OT</t>
  </si>
  <si>
    <t>Table. Species (Tunas &amp; sharks) standard codes</t>
  </si>
  <si>
    <t>ScieName</t>
  </si>
  <si>
    <t>CoNameEN</t>
  </si>
  <si>
    <t>CoNameFR</t>
  </si>
  <si>
    <t>CoNameES</t>
  </si>
  <si>
    <t>IccSpcGrp</t>
  </si>
  <si>
    <t>TaxonType</t>
  </si>
  <si>
    <t>BFT</t>
  </si>
  <si>
    <t>Thunnus thynnus</t>
  </si>
  <si>
    <t>Atlantic bluefin tuna</t>
  </si>
  <si>
    <t>Thon rouge de l'Atlantique</t>
  </si>
  <si>
    <t>Atún rojo del Atlántico</t>
  </si>
  <si>
    <t>1-Tuna (major sp.)</t>
  </si>
  <si>
    <t>1-Species</t>
  </si>
  <si>
    <t>YFT</t>
  </si>
  <si>
    <t>Thunnus albacares</t>
  </si>
  <si>
    <t>Yellowfin tuna</t>
  </si>
  <si>
    <t>Albacore</t>
  </si>
  <si>
    <t>Rabil</t>
  </si>
  <si>
    <t>Thunnus alalunga</t>
  </si>
  <si>
    <t>Germon</t>
  </si>
  <si>
    <t>Atún blanco</t>
  </si>
  <si>
    <t>BET</t>
  </si>
  <si>
    <t>Thunnus obesus</t>
  </si>
  <si>
    <t>Bigeye tuna</t>
  </si>
  <si>
    <t>Thon obèse(=Patudo)</t>
  </si>
  <si>
    <t>Patudo</t>
  </si>
  <si>
    <t>SKJ</t>
  </si>
  <si>
    <t>Katsuwonus pelamis</t>
  </si>
  <si>
    <t>Skipjack tuna</t>
  </si>
  <si>
    <t>Listao</t>
  </si>
  <si>
    <t>Listado</t>
  </si>
  <si>
    <t>SAI</t>
  </si>
  <si>
    <t>Istiophorus albicans</t>
  </si>
  <si>
    <t>Atlantic sailfish</t>
  </si>
  <si>
    <t>Voilier de l'Atlantique</t>
  </si>
  <si>
    <t>Pez vela del Atlántico</t>
  </si>
  <si>
    <t>BUM</t>
  </si>
  <si>
    <t>Makaira nigricans</t>
  </si>
  <si>
    <t>Blue marlin</t>
  </si>
  <si>
    <t>Makaire bleu</t>
  </si>
  <si>
    <t>Aguja azul</t>
  </si>
  <si>
    <t>WHM</t>
  </si>
  <si>
    <t>Atlantic white marlin</t>
  </si>
  <si>
    <t>Makaire blanc de l'Atlantique</t>
  </si>
  <si>
    <t>Aguja blanca del Atlántico</t>
  </si>
  <si>
    <t>SWO</t>
  </si>
  <si>
    <t>Xiphias gladius</t>
  </si>
  <si>
    <t>Swordfish</t>
  </si>
  <si>
    <t>Espadon</t>
  </si>
  <si>
    <t>Pez espada</t>
  </si>
  <si>
    <t>SPF</t>
  </si>
  <si>
    <t>Tetrapturus pfluegeri</t>
  </si>
  <si>
    <t>Longbill spearfish</t>
  </si>
  <si>
    <t>Makaire bécune</t>
  </si>
  <si>
    <t>Aguja picuda</t>
  </si>
  <si>
    <t>SBF</t>
  </si>
  <si>
    <t>Thunnus maccoyii</t>
  </si>
  <si>
    <t>Southern bluefin tuna</t>
  </si>
  <si>
    <t>Thon rouge du Sud</t>
  </si>
  <si>
    <t>Atún rojo del Sur</t>
  </si>
  <si>
    <t>BIL</t>
  </si>
  <si>
    <t>Istiophoridae</t>
  </si>
  <si>
    <t>Marlins,sailfishes,etc. nei</t>
  </si>
  <si>
    <t>Makaires,marlins,voiliers nca</t>
  </si>
  <si>
    <t>Agujas,marlines,peces vela nep</t>
  </si>
  <si>
    <t>4-Family</t>
  </si>
  <si>
    <t>NPH</t>
  </si>
  <si>
    <t>Scomberomorus niphonius</t>
  </si>
  <si>
    <t>Japanese Spanish mackerel</t>
  </si>
  <si>
    <t>Thazard oriental</t>
  </si>
  <si>
    <t>Carite oriental</t>
  </si>
  <si>
    <t>TUS</t>
  </si>
  <si>
    <t>Thunnus spp</t>
  </si>
  <si>
    <t>True tunas nei</t>
  </si>
  <si>
    <t>Thons Thunnus nca</t>
  </si>
  <si>
    <t>Atunes verdaderos nep</t>
  </si>
  <si>
    <t>2-Genus</t>
  </si>
  <si>
    <t>MSP</t>
  </si>
  <si>
    <t>Tetrapturus belone</t>
  </si>
  <si>
    <t>Mediterranean spearfish</t>
  </si>
  <si>
    <t>Marlin de la Méditerranée</t>
  </si>
  <si>
    <t>Marlín del Mediterráneo</t>
  </si>
  <si>
    <t>SSP</t>
  </si>
  <si>
    <t>Tetrapturus angustirostris</t>
  </si>
  <si>
    <t>Shortbill spearfish</t>
  </si>
  <si>
    <t>Makaire à rostre court</t>
  </si>
  <si>
    <t>Marlín trompa corta</t>
  </si>
  <si>
    <t>RSP</t>
  </si>
  <si>
    <t>Tetrapturus georgii</t>
  </si>
  <si>
    <t>Roundscale spearfish</t>
  </si>
  <si>
    <t>Makaire épée</t>
  </si>
  <si>
    <t>Marlín peto</t>
  </si>
  <si>
    <t>MLS</t>
  </si>
  <si>
    <t>Tetrapturus audax</t>
  </si>
  <si>
    <t>Striped marlin</t>
  </si>
  <si>
    <t>Marlin rayé</t>
  </si>
  <si>
    <t>Marlín rayado</t>
  </si>
  <si>
    <t>BLF</t>
  </si>
  <si>
    <t>Thunnus atlanticus</t>
  </si>
  <si>
    <t>Blackfin tuna</t>
  </si>
  <si>
    <t>Thon à nageoires noires</t>
  </si>
  <si>
    <t>Atún aleta negra</t>
  </si>
  <si>
    <t>LTA</t>
  </si>
  <si>
    <t>Euthynnus alletteratus</t>
  </si>
  <si>
    <t>Little tunny(=Atl.black skipj)</t>
  </si>
  <si>
    <t>Thonine commune</t>
  </si>
  <si>
    <t>Bacoreta</t>
  </si>
  <si>
    <t>BON</t>
  </si>
  <si>
    <t>Sarda sarda</t>
  </si>
  <si>
    <t>Atlantic bonito</t>
  </si>
  <si>
    <t>Bonite à dos rayé</t>
  </si>
  <si>
    <t>Bonito del Atlántico</t>
  </si>
  <si>
    <t>FRI</t>
  </si>
  <si>
    <t>Auxis thazard</t>
  </si>
  <si>
    <t>Frigate tuna</t>
  </si>
  <si>
    <t>Auxide</t>
  </si>
  <si>
    <t>Melva</t>
  </si>
  <si>
    <t>BOP</t>
  </si>
  <si>
    <t>Orcynopsis unicolor</t>
  </si>
  <si>
    <t>Plain bonito</t>
  </si>
  <si>
    <t>Palomette</t>
  </si>
  <si>
    <t>Tasarte</t>
  </si>
  <si>
    <t>WAH</t>
  </si>
  <si>
    <t>Acanthocybium solandri</t>
  </si>
  <si>
    <t>Wahoo</t>
  </si>
  <si>
    <t>Thazard-bâtard</t>
  </si>
  <si>
    <t>Peto</t>
  </si>
  <si>
    <t>SSM</t>
  </si>
  <si>
    <t>Scomberomorus maculatus</t>
  </si>
  <si>
    <t>Atlantic Spanish mackerel</t>
  </si>
  <si>
    <t>Thazard atlantique</t>
  </si>
  <si>
    <t>Carite atlántico</t>
  </si>
  <si>
    <t>KGM</t>
  </si>
  <si>
    <t>Scomberomorus cavalla</t>
  </si>
  <si>
    <t>King mackerel</t>
  </si>
  <si>
    <t>Thazard barré</t>
  </si>
  <si>
    <t>Carite lucio</t>
  </si>
  <si>
    <t>SLT</t>
  </si>
  <si>
    <t>Allothunnus fallai</t>
  </si>
  <si>
    <t>Slender tuna</t>
  </si>
  <si>
    <t>Thon élégant</t>
  </si>
  <si>
    <t>Atún lanzón</t>
  </si>
  <si>
    <t>MAW</t>
  </si>
  <si>
    <t>Scomberomorus tritor</t>
  </si>
  <si>
    <t>West African Spanish mackerel</t>
  </si>
  <si>
    <t>Thazard blanc</t>
  </si>
  <si>
    <t>Carite lusitánico</t>
  </si>
  <si>
    <t>CER</t>
  </si>
  <si>
    <t>Scomberomorus regalis</t>
  </si>
  <si>
    <t>Cero</t>
  </si>
  <si>
    <t>Thazard franc</t>
  </si>
  <si>
    <t>Carite chinigua</t>
  </si>
  <si>
    <t>BLT</t>
  </si>
  <si>
    <t>Auxis rochei</t>
  </si>
  <si>
    <t>Bullet tuna</t>
  </si>
  <si>
    <t>Bonitou</t>
  </si>
  <si>
    <t>Melva(=Melvera)</t>
  </si>
  <si>
    <t>BRS</t>
  </si>
  <si>
    <t>Scomberomorus brasiliensis</t>
  </si>
  <si>
    <t>Serra Spanish mackerel</t>
  </si>
  <si>
    <t>Thazard serra</t>
  </si>
  <si>
    <t>Serra</t>
  </si>
  <si>
    <t>DOL</t>
  </si>
  <si>
    <t>Coryphaena hippurus</t>
  </si>
  <si>
    <t>Common dolphinfish</t>
  </si>
  <si>
    <t>Coryphène commune</t>
  </si>
  <si>
    <t>Lampuga</t>
  </si>
  <si>
    <t>SMA</t>
  </si>
  <si>
    <t>Isurus oxyrinchus</t>
  </si>
  <si>
    <t>Shortfin mako</t>
  </si>
  <si>
    <t>Taupe bleue</t>
  </si>
  <si>
    <t>Marrajo dientuso</t>
  </si>
  <si>
    <t>POR</t>
  </si>
  <si>
    <t>Lamna nasus</t>
  </si>
  <si>
    <t>Porbeagle</t>
  </si>
  <si>
    <t>Requin-taupe commun</t>
  </si>
  <si>
    <t>Marrajo sardinero</t>
  </si>
  <si>
    <t>BSH</t>
  </si>
  <si>
    <t>Prionace glauca</t>
  </si>
  <si>
    <t>Blue shark</t>
  </si>
  <si>
    <t>Peau bleue</t>
  </si>
  <si>
    <t>Tiburón azul</t>
  </si>
  <si>
    <t>BSK</t>
  </si>
  <si>
    <t>Cetorhinus maximus</t>
  </si>
  <si>
    <t>Basking shark</t>
  </si>
  <si>
    <t>Pèlerin</t>
  </si>
  <si>
    <t>Peregrino</t>
  </si>
  <si>
    <t>ALV</t>
  </si>
  <si>
    <t>Alopias vulpinus</t>
  </si>
  <si>
    <t>Thresher</t>
  </si>
  <si>
    <t>Renard</t>
  </si>
  <si>
    <t>Zorro</t>
  </si>
  <si>
    <t>BTH</t>
  </si>
  <si>
    <t>Alopias superciliosus</t>
  </si>
  <si>
    <t>Bigeye thresher</t>
  </si>
  <si>
    <t>Renard à gros yeux</t>
  </si>
  <si>
    <t>Zorro ojón</t>
  </si>
  <si>
    <t>THR</t>
  </si>
  <si>
    <t>Alopias spp</t>
  </si>
  <si>
    <t>Thresher sharks nei</t>
  </si>
  <si>
    <t>Renards de mer nca</t>
  </si>
  <si>
    <t>Zorros nep</t>
  </si>
  <si>
    <t>LMA</t>
  </si>
  <si>
    <t>Isurus paucus</t>
  </si>
  <si>
    <t>Longfin mako</t>
  </si>
  <si>
    <t>Petite taupe</t>
  </si>
  <si>
    <t>Marrajo carite</t>
  </si>
  <si>
    <t>WSH</t>
  </si>
  <si>
    <t>Carcharodon carcharias</t>
  </si>
  <si>
    <t>Great white shark</t>
  </si>
  <si>
    <t>Grand requin blanc</t>
  </si>
  <si>
    <t>Jaquetón blanco</t>
  </si>
  <si>
    <t>MSK</t>
  </si>
  <si>
    <t>Lamnidae</t>
  </si>
  <si>
    <t>Mackerel sharks,porbeagles nei</t>
  </si>
  <si>
    <t>Requins taupe nca</t>
  </si>
  <si>
    <t>Jaquetones,marrajos nep</t>
  </si>
  <si>
    <t>OCS</t>
  </si>
  <si>
    <t>Carcharhinus longimanus</t>
  </si>
  <si>
    <t>Oceanic whitetip shark</t>
  </si>
  <si>
    <t>Requin océanique</t>
  </si>
  <si>
    <t>Tiburón oceánico</t>
  </si>
  <si>
    <t>FAL</t>
  </si>
  <si>
    <t>Carcharhinus falciformis</t>
  </si>
  <si>
    <t>Silky shark</t>
  </si>
  <si>
    <t>Requin soyeux</t>
  </si>
  <si>
    <t>Tiburón jaquetón</t>
  </si>
  <si>
    <t>RSK</t>
  </si>
  <si>
    <t>Carcharhinidae</t>
  </si>
  <si>
    <t>Requiem sharks nei</t>
  </si>
  <si>
    <t>Requins nca</t>
  </si>
  <si>
    <t>Cazones picudos,tintoreras nep</t>
  </si>
  <si>
    <t>SPZ</t>
  </si>
  <si>
    <t>Sphyrna zygaena</t>
  </si>
  <si>
    <t>Smooth hammerhead</t>
  </si>
  <si>
    <t>Requin-marteau commun</t>
  </si>
  <si>
    <t>Cornuda cruz(=Pez martillo)</t>
  </si>
  <si>
    <t>SPL</t>
  </si>
  <si>
    <t>Sphyrna lewini</t>
  </si>
  <si>
    <t>Scalloped hammerhead</t>
  </si>
  <si>
    <t>Requin-marteau halicorne</t>
  </si>
  <si>
    <t>Cornuda común</t>
  </si>
  <si>
    <t>SPK</t>
  </si>
  <si>
    <t>Sphyrna mokarran</t>
  </si>
  <si>
    <t>Great hammerhead</t>
  </si>
  <si>
    <t>Grand requin marteau</t>
  </si>
  <si>
    <t>Cornuda gigante</t>
  </si>
  <si>
    <t>SPN</t>
  </si>
  <si>
    <t>Sphyrna spp</t>
  </si>
  <si>
    <t>Hammerhead sharks nei</t>
  </si>
  <si>
    <t>Requins marteau nca</t>
  </si>
  <si>
    <t>Cornudas (Peces martillo) nep</t>
  </si>
  <si>
    <t>SPY</t>
  </si>
  <si>
    <t>Sphyrnidae</t>
  </si>
  <si>
    <t>Hammerhead sharks, etc. nei</t>
  </si>
  <si>
    <t>Requins marteau, etc. nca</t>
  </si>
  <si>
    <t>Cornudas, etc. nep</t>
  </si>
  <si>
    <t>PSK</t>
  </si>
  <si>
    <t>Pseudocarcharias kamoharai</t>
  </si>
  <si>
    <t>Crocodile shark</t>
  </si>
  <si>
    <t>Requin crocodile</t>
  </si>
  <si>
    <t>Tiburón cocodrilo</t>
  </si>
  <si>
    <t>PLS</t>
  </si>
  <si>
    <t>Pteroplatytrygon violacea</t>
  </si>
  <si>
    <t>Pelagic stingray</t>
  </si>
  <si>
    <t>Pastenague violette</t>
  </si>
  <si>
    <t>Raya-látigo violeta</t>
  </si>
  <si>
    <t>RMB</t>
  </si>
  <si>
    <t>Manta birostris</t>
  </si>
  <si>
    <t>Giant manta</t>
  </si>
  <si>
    <t>Mante géante</t>
  </si>
  <si>
    <t>Manta gigante</t>
  </si>
  <si>
    <t>BLM</t>
  </si>
  <si>
    <t>LEC</t>
  </si>
  <si>
    <t>BSF</t>
  </si>
  <si>
    <t>GES</t>
  </si>
  <si>
    <t>SFS</t>
  </si>
  <si>
    <t>OIL</t>
  </si>
  <si>
    <t>BUK</t>
  </si>
  <si>
    <t>KAW</t>
  </si>
  <si>
    <t>RHN</t>
  </si>
  <si>
    <t>CCG</t>
  </si>
  <si>
    <t>ISB</t>
  </si>
  <si>
    <t>LMP</t>
  </si>
  <si>
    <t>MAN</t>
  </si>
  <si>
    <t>QUL</t>
  </si>
  <si>
    <t>RMH</t>
  </si>
  <si>
    <t>RMJ</t>
  </si>
  <si>
    <t>RMM</t>
  </si>
  <si>
    <t>RMO</t>
  </si>
  <si>
    <t>RMT</t>
  </si>
  <si>
    <t>STT</t>
  </si>
  <si>
    <t>RMN</t>
  </si>
  <si>
    <t>CVJ</t>
  </si>
  <si>
    <t>GBA</t>
  </si>
  <si>
    <t>YTC</t>
  </si>
  <si>
    <t>SAU</t>
  </si>
  <si>
    <t>POA</t>
  </si>
  <si>
    <t>AMB</t>
  </si>
  <si>
    <t>AWI</t>
  </si>
  <si>
    <t>BVP</t>
  </si>
  <si>
    <t>EXQ</t>
  </si>
  <si>
    <t>LGH</t>
  </si>
  <si>
    <t>ALM</t>
  </si>
  <si>
    <t>BAZ</t>
  </si>
  <si>
    <t>CBA</t>
  </si>
  <si>
    <t>CFW</t>
  </si>
  <si>
    <t>CNT</t>
  </si>
  <si>
    <t>DIY</t>
  </si>
  <si>
    <t>FLY</t>
  </si>
  <si>
    <t>GAR</t>
  </si>
  <si>
    <t>HMM</t>
  </si>
  <si>
    <t>LEE</t>
  </si>
  <si>
    <t>MOX</t>
  </si>
  <si>
    <t>MRW</t>
  </si>
  <si>
    <t>NAU</t>
  </si>
  <si>
    <t>RRU</t>
  </si>
  <si>
    <t>RUB</t>
  </si>
  <si>
    <t>RZV</t>
  </si>
  <si>
    <t>TAL</t>
  </si>
  <si>
    <t>TAS</t>
  </si>
  <si>
    <t>TCR</t>
  </si>
  <si>
    <t>TRG</t>
  </si>
  <si>
    <t>TRI</t>
  </si>
  <si>
    <t>TST</t>
  </si>
  <si>
    <t>USE</t>
  </si>
  <si>
    <t>VAD</t>
  </si>
  <si>
    <t>YTL</t>
  </si>
  <si>
    <t>SXQ</t>
  </si>
  <si>
    <t>SEL</t>
  </si>
  <si>
    <t>BCW</t>
  </si>
  <si>
    <t>BRW</t>
  </si>
  <si>
    <t>DBO</t>
  </si>
  <si>
    <t>DCL</t>
  </si>
  <si>
    <t>DCO</t>
  </si>
  <si>
    <t>DLP</t>
  </si>
  <si>
    <t>DPN</t>
  </si>
  <si>
    <t>DRR</t>
  </si>
  <si>
    <t>DSA</t>
  </si>
  <si>
    <t>DSI</t>
  </si>
  <si>
    <t>DST</t>
  </si>
  <si>
    <t>DWH</t>
  </si>
  <si>
    <t>EUA</t>
  </si>
  <si>
    <t>EUG</t>
  </si>
  <si>
    <t>FAW</t>
  </si>
  <si>
    <t>FIW</t>
  </si>
  <si>
    <t>HUW</t>
  </si>
  <si>
    <t>KIW</t>
  </si>
  <si>
    <t>MEP</t>
  </si>
  <si>
    <t>MIW</t>
  </si>
  <si>
    <t>PHR</t>
  </si>
  <si>
    <t>PIW</t>
  </si>
  <si>
    <t>PYW</t>
  </si>
  <si>
    <t>RTD</t>
  </si>
  <si>
    <t>SHW</t>
  </si>
  <si>
    <t>SIW</t>
  </si>
  <si>
    <t>SPW</t>
  </si>
  <si>
    <t>CZE</t>
  </si>
  <si>
    <t>FPA</t>
  </si>
  <si>
    <t>FNO</t>
  </si>
  <si>
    <t>LHZ</t>
  </si>
  <si>
    <t>LVH</t>
  </si>
  <si>
    <t>LVJ</t>
  </si>
  <si>
    <t>LVU</t>
  </si>
  <si>
    <t>MVB</t>
  </si>
  <si>
    <t>MWE</t>
  </si>
  <si>
    <t>DAQ</t>
  </si>
  <si>
    <t>PJZ</t>
  </si>
  <si>
    <t>HJW</t>
  </si>
  <si>
    <t>HWS</t>
  </si>
  <si>
    <t>UIL</t>
  </si>
  <si>
    <t>UIM</t>
  </si>
  <si>
    <t>UIP</t>
  </si>
  <si>
    <t>UYE</t>
  </si>
  <si>
    <t>ALZ</t>
  </si>
  <si>
    <t>CDI</t>
  </si>
  <si>
    <t>CSK</t>
  </si>
  <si>
    <t>DAC</t>
  </si>
  <si>
    <t>DBN</t>
  </si>
  <si>
    <t>DCR</t>
  </si>
  <si>
    <t>DCU</t>
  </si>
  <si>
    <t>DIC</t>
  </si>
  <si>
    <t>DIM</t>
  </si>
  <si>
    <t>DIP</t>
  </si>
  <si>
    <t>DIQ</t>
  </si>
  <si>
    <t>Côte d'Ivoire</t>
  </si>
  <si>
    <t>NIL</t>
  </si>
  <si>
    <t>OTH</t>
  </si>
  <si>
    <t>SchoolType</t>
  </si>
  <si>
    <t>Unknown</t>
  </si>
  <si>
    <t>FAD</t>
  </si>
  <si>
    <t>FSC</t>
  </si>
  <si>
    <t>n/a</t>
  </si>
  <si>
    <t>Version</t>
  </si>
  <si>
    <t>Descripción</t>
  </si>
  <si>
    <t>¿Se tomaron muestras genéticas para este estrato?</t>
  </si>
  <si>
    <t>Des échantillons génétiques ont-ils été prélevés pour cette strate ?</t>
  </si>
  <si>
    <t>Translation for Forms/instructions</t>
  </si>
  <si>
    <t>LangFieldID</t>
  </si>
  <si>
    <t>LangNameID</t>
  </si>
  <si>
    <t>FieldID</t>
  </si>
  <si>
    <t>Item</t>
  </si>
  <si>
    <t>FieldType</t>
  </si>
  <si>
    <t>FldNameEN</t>
  </si>
  <si>
    <t>FldNameFR</t>
  </si>
  <si>
    <t>FldNameES</t>
  </si>
  <si>
    <t>FldInstructEN</t>
  </si>
  <si>
    <t>FldInstructFR</t>
  </si>
  <si>
    <t>FldInstructES</t>
  </si>
  <si>
    <t>T00</t>
  </si>
  <si>
    <t>title</t>
  </si>
  <si>
    <t>T01</t>
  </si>
  <si>
    <t>subtitle</t>
  </si>
  <si>
    <t>ICCAT</t>
  </si>
  <si>
    <t>CICTA</t>
  </si>
  <si>
    <t>CICAA</t>
  </si>
  <si>
    <t>COMMISSION INTERNATIONALE POUR LA CONSERVATION DES THONIDÉS DE L'ATLANTIQUE</t>
  </si>
  <si>
    <t>COMISIÓN INTERNACIONAL PARA LA CONSERVACIÓN DEL ATÚN ATLÁNTICO</t>
  </si>
  <si>
    <t>T02</t>
  </si>
  <si>
    <t>T03</t>
  </si>
  <si>
    <t>section</t>
  </si>
  <si>
    <t>T04</t>
  </si>
  <si>
    <t>field</t>
  </si>
  <si>
    <t>(fixed)</t>
  </si>
  <si>
    <t>Versión</t>
  </si>
  <si>
    <t>ICCAT code</t>
  </si>
  <si>
    <t>Langue</t>
  </si>
  <si>
    <t>Idioma</t>
  </si>
  <si>
    <t>H00</t>
  </si>
  <si>
    <t>Tête</t>
  </si>
  <si>
    <t>Cabecera</t>
  </si>
  <si>
    <t>(auto)</t>
  </si>
  <si>
    <t>H10</t>
  </si>
  <si>
    <t>Correspondant statistique</t>
  </si>
  <si>
    <t>Corresponsal estadístico</t>
  </si>
  <si>
    <t>H11</t>
  </si>
  <si>
    <t>subsection</t>
  </si>
  <si>
    <t>Identificación</t>
  </si>
  <si>
    <t>H12</t>
  </si>
  <si>
    <t>Afiliación</t>
  </si>
  <si>
    <t>H20</t>
  </si>
  <si>
    <t>Secretariat use only</t>
  </si>
  <si>
    <t>Réservé au Secrétariat</t>
  </si>
  <si>
    <t>Reservado a la Secretaría</t>
  </si>
  <si>
    <t>H21</t>
  </si>
  <si>
    <t>Filtering criteria</t>
  </si>
  <si>
    <t>Critères de filtrage</t>
  </si>
  <si>
    <t>Criterios de filtrado</t>
  </si>
  <si>
    <t>H30</t>
  </si>
  <si>
    <t>Caractéristiques jeu de données</t>
  </si>
  <si>
    <t>Características conjunto de datos</t>
  </si>
  <si>
    <t>H31</t>
  </si>
  <si>
    <t>Sub-form / Description</t>
  </si>
  <si>
    <t>Sous-forme / Description</t>
  </si>
  <si>
    <t>Sub-formulario / Descripción</t>
  </si>
  <si>
    <t>H40</t>
  </si>
  <si>
    <t>hName</t>
  </si>
  <si>
    <t>string</t>
  </si>
  <si>
    <t>Nom</t>
  </si>
  <si>
    <t>Nombre</t>
  </si>
  <si>
    <t>hEmail</t>
  </si>
  <si>
    <t>E-mail</t>
  </si>
  <si>
    <t>hPhone</t>
  </si>
  <si>
    <t>Téléphone</t>
  </si>
  <si>
    <t>Teléfono</t>
  </si>
  <si>
    <t>hInstit</t>
  </si>
  <si>
    <t>Institución</t>
  </si>
  <si>
    <t>hDepart</t>
  </si>
  <si>
    <t>Département</t>
  </si>
  <si>
    <t>Departamento</t>
  </si>
  <si>
    <t>hAddress</t>
  </si>
  <si>
    <t>Adresse</t>
  </si>
  <si>
    <t>Dirección</t>
  </si>
  <si>
    <t>hCountry</t>
  </si>
  <si>
    <t>Pays</t>
  </si>
  <si>
    <t>País</t>
  </si>
  <si>
    <t>Reporting Flag</t>
  </si>
  <si>
    <t>Pavillon déclarant</t>
  </si>
  <si>
    <t>Pabellón declarante</t>
  </si>
  <si>
    <t>integer</t>
  </si>
  <si>
    <t>hVersion</t>
  </si>
  <si>
    <t>Version transmise</t>
  </si>
  <si>
    <t>Versión declarada</t>
  </si>
  <si>
    <t>hContent</t>
  </si>
  <si>
    <t>Content (data)</t>
  </si>
  <si>
    <t>Contenu (données)</t>
  </si>
  <si>
    <t>Contenido (datos)</t>
  </si>
  <si>
    <t>date</t>
  </si>
  <si>
    <t>Date de déclaration</t>
  </si>
  <si>
    <t>Fecha de notificación</t>
  </si>
  <si>
    <t>Reservado a la Sacretaría</t>
  </si>
  <si>
    <t>hRef</t>
  </si>
  <si>
    <t>Nº Reference</t>
  </si>
  <si>
    <t>Nº Referencia</t>
  </si>
  <si>
    <t>Nom du fichier (proposé)</t>
  </si>
  <si>
    <t>Nombre de archivo (propuesto)</t>
  </si>
  <si>
    <t>Send the form to ICCAT with the proposed file name (if required, suffix it with an ID at the end)</t>
  </si>
  <si>
    <t>Enviar el formulario a ICCAT con el nombre del archivo propuesto (si necesario, añadir como sufijo un ID al final)</t>
  </si>
  <si>
    <t>hFilter1</t>
  </si>
  <si>
    <t>boolean</t>
  </si>
  <si>
    <t>Filter 1</t>
  </si>
  <si>
    <t>Filtre 1</t>
  </si>
  <si>
    <t>Filtro 1</t>
  </si>
  <si>
    <t>hFilter2</t>
  </si>
  <si>
    <t>Filter 2</t>
  </si>
  <si>
    <t>Filtre 2</t>
  </si>
  <si>
    <t>Filtro 2</t>
  </si>
  <si>
    <t>hNotes</t>
  </si>
  <si>
    <t>Notas</t>
  </si>
  <si>
    <t>D00</t>
  </si>
  <si>
    <t>Détail</t>
  </si>
  <si>
    <t>Detalle</t>
  </si>
  <si>
    <t>D10</t>
  </si>
  <si>
    <t>D20</t>
  </si>
  <si>
    <t>FlagVesCd</t>
  </si>
  <si>
    <t>Flag of Vessel (cod)</t>
  </si>
  <si>
    <t>Pavillon du navire (cod)</t>
  </si>
  <si>
    <t>Pabellón del buque (cód)</t>
  </si>
  <si>
    <t>GearGrpCd</t>
  </si>
  <si>
    <t>G00</t>
  </si>
  <si>
    <t>Instructions</t>
  </si>
  <si>
    <t>Instrucciones</t>
  </si>
  <si>
    <t>Instructions to complete the form</t>
  </si>
  <si>
    <t>Instructions pour remplir le formulaire</t>
  </si>
  <si>
    <t>Instrucciones para cumplimentar el formulario</t>
  </si>
  <si>
    <t>G01</t>
  </si>
  <si>
    <t>G01a</t>
  </si>
  <si>
    <t>item</t>
  </si>
  <si>
    <t>General01</t>
  </si>
  <si>
    <t>Complete as far as possible the Header and Detail sections (don't leave fields empty when information is known)</t>
  </si>
  <si>
    <t>Remplir, dans la mesure du possible, les sections "en-tête" et "information détaillée" (ne pas laisser de champs vides lorsque l'information est connue)</t>
  </si>
  <si>
    <t>Cumplimentar con la mayor información posible las secciones "cabecera" e "información detallada" (no dejar campos vacíos cuando se conoce la información)</t>
  </si>
  <si>
    <t>G01b</t>
  </si>
  <si>
    <t>General02</t>
  </si>
  <si>
    <t>In Header section, only white cells can be filled (manually or by selecting from the Combo Box the corresponding code)</t>
  </si>
  <si>
    <t>Dans la section d'en-tête, seules les cellules vides peuvent être remplies (manuellement ou en sélectionnant le code correspondant dans le menu déroulant)</t>
  </si>
  <si>
    <t>En la sección de cabecera, sólo pueden cumplimentarse las celdas en blanco (manualmente o seleccionando en la pestaña desplegable el código correspondiente)</t>
  </si>
  <si>
    <t>G01c</t>
  </si>
  <si>
    <t>General03</t>
  </si>
  <si>
    <t>Always use ICCAT standard codes (when element "OTHERS" of various fields is required it must be explicitly described in "Notes")</t>
  </si>
  <si>
    <t>Toujours utiliser les codes standard ICCAT (si l'élément "AUTRES" de divers champs est requis, celui-ci doit être explicitement décrit dans la rubrique "notes")</t>
  </si>
  <si>
    <t>Utilice siempre los códigos estándar ICCAT (cuando se requiere el elemento "OTROS" de varios campos, éste debe describirse explícitamente en las "Notas")</t>
  </si>
  <si>
    <t>G01d</t>
  </si>
  <si>
    <t>General04</t>
  </si>
  <si>
    <t>Recomendación para los usuarios con bases de datos: para pegar un conjunto de datos completo en la sección de información detallada (debe tener la misma estructura y formato) se debe utilizar "Paste special (values)"</t>
  </si>
  <si>
    <t>G01e</t>
  </si>
  <si>
    <t>General05</t>
  </si>
  <si>
    <t>Leave "blank" the fields for which you don't collect information</t>
  </si>
  <si>
    <t>Specific</t>
  </si>
  <si>
    <t>Spécifique (par champ)</t>
  </si>
  <si>
    <t>Específico (por campo)</t>
  </si>
  <si>
    <t>SC01</t>
  </si>
  <si>
    <t>Formulaire</t>
  </si>
  <si>
    <t>Formulario</t>
  </si>
  <si>
    <t>SC02</t>
  </si>
  <si>
    <t>Sub-form</t>
  </si>
  <si>
    <t>Sous-formulaire</t>
  </si>
  <si>
    <t>Subformulario</t>
  </si>
  <si>
    <t>SC03</t>
  </si>
  <si>
    <t>Partie</t>
  </si>
  <si>
    <t>Parte</t>
  </si>
  <si>
    <t>SC04</t>
  </si>
  <si>
    <t xml:space="preserve">Section </t>
  </si>
  <si>
    <t>Sección</t>
  </si>
  <si>
    <t>SC05</t>
  </si>
  <si>
    <t>Sous-section</t>
  </si>
  <si>
    <t>Sub-secciones</t>
  </si>
  <si>
    <t>SC06</t>
  </si>
  <si>
    <t>Field (name)</t>
  </si>
  <si>
    <t>Champ (nom)</t>
  </si>
  <si>
    <t>Campo (nombre)</t>
  </si>
  <si>
    <t>SC07</t>
  </si>
  <si>
    <t>Field (format)</t>
  </si>
  <si>
    <t>Champ (format)</t>
  </si>
  <si>
    <t>Campo (formato)</t>
  </si>
  <si>
    <t>SC08</t>
  </si>
  <si>
    <t>Preliminary</t>
  </si>
  <si>
    <t>National, Foreign, Recreational (or Sport)</t>
  </si>
  <si>
    <t>AUT</t>
  </si>
  <si>
    <t>AT</t>
  </si>
  <si>
    <t>Recreational (or Sport)</t>
  </si>
  <si>
    <t>Canárias, Coruña, Cantabric sea, ETRO, MEDI, Recreational (or Sport)</t>
  </si>
  <si>
    <t>Mainland, ETRO, MEDI, Recreational (or Sport), Guadeloupe, Martinique</t>
  </si>
  <si>
    <t>Mainland, Azores, Madeira, Recreational (or Sport)</t>
  </si>
  <si>
    <t>Artisanal, ETRO, Recreational (or Sport)</t>
  </si>
  <si>
    <t>Andorra</t>
  </si>
  <si>
    <t>AND</t>
  </si>
  <si>
    <t>AD</t>
  </si>
  <si>
    <t>Australia</t>
  </si>
  <si>
    <t>AUS</t>
  </si>
  <si>
    <t>Brunei</t>
  </si>
  <si>
    <t>BND</t>
  </si>
  <si>
    <t>BN</t>
  </si>
  <si>
    <t>Burkina Faso</t>
  </si>
  <si>
    <t>BFA</t>
  </si>
  <si>
    <t>BF</t>
  </si>
  <si>
    <t>Cook Islands</t>
  </si>
  <si>
    <t>COK</t>
  </si>
  <si>
    <t>CK</t>
  </si>
  <si>
    <t>Djibouti</t>
  </si>
  <si>
    <t>DJI</t>
  </si>
  <si>
    <t>DJ</t>
  </si>
  <si>
    <t>Fiji Islands</t>
  </si>
  <si>
    <t>FJI</t>
  </si>
  <si>
    <t>FJ</t>
  </si>
  <si>
    <t>Guam</t>
  </si>
  <si>
    <t>GUM</t>
  </si>
  <si>
    <t>GU</t>
  </si>
  <si>
    <t>Haiti</t>
  </si>
  <si>
    <t>HTI</t>
  </si>
  <si>
    <t>HT</t>
  </si>
  <si>
    <t>Indonesia</t>
  </si>
  <si>
    <t>IDN</t>
  </si>
  <si>
    <t>ID</t>
  </si>
  <si>
    <t>Kenya</t>
  </si>
  <si>
    <t>KEN</t>
  </si>
  <si>
    <t>KE</t>
  </si>
  <si>
    <t>Kiribati</t>
  </si>
  <si>
    <t>KIR</t>
  </si>
  <si>
    <t>KI</t>
  </si>
  <si>
    <t>Kuwait</t>
  </si>
  <si>
    <t>KWT</t>
  </si>
  <si>
    <t>KW</t>
  </si>
  <si>
    <t>Madagascar</t>
  </si>
  <si>
    <t>MDG</t>
  </si>
  <si>
    <t>MG</t>
  </si>
  <si>
    <t>Maldives</t>
  </si>
  <si>
    <t>MDV</t>
  </si>
  <si>
    <t>MV</t>
  </si>
  <si>
    <t>Marshall Islands</t>
  </si>
  <si>
    <t>MHL</t>
  </si>
  <si>
    <t>MH</t>
  </si>
  <si>
    <t>Micronesia</t>
  </si>
  <si>
    <t>FSM</t>
  </si>
  <si>
    <t>FM</t>
  </si>
  <si>
    <t>Mozambique</t>
  </si>
  <si>
    <t>MOZ</t>
  </si>
  <si>
    <t>MZ</t>
  </si>
  <si>
    <t>New Caledonia</t>
  </si>
  <si>
    <t>NCL</t>
  </si>
  <si>
    <t>NC</t>
  </si>
  <si>
    <t>New Zealand</t>
  </si>
  <si>
    <t>NZL</t>
  </si>
  <si>
    <t>NZ</t>
  </si>
  <si>
    <t>Oman</t>
  </si>
  <si>
    <t>OMN</t>
  </si>
  <si>
    <t>OM</t>
  </si>
  <si>
    <t>Palau</t>
  </si>
  <si>
    <t>PLW</t>
  </si>
  <si>
    <t>PW</t>
  </si>
  <si>
    <t>Papua New Guinea</t>
  </si>
  <si>
    <t>PNG</t>
  </si>
  <si>
    <t>PG</t>
  </si>
  <si>
    <t>Perú</t>
  </si>
  <si>
    <t>PER</t>
  </si>
  <si>
    <t>PE</t>
  </si>
  <si>
    <t>Polynesie Française</t>
  </si>
  <si>
    <t>PYF</t>
  </si>
  <si>
    <t>PF</t>
  </si>
  <si>
    <t>Samoa</t>
  </si>
  <si>
    <t>WSM</t>
  </si>
  <si>
    <t>WS</t>
  </si>
  <si>
    <t>Saudi Arabia</t>
  </si>
  <si>
    <t>SA</t>
  </si>
  <si>
    <t>Solomon Islands</t>
  </si>
  <si>
    <t>SLB</t>
  </si>
  <si>
    <t>SB</t>
  </si>
  <si>
    <t>Sri Lanka</t>
  </si>
  <si>
    <t>LKA</t>
  </si>
  <si>
    <t>LK</t>
  </si>
  <si>
    <t>Tanzania</t>
  </si>
  <si>
    <t>TZA</t>
  </si>
  <si>
    <t>TZ</t>
  </si>
  <si>
    <t>Tonga</t>
  </si>
  <si>
    <t>TON</t>
  </si>
  <si>
    <t>Tuvalu</t>
  </si>
  <si>
    <t>TUV</t>
  </si>
  <si>
    <t>TV</t>
  </si>
  <si>
    <t>United Arab Emirates</t>
  </si>
  <si>
    <t>ARE</t>
  </si>
  <si>
    <t>AE</t>
  </si>
  <si>
    <t>Vietnam</t>
  </si>
  <si>
    <t>VNM</t>
  </si>
  <si>
    <t>VN</t>
  </si>
  <si>
    <t>2-Tuna (small t.)</t>
  </si>
  <si>
    <t>3-Tuna (other sp.)</t>
  </si>
  <si>
    <t>4-Sharks (major sp.)</t>
  </si>
  <si>
    <t>5-Sharks (other sp.)</t>
  </si>
  <si>
    <t>CYW</t>
  </si>
  <si>
    <t xml:space="preserve">Centroscymnus owstonii </t>
  </si>
  <si>
    <t>Roughskin dogfish</t>
  </si>
  <si>
    <t>Pailona rapeux</t>
  </si>
  <si>
    <t>Sapata lija</t>
  </si>
  <si>
    <t>ETU</t>
  </si>
  <si>
    <t>Lined lanternshark</t>
  </si>
  <si>
    <t>Sagre chien</t>
  </si>
  <si>
    <t>Tollo lucero rayado</t>
  </si>
  <si>
    <t>EUP</t>
  </si>
  <si>
    <t xml:space="preserve">pygmy shark </t>
  </si>
  <si>
    <t>Squale pygmée</t>
  </si>
  <si>
    <t>Tollo pigmeo</t>
  </si>
  <si>
    <t>EUZ</t>
  </si>
  <si>
    <t xml:space="preserve">taillight shark </t>
  </si>
  <si>
    <t>Squale à queue claire</t>
  </si>
  <si>
    <t>Tollo rabo claro</t>
  </si>
  <si>
    <t>HXN</t>
  </si>
  <si>
    <t xml:space="preserve">bigeye sixgill shark </t>
  </si>
  <si>
    <t>Requin-vache</t>
  </si>
  <si>
    <t>Cañabota ojigrande</t>
  </si>
  <si>
    <t>ISP</t>
  </si>
  <si>
    <t xml:space="preserve">largetooth cookiecutter shark </t>
  </si>
  <si>
    <t>Squalelet dentu</t>
  </si>
  <si>
    <t>Tollo cigarro dentón</t>
  </si>
  <si>
    <t>LMO</t>
  </si>
  <si>
    <t xml:space="preserve">goblin shark </t>
  </si>
  <si>
    <t>Requin lutin</t>
  </si>
  <si>
    <t>Tiburón duende</t>
  </si>
  <si>
    <t>RMA</t>
  </si>
  <si>
    <t>SDH</t>
  </si>
  <si>
    <t>Deania histricosa</t>
  </si>
  <si>
    <t>Rough longnose dogfish</t>
  </si>
  <si>
    <t>Squale-savate rude</t>
  </si>
  <si>
    <t>Tollo raspa</t>
  </si>
  <si>
    <t>SDU</t>
  </si>
  <si>
    <t>Arrowhead dogfish</t>
  </si>
  <si>
    <t>Squale-savate lutin</t>
  </si>
  <si>
    <t>Tollo flecha</t>
  </si>
  <si>
    <t>SKH</t>
  </si>
  <si>
    <t>Selachimorpha (Pleurotremata)</t>
  </si>
  <si>
    <t>Various sharks nei</t>
  </si>
  <si>
    <t>Requins divers nca</t>
  </si>
  <si>
    <t>Escualos diversos nep</t>
  </si>
  <si>
    <t>6-Superorder</t>
  </si>
  <si>
    <t>6-Teleosts</t>
  </si>
  <si>
    <t>7-Turtles</t>
  </si>
  <si>
    <t>8-Seabirds</t>
  </si>
  <si>
    <t>9-Mammals</t>
  </si>
  <si>
    <t>Table. Content types</t>
  </si>
  <si>
    <t>Content</t>
  </si>
  <si>
    <t>ContentDescript</t>
  </si>
  <si>
    <t>New (FULL)</t>
  </si>
  <si>
    <t>New data (never reported to ICCAT): FULL coverage</t>
  </si>
  <si>
    <t>New (PARTIAL)</t>
  </si>
  <si>
    <t>New data (never reported to ICCAT): PARTIAL coverage</t>
  </si>
  <si>
    <t>Revision (FULL)</t>
  </si>
  <si>
    <t>Revised data (FULL): to fully replace the previously reported data</t>
  </si>
  <si>
    <t>Revision (PARTIAL)</t>
  </si>
  <si>
    <t>Revised data (PARTIAL): to partially replace the previously reported data</t>
  </si>
  <si>
    <t>VersionDescript</t>
  </si>
  <si>
    <t>Final</t>
  </si>
  <si>
    <t>Final estimations (no changes expected)</t>
  </si>
  <si>
    <t>Preliminary estimates (changes expected)</t>
  </si>
  <si>
    <t>GearGrpName</t>
  </si>
  <si>
    <t>Gillnets</t>
  </si>
  <si>
    <t>Traps</t>
  </si>
  <si>
    <t>Handlines</t>
  </si>
  <si>
    <t>Baitboats</t>
  </si>
  <si>
    <t>Longlines</t>
  </si>
  <si>
    <t>Various gears (OR multi-purpose)</t>
  </si>
  <si>
    <t>Other (described in notes)</t>
  </si>
  <si>
    <t>S00</t>
  </si>
  <si>
    <t>Title</t>
  </si>
  <si>
    <t>Titre</t>
  </si>
  <si>
    <t>Título</t>
  </si>
  <si>
    <t>Peso (kg)</t>
  </si>
  <si>
    <t>Vivants (DL)</t>
  </si>
  <si>
    <t>Morts (DD)</t>
  </si>
  <si>
    <t>hFname</t>
  </si>
  <si>
    <t>Composition des captures par opération de pêche</t>
  </si>
  <si>
    <t>Rejetés (Nombre)</t>
  </si>
  <si>
    <t>Integer</t>
  </si>
  <si>
    <t xml:space="preserve">Poids (kg) </t>
  </si>
  <si>
    <t>Fleet attributes</t>
  </si>
  <si>
    <t>OrderID</t>
  </si>
  <si>
    <t>tVersion</t>
  </si>
  <si>
    <t>tLang</t>
  </si>
  <si>
    <t>FormID</t>
  </si>
  <si>
    <t>SubFormID</t>
  </si>
  <si>
    <t>ST09</t>
  </si>
  <si>
    <t>ST09A</t>
  </si>
  <si>
    <t>Always use the lastest version of this form</t>
  </si>
  <si>
    <t>Utiliser toujours la dernière version de ce formulaire</t>
  </si>
  <si>
    <t>Utilice siempre la última versión de este formulario</t>
  </si>
  <si>
    <t>Choose the language (ENG, FRA, ESP) for form translation</t>
  </si>
  <si>
    <t>Choisir la langue (ENG, FRA, ESP) pour la traduction du formulaire</t>
  </si>
  <si>
    <t>ST09B</t>
  </si>
  <si>
    <t>Name (full OR Name &amp; Surname) of the Statistical Correspondent (officially nominated by the CPC)</t>
  </si>
  <si>
    <t>Nom (complet OU Prénom et Nom) du correspondant statistique (officiellement désigné par la CPC)</t>
  </si>
  <si>
    <t>Nombre (completo o nombre y apellido) del Corresponsal estadístico designado oficialmente por la CPC</t>
  </si>
  <si>
    <t>Telephone number of the Statistical Correspondent</t>
  </si>
  <si>
    <t>Numéro de téléphone du correspondant statistique</t>
  </si>
  <si>
    <t>Número de teléfono del corresponsal estadístico</t>
  </si>
  <si>
    <t>Department within the Institution, where applicable</t>
  </si>
  <si>
    <t>Département au sein de l'institution, le cas échéant</t>
  </si>
  <si>
    <t>Departamento dentro de la institución, si procede</t>
  </si>
  <si>
    <t>Postal address of the institution (street, number, city, state)</t>
  </si>
  <si>
    <t>Adresse postale de l'institution (rue, numéro, ville, État)</t>
  </si>
  <si>
    <t>Dirección postal de la institución (calle, número, ciudad, estado)</t>
  </si>
  <si>
    <t>Country in which the Institution is based</t>
  </si>
  <si>
    <t>Pays dans lequel l'institution est basée</t>
  </si>
  <si>
    <t>País en el que tiene su sede la institución</t>
  </si>
  <si>
    <t>Specify if this submission is Preliminary (subject to revision) or Final (already validated)</t>
  </si>
  <si>
    <t>Préciser si cette soumission est préliminaire (sujette à révision) ou finale (déjà validée)</t>
  </si>
  <si>
    <t>Especificar si la presentación es preliminar (sujeta a revisión) o final (ya validada)</t>
  </si>
  <si>
    <t>Envoyer le formulaire à l'ICCAT avec le nom du fichier proposé (si nécessaire, ajouter un suffixe d'ID à la fin)</t>
  </si>
  <si>
    <t>Email address of the Statistical Correspondent</t>
  </si>
  <si>
    <t>Adresse email du correspondant statistique</t>
  </si>
  <si>
    <t>Dirección de correo electrónico del corresponsal estadístico</t>
  </si>
  <si>
    <t>Institute (ministry, agency, research Institute, etc.) to which the Statistical Correspondent is affiliated</t>
  </si>
  <si>
    <t>Institution (ministère, agence, institut de recherche, etc.) à laquelle le correspondant statistique est affilié</t>
  </si>
  <si>
    <t>Institución (Ministerio, Agencia, instituto de investigación, etc.) al que pertenece el corresponsal estadístico</t>
  </si>
  <si>
    <t>Choisir la CPC de pavillon qui déclare les données (code ICCAT)</t>
  </si>
  <si>
    <t>Escoger la CPC del pabellón que comunica los datos (códigos ICCAT)</t>
  </si>
  <si>
    <t>Specify if the overall data content is NEW (full set OR partial set) OR a REVISION (full set OR partial set)</t>
  </si>
  <si>
    <t>Préciser si le contenu global de données est NOUVEAU (ensemble complète OU ensemble partiel) OU une RÉVISION (ensemble complète OU ensemble partiel)</t>
  </si>
  <si>
    <t>Especificar si el contenido general de los datos es NUEVO (conjunto completo O conjunto parcial) O una REVISIÓN (conjunto completo O conjunto parcial)</t>
  </si>
  <si>
    <t>Ajouter des notes additionnelles (complémentaires) en ce qui concerne le jeu de données global (si nécessaire)</t>
  </si>
  <si>
    <t>Añadir notas adicionales (complementarias) para el conjunto de datos global (si se requieren)</t>
  </si>
  <si>
    <t>Choisir le pavillon du navire auquel les données s'appliquent (navire sous pavillon national ou étranger)</t>
  </si>
  <si>
    <t>Gear group (cod)</t>
  </si>
  <si>
    <t>Engin groupe (cód)</t>
  </si>
  <si>
    <t>Arte grupo (cód)</t>
  </si>
  <si>
    <t>SchoolTypeCd</t>
  </si>
  <si>
    <t>Species (cod)</t>
  </si>
  <si>
    <t>Espèce (cod)</t>
  </si>
  <si>
    <t>Especie (cód)</t>
  </si>
  <si>
    <t>Choose the species code (ICCAT codes)</t>
  </si>
  <si>
    <t>Choisir le code d'espèce (codes ICCAT)</t>
  </si>
  <si>
    <t>Escoger el código de especies (códigos ICCAT)</t>
  </si>
  <si>
    <t>Specify the number of individuals captured per species by strata</t>
  </si>
  <si>
    <t>Spécifier le nombre de spécimens capturés par espèce par strate</t>
  </si>
  <si>
    <t>Especificar el número de ejemplares capturado por especie por estrato</t>
  </si>
  <si>
    <t>Provide the total weight of the individuals captured by species and strata</t>
  </si>
  <si>
    <t>Indiquer le poids total des spécimens capturés par espèce et par strate</t>
  </si>
  <si>
    <t>Facilitar el peso total de los ejemplares capturados por especies y estrato</t>
  </si>
  <si>
    <t>Specify the number of individuals discarded alive per species by strata</t>
  </si>
  <si>
    <t>Spécifier le nombre de spécimens rejetés vivants par espèce par strate</t>
  </si>
  <si>
    <t>Specify the number of individuals discarded dead per species by strata</t>
  </si>
  <si>
    <t>Spécifier le nombre de spécimens rejetés morts par espèce par strate</t>
  </si>
  <si>
    <t>Specify the number of individuals sampled per species by strata</t>
  </si>
  <si>
    <t>Spécifier le nombre de spécimens échantillonnés par espèce par strate</t>
  </si>
  <si>
    <t>Select the condition of the individuals at the time of being released</t>
  </si>
  <si>
    <t>Sélectionner l’état des spécimens au moment de leur remise à l’eau</t>
  </si>
  <si>
    <t>Seleccionar la condición de los ejemplares en el momento de ser liberados</t>
  </si>
  <si>
    <t>Recommendation for users with databases: To paste an entire dataset into the Detail section (must have the same structure and format) use "Paste special (values)"</t>
  </si>
  <si>
    <t>Recommandation aux utilisateurs de bases de données : pour copier tout un jeu de données dans la section "Information détaillée" (qui doit avoir les mêmes structure et format), utiliser "Paste special (values)"</t>
  </si>
  <si>
    <t>Laisser en blanc les champs pour lesquels vous ne recueillez pas d'informations</t>
  </si>
  <si>
    <t>Deje en blanco los campos para los que no se ha recopilado información</t>
  </si>
  <si>
    <t>hDateRep</t>
  </si>
  <si>
    <t>Nº buques</t>
  </si>
  <si>
    <t>D30</t>
  </si>
  <si>
    <t>(automatic completion)</t>
  </si>
  <si>
    <t>(remplissage automatique)</t>
  </si>
  <si>
    <t>(cumplimentaciónn automática)</t>
  </si>
  <si>
    <t>D50</t>
  </si>
  <si>
    <t>D40</t>
  </si>
  <si>
    <t>D41</t>
  </si>
  <si>
    <t>D42</t>
  </si>
  <si>
    <t>ST09B (move to)</t>
  </si>
  <si>
    <t>ST09B (passer à)</t>
  </si>
  <si>
    <t>ST09B (pasar a)</t>
  </si>
  <si>
    <t>ST09A (move to)</t>
  </si>
  <si>
    <t>ST09A (passer à)</t>
  </si>
  <si>
    <t>ST09A (pasar a)</t>
  </si>
  <si>
    <t>HookType</t>
  </si>
  <si>
    <t>Table. School types</t>
  </si>
  <si>
    <t>Table. Set depth (hooks per basket)</t>
  </si>
  <si>
    <t>Table. Hook types</t>
  </si>
  <si>
    <t>Table. LL types</t>
  </si>
  <si>
    <t>TimePeriod</t>
  </si>
  <si>
    <t>TPeriodDescrip</t>
  </si>
  <si>
    <t>Monthly</t>
  </si>
  <si>
    <t>Q1[Jan-Mar]</t>
  </si>
  <si>
    <t>Trimester</t>
  </si>
  <si>
    <t>Q2[Apr-Jun]</t>
  </si>
  <si>
    <t>Q3[Jul-Sep]</t>
  </si>
  <si>
    <t>Q4[Oct-Dec]</t>
  </si>
  <si>
    <t>Table. Time periods</t>
  </si>
  <si>
    <t>T. Period (ID)</t>
  </si>
  <si>
    <t>Période t. (ID)</t>
  </si>
  <si>
    <t>Periodo t. (ID)</t>
  </si>
  <si>
    <t>Provide the time period (month: 1-12; quarter: 13-16) for the relevant strata</t>
  </si>
  <si>
    <t>id</t>
  </si>
  <si>
    <t>Ntrip</t>
  </si>
  <si>
    <t xml:space="preserve">Year </t>
  </si>
  <si>
    <t xml:space="preserve">Année </t>
  </si>
  <si>
    <t>Año</t>
  </si>
  <si>
    <t>NoUkn</t>
  </si>
  <si>
    <t>Inconnue</t>
  </si>
  <si>
    <t>Specify the calendar year when the observations occurred</t>
  </si>
  <si>
    <t>Provide the longline type</t>
  </si>
  <si>
    <t>Facilitar el tipo de palangre</t>
  </si>
  <si>
    <t>Indiquer le type de palangre</t>
  </si>
  <si>
    <t>double</t>
  </si>
  <si>
    <t>ST09-DomObPrg</t>
  </si>
  <si>
    <t>Specify the number of individuals of unknown status per species by strata</t>
  </si>
  <si>
    <t>SpecimenID</t>
  </si>
  <si>
    <t>Sex</t>
  </si>
  <si>
    <t>SizeCM</t>
  </si>
  <si>
    <t>WgtKG</t>
  </si>
  <si>
    <t>Weight</t>
  </si>
  <si>
    <t>Released?</t>
  </si>
  <si>
    <t>Libéré?</t>
  </si>
  <si>
    <t>Specify if the fish was released</t>
  </si>
  <si>
    <t>SFL</t>
  </si>
  <si>
    <t>CFL</t>
  </si>
  <si>
    <t>LD1</t>
  </si>
  <si>
    <t>Lower Jaw TO 1st Dorsal Length</t>
  </si>
  <si>
    <t>EYF</t>
  </si>
  <si>
    <t>TLE</t>
  </si>
  <si>
    <t>Total length</t>
  </si>
  <si>
    <t>Other (specified it in notes)</t>
  </si>
  <si>
    <t>Specify the length type</t>
  </si>
  <si>
    <t>Unique specimen ID</t>
  </si>
  <si>
    <t>ID de muestra única</t>
  </si>
  <si>
    <t>ID unique du spécimen</t>
  </si>
  <si>
    <t>Provide the unique specimen ID</t>
  </si>
  <si>
    <t>Sexo</t>
  </si>
  <si>
    <t>Sexe</t>
  </si>
  <si>
    <t>Provide the sex of the specimen (M=male, F=Female, Unk=unknown)</t>
  </si>
  <si>
    <t>Provide the size</t>
  </si>
  <si>
    <t>TagNo</t>
  </si>
  <si>
    <t>Poids (kg)</t>
  </si>
  <si>
    <t>Provide the fish weight in kg</t>
  </si>
  <si>
    <t>Tag number</t>
  </si>
  <si>
    <t>Provide the tag number</t>
  </si>
  <si>
    <t>Proporcionar el numero de la marca</t>
  </si>
  <si>
    <t>Were genetic samples taken for this stratum?</t>
  </si>
  <si>
    <t>SquareRes</t>
  </si>
  <si>
    <t>Table. Spatial Resolution</t>
  </si>
  <si>
    <t>1x1</t>
  </si>
  <si>
    <t>data aggregated into 1x1 resolutionç</t>
  </si>
  <si>
    <t>5x5</t>
  </si>
  <si>
    <t>data aggregated into 5x5 resolution</t>
  </si>
  <si>
    <t>T</t>
  </si>
  <si>
    <t>Tuna hook</t>
  </si>
  <si>
    <t>Mixed hooks</t>
  </si>
  <si>
    <t>Proporcionar la principal especie objetivo para las operaciones de pesca.</t>
  </si>
  <si>
    <t>Provide the main target species for the fishing operations</t>
  </si>
  <si>
    <t>ST09C</t>
  </si>
  <si>
    <t>NF</t>
  </si>
  <si>
    <t>NP</t>
  </si>
  <si>
    <t>RF</t>
  </si>
  <si>
    <t>RP</t>
  </si>
  <si>
    <t>LatLon</t>
  </si>
  <si>
    <t>Exact location (latitude &amp; longitude) in decimal degrees</t>
  </si>
  <si>
    <t>hYearFrom</t>
  </si>
  <si>
    <t>Years covered (from)</t>
  </si>
  <si>
    <t>Années visées (de)</t>
  </si>
  <si>
    <t>Años incluidos (desde)</t>
  </si>
  <si>
    <t>One or more years can be added to the form. Add the first (from) year (4 digits) to which the data relate</t>
  </si>
  <si>
    <t>Une ou plusieurs années peuvent être ajoutées au formulaire. Ajouter la première année (de) (4 chiffres) à laquelle les données correspondent</t>
  </si>
  <si>
    <t>Pueden añadirse uno o más años al formulario. Añadir el primer año (desde, cuatro dígitos) al que conciernen los datos</t>
  </si>
  <si>
    <t>hYearTo</t>
  </si>
  <si>
    <t>(to)</t>
  </si>
  <si>
    <t>(à)</t>
  </si>
  <si>
    <t>(hasta)</t>
  </si>
  <si>
    <t>One or more years can be added to the form. Add the last (to) year (4 digits) to which the data relate</t>
  </si>
  <si>
    <t>Une ou plusieurs années peuvent être ajoutées au formulaire. Ajouter la dernière année (jusqu'à) (4 chiffres) à laquelle les données correspondent</t>
  </si>
  <si>
    <t>Pueden añadirse uno o más años al formulario. Añadir el último año (hasta, cuatro dígitos) al que conciernen los datos</t>
  </si>
  <si>
    <t>FlagCode</t>
  </si>
  <si>
    <t>StatusCPC</t>
  </si>
  <si>
    <t>CZ</t>
  </si>
  <si>
    <t>FIN</t>
  </si>
  <si>
    <t>FI</t>
  </si>
  <si>
    <t>LUX</t>
  </si>
  <si>
    <t>LU</t>
  </si>
  <si>
    <t>SVK</t>
  </si>
  <si>
    <t>SK</t>
  </si>
  <si>
    <t>Bosnia and Herzegovina</t>
  </si>
  <si>
    <t>BIH</t>
  </si>
  <si>
    <t>BA</t>
  </si>
  <si>
    <t>Isle of Man</t>
  </si>
  <si>
    <t>IMN</t>
  </si>
  <si>
    <t>IM</t>
  </si>
  <si>
    <t>Mongolia</t>
  </si>
  <si>
    <t>MNG</t>
  </si>
  <si>
    <t>MN</t>
  </si>
  <si>
    <t>MKD</t>
  </si>
  <si>
    <t>MK</t>
  </si>
  <si>
    <t>SpeciesCode</t>
  </si>
  <si>
    <t>ProdTypeCode</t>
  </si>
  <si>
    <t>HookTypeCode</t>
  </si>
  <si>
    <t>SCRS Filter criteria for acceptance/rejection of the data reported</t>
  </si>
  <si>
    <t>Filter</t>
  </si>
  <si>
    <t>Type</t>
  </si>
  <si>
    <t>Valid set</t>
  </si>
  <si>
    <t>Data must come in one of the valid SCRS electronic forms/Exchange formats</t>
  </si>
  <si>
    <t>global</t>
  </si>
  <si>
    <t>In force</t>
  </si>
  <si>
    <t>Header section must be complete</t>
  </si>
  <si>
    <t>[all fields]</t>
  </si>
  <si>
    <t>Detail section must be filled-in using ICCAT codes</t>
  </si>
  <si>
    <t>In "codes" sheet</t>
  </si>
  <si>
    <t>form specific</t>
  </si>
  <si>
    <t>pending (SCRS)</t>
  </si>
  <si>
    <t>LOACLassCode</t>
  </si>
  <si>
    <t>LOAClass</t>
  </si>
  <si>
    <t>&lt;20</t>
  </si>
  <si>
    <t>[20,30[</t>
  </si>
  <si>
    <t>[30,40[</t>
  </si>
  <si>
    <t>[40,50[</t>
  </si>
  <si>
    <t>[50,60[</t>
  </si>
  <si>
    <t>LOA &lt; 20 m</t>
  </si>
  <si>
    <t>[60,70[</t>
  </si>
  <si>
    <t>&gt;70</t>
  </si>
  <si>
    <t>20 m &lt;= LOA &lt; 30 m</t>
  </si>
  <si>
    <t>30 m &lt;= LOA &lt; 40 m</t>
  </si>
  <si>
    <t>40 m &lt;= LOA &lt; 50 m</t>
  </si>
  <si>
    <t>50 m &lt;= LOA &lt; 60 m</t>
  </si>
  <si>
    <t>60 m &lt;= LOA &lt; 70 m</t>
  </si>
  <si>
    <t>LOA &gt;70 m</t>
  </si>
  <si>
    <t>Table. Length classes (LOA) in meters</t>
  </si>
  <si>
    <t>Qatar</t>
  </si>
  <si>
    <t>QAT</t>
  </si>
  <si>
    <t>QA</t>
  </si>
  <si>
    <t>ST09C (move to)</t>
  </si>
  <si>
    <t>ST09C (passer à)</t>
  </si>
  <si>
    <t>ST09C (pasar a)</t>
  </si>
  <si>
    <t>D11</t>
  </si>
  <si>
    <t>D12</t>
  </si>
  <si>
    <t>D21</t>
  </si>
  <si>
    <t>D31</t>
  </si>
  <si>
    <t>Identificateur de l'échantillon</t>
  </si>
  <si>
    <t>D60</t>
  </si>
  <si>
    <t>D61</t>
  </si>
  <si>
    <t>D62</t>
  </si>
  <si>
    <t>D70</t>
  </si>
  <si>
    <t>D71</t>
  </si>
  <si>
    <t>Were any otoliths sampled for this stratum (Y/N)?</t>
  </si>
  <si>
    <t>Des otolithes ont-ils été échantillonnés pour cette strate (O/N)?</t>
  </si>
  <si>
    <t>¿Se tomaron muestras de otolitos para este estrato (S/N)?</t>
  </si>
  <si>
    <t>Were stomach contents sampled for this stratum (Y/N)?</t>
  </si>
  <si>
    <t>Des contenus stomacaux ont-ils été échantillonnés pour cette strate (O/N)?</t>
  </si>
  <si>
    <t>¿Se tomaron muestras de contenidos estomacales para este estrato (S/N)?</t>
  </si>
  <si>
    <t>Were gonads sampled for this stratum (Y/N)?</t>
  </si>
  <si>
    <t>Des gonades ont-elles été échantillonnées pour cette strate (O/N)?</t>
  </si>
  <si>
    <t>¿Se tomaron muestras de gónadas para este estrato (S/N)?</t>
  </si>
  <si>
    <t xml:space="preserve">ST09 </t>
  </si>
  <si>
    <t>Kajikia albida</t>
  </si>
  <si>
    <t xml:space="preserve">Inshore manta ray </t>
  </si>
  <si>
    <t>Mobula japonica</t>
  </si>
  <si>
    <t>hFlagRep</t>
  </si>
  <si>
    <t>YearC</t>
  </si>
  <si>
    <t>btnST09B</t>
  </si>
  <si>
    <t>btnST09A</t>
  </si>
  <si>
    <t>btnST09C</t>
  </si>
  <si>
    <t>LatCtd</t>
  </si>
  <si>
    <t>LonCtd</t>
  </si>
  <si>
    <t>NoFishOpsObs</t>
  </si>
  <si>
    <t>ST09B/C</t>
  </si>
  <si>
    <t>H41</t>
  </si>
  <si>
    <t>hCoverRatio</t>
  </si>
  <si>
    <t>Other (specified in Notes)</t>
  </si>
  <si>
    <t>Pêcheries surveillées / couverture</t>
  </si>
  <si>
    <t>Fisheries monitored / coverage</t>
  </si>
  <si>
    <t>Pesquerías monitoreadas / cobertura</t>
  </si>
  <si>
    <t>H42</t>
  </si>
  <si>
    <t>ST09A/C</t>
  </si>
  <si>
    <t>ST09A/B</t>
  </si>
  <si>
    <t>Fishing operations &amp; fleets</t>
  </si>
  <si>
    <t>FO group ID</t>
  </si>
  <si>
    <t>OP groupe ID</t>
  </si>
  <si>
    <t>Fish. Oper. (FO)</t>
  </si>
  <si>
    <t>Opér. Pêche (OP)</t>
  </si>
  <si>
    <t>Oper. Pesca (OP)</t>
  </si>
  <si>
    <t>Year, month/trimester</t>
  </si>
  <si>
    <t>Année, mois/trimester</t>
  </si>
  <si>
    <t>Año, mes/trimester</t>
  </si>
  <si>
    <t>LLTypeCd</t>
  </si>
  <si>
    <t>LOAClassCd</t>
  </si>
  <si>
    <t>Longline (LL) only</t>
  </si>
  <si>
    <t>Palangre (LL) uniquement</t>
  </si>
  <si>
    <t>Palangre (LL) solamente</t>
  </si>
  <si>
    <t>All fishing gears</t>
  </si>
  <si>
    <t>Tous les engins de pêche</t>
  </si>
  <si>
    <t>Todos los artes de pesca</t>
  </si>
  <si>
    <t>rowItem</t>
  </si>
  <si>
    <t>Espèce (majeur)</t>
  </si>
  <si>
    <t>Especies (principal)</t>
  </si>
  <si>
    <t>Seabirds</t>
  </si>
  <si>
    <t>Table. Set type</t>
  </si>
  <si>
    <t>FOperTypeCode</t>
  </si>
  <si>
    <t>FishOperationType</t>
  </si>
  <si>
    <t>School type (cod)</t>
  </si>
  <si>
    <t>D80</t>
  </si>
  <si>
    <t>D81</t>
  </si>
  <si>
    <t>NoHooksTot</t>
  </si>
  <si>
    <t>NoHooksObs</t>
  </si>
  <si>
    <t>Nº hooks (total)</t>
  </si>
  <si>
    <t>Nº d’hameçons (total)</t>
  </si>
  <si>
    <t>Nº anzuelos (total)</t>
  </si>
  <si>
    <t>No. hooks (observed)</t>
  </si>
  <si>
    <t>Nº hameçons (observés)</t>
  </si>
  <si>
    <t>Nº anzuelos (observados)</t>
  </si>
  <si>
    <t>SchoolTypeCode</t>
  </si>
  <si>
    <t>OTH1</t>
  </si>
  <si>
    <t>OTH2</t>
  </si>
  <si>
    <t>Other 1 (specified in Notes)</t>
  </si>
  <si>
    <t>Other 2 (specified in Notes)</t>
  </si>
  <si>
    <t>Streamer lines (used)</t>
  </si>
  <si>
    <t>MitMeasCode</t>
  </si>
  <si>
    <t>Mitigation measures</t>
  </si>
  <si>
    <t>RUST</t>
  </si>
  <si>
    <t>RUSB</t>
  </si>
  <si>
    <t>RUSK</t>
  </si>
  <si>
    <t>RUSM</t>
  </si>
  <si>
    <t>Sea turtles (unharmed) promptly released</t>
  </si>
  <si>
    <t>Seabirds (unharmed) promptly release</t>
  </si>
  <si>
    <t>Sharks (unharmed) promptly release</t>
  </si>
  <si>
    <t>Sea mammals (unharmed) promptly release</t>
  </si>
  <si>
    <t>ULCH</t>
  </si>
  <si>
    <t>UWFB</t>
  </si>
  <si>
    <t>UWBL</t>
  </si>
  <si>
    <t>Weighted branchlines (used)</t>
  </si>
  <si>
    <t>Seabird scaring lines (used)</t>
  </si>
  <si>
    <t>UBSL</t>
  </si>
  <si>
    <t>USTL</t>
  </si>
  <si>
    <t>large circle hooks (used)</t>
  </si>
  <si>
    <t>FONS</t>
  </si>
  <si>
    <t>NONE</t>
  </si>
  <si>
    <t>(none used)</t>
  </si>
  <si>
    <t>Oiseaux de mer</t>
  </si>
  <si>
    <t>Aves marinas</t>
  </si>
  <si>
    <t>Mitigation measures (MM) on bycatch species</t>
  </si>
  <si>
    <t>Medidas de mitigación (MM) en captura incidental</t>
  </si>
  <si>
    <t>Mesures d'atténuation (MA) sur les prises accessoires</t>
  </si>
  <si>
    <t>MM 1</t>
  </si>
  <si>
    <t>MM 2</t>
  </si>
  <si>
    <t>MA 1</t>
  </si>
  <si>
    <t>MA 2</t>
  </si>
  <si>
    <t>MM1sb</t>
  </si>
  <si>
    <t>MM2sb</t>
  </si>
  <si>
    <t>MM3ot</t>
  </si>
  <si>
    <t>MM 3</t>
  </si>
  <si>
    <t>MA 3</t>
  </si>
  <si>
    <t>Whole finfish bait (used)</t>
  </si>
  <si>
    <t>Night setting (fishing operation)</t>
  </si>
  <si>
    <t>new</t>
  </si>
  <si>
    <t>optional</t>
  </si>
  <si>
    <t>Description (MM)</t>
  </si>
  <si>
    <t>Descripción (MM)</t>
  </si>
  <si>
    <t>MMdescrip</t>
  </si>
  <si>
    <t>Fish Oper. Type (cod)</t>
  </si>
  <si>
    <t>btnNav</t>
  </si>
  <si>
    <t>Catches (retained)</t>
  </si>
  <si>
    <t>Captures (retenue)</t>
  </si>
  <si>
    <t>Capturas (retenidas)</t>
  </si>
  <si>
    <t>Descartes (Número)</t>
  </si>
  <si>
    <t>Discards (Number)</t>
  </si>
  <si>
    <t>CatchWkg</t>
  </si>
  <si>
    <t>D90</t>
  </si>
  <si>
    <t>D91</t>
  </si>
  <si>
    <t>D92</t>
  </si>
  <si>
    <t>FOpGrpCdA</t>
  </si>
  <si>
    <t>FOpGrpCdB</t>
  </si>
  <si>
    <t>FOpGrpCdC</t>
  </si>
  <si>
    <t>MMCode (old)</t>
  </si>
  <si>
    <t>Table. Gear group (ICCAT)</t>
  </si>
  <si>
    <t>GearGrpCode</t>
  </si>
  <si>
    <t>Purse seines</t>
  </si>
  <si>
    <t>Trawls</t>
  </si>
  <si>
    <t>GearCode</t>
  </si>
  <si>
    <t>Code</t>
  </si>
  <si>
    <t>Not applicable</t>
  </si>
  <si>
    <t>set</t>
  </si>
  <si>
    <t>haul</t>
  </si>
  <si>
    <t>other</t>
  </si>
  <si>
    <t>Set type used for gear of type seines, lines, gillnets</t>
  </si>
  <si>
    <t>Haul type (usually trawls)</t>
  </si>
  <si>
    <t>HookTypCd</t>
  </si>
  <si>
    <t>LL type</t>
  </si>
  <si>
    <t>Hook type (main)</t>
  </si>
  <si>
    <t>Type d'hameçon (majeur)</t>
  </si>
  <si>
    <t>Tipo anzuelo (principal)</t>
  </si>
  <si>
    <t>M</t>
  </si>
  <si>
    <t>JH</t>
  </si>
  <si>
    <t>Fish Aggregating Devices (PS mostly)</t>
  </si>
  <si>
    <t>Free School (PS mostly)</t>
  </si>
  <si>
    <t>CovCode</t>
  </si>
  <si>
    <t>old code</t>
  </si>
  <si>
    <t>Other bycatch</t>
  </si>
  <si>
    <t>Autres prises accessoires</t>
  </si>
  <si>
    <t>Otras capturas incidentales</t>
  </si>
  <si>
    <t>TargetYN</t>
  </si>
  <si>
    <t>U</t>
  </si>
  <si>
    <t>Specimen Identifier</t>
  </si>
  <si>
    <t>D51</t>
  </si>
  <si>
    <t>D52</t>
  </si>
  <si>
    <t>D63</t>
  </si>
  <si>
    <t>D64</t>
  </si>
  <si>
    <t>D65</t>
  </si>
  <si>
    <t>ProdTypCd</t>
  </si>
  <si>
    <t>Product type (cod)</t>
  </si>
  <si>
    <t>Type de produit (cod)</t>
  </si>
  <si>
    <t>Tipo de producto (cód)</t>
  </si>
  <si>
    <t>For each species choose type of product (round weight, dressed weight, etc.) of the catch reported (ICCAT code)</t>
  </si>
  <si>
    <t>Choisir, pour chaque espèce, le type de produit (poids vif, poids manipulé, etc.) de la capture déclarée (code ICCAT)</t>
  </si>
  <si>
    <t>Escoger, para cada especie, el tipo de producto (peso vivo, peso canal, etc.) de la captura comunicada (código ICCAT)</t>
  </si>
  <si>
    <t>Sampling (data)</t>
  </si>
  <si>
    <t>Échantillonnage (données)</t>
  </si>
  <si>
    <t>Muestreo (datos)</t>
  </si>
  <si>
    <t>D82</t>
  </si>
  <si>
    <t>D83</t>
  </si>
  <si>
    <t>D84</t>
  </si>
  <si>
    <t>Biological data (observed)</t>
  </si>
  <si>
    <t>Talla</t>
  </si>
  <si>
    <t>Poids</t>
  </si>
  <si>
    <t>Peso</t>
  </si>
  <si>
    <t>Length (cm)</t>
  </si>
  <si>
    <t>WgtTypCd</t>
  </si>
  <si>
    <t>Identificador de la muestra</t>
  </si>
  <si>
    <t>Specimens &amp; fishing operations (FO)</t>
  </si>
  <si>
    <t>Spécimens &amp; opérations de pêche (OP)</t>
  </si>
  <si>
    <t>Ejemplares y operaciones de pesca (OP)</t>
  </si>
  <si>
    <t>SpcCdC</t>
  </si>
  <si>
    <t>SpcCdB</t>
  </si>
  <si>
    <t>SexCd</t>
  </si>
  <si>
    <t>SzClassCd</t>
  </si>
  <si>
    <t>Size</t>
  </si>
  <si>
    <t>Taille</t>
  </si>
  <si>
    <t>Données biologiques (observées)</t>
  </si>
  <si>
    <t>Datos biológicos (observados)</t>
  </si>
  <si>
    <t>Sex (cod)</t>
  </si>
  <si>
    <t>Sexe (cod)</t>
  </si>
  <si>
    <t>Sexo (cód)</t>
  </si>
  <si>
    <t>Type Oper. Pêche  (cod)</t>
  </si>
  <si>
    <t>Tipo Oper. Pesca (cód)</t>
  </si>
  <si>
    <t>D53</t>
  </si>
  <si>
    <t>Additional notes</t>
  </si>
  <si>
    <t>Notas adicionales</t>
  </si>
  <si>
    <t>Notes complémentaires</t>
  </si>
  <si>
    <t>Square type (cod)</t>
  </si>
  <si>
    <t>Type carré (code)</t>
  </si>
  <si>
    <t>Tipo cuadrícula (código)</t>
  </si>
  <si>
    <t>Nº vessels</t>
  </si>
  <si>
    <t>Nº navires</t>
  </si>
  <si>
    <t>shallow</t>
  </si>
  <si>
    <t>medium</t>
  </si>
  <si>
    <t>deep</t>
  </si>
  <si>
    <t>GridResolution</t>
  </si>
  <si>
    <t>GridResolCode</t>
  </si>
  <si>
    <t>F</t>
  </si>
  <si>
    <t>I</t>
  </si>
  <si>
    <t>SexCode</t>
  </si>
  <si>
    <t>Male</t>
  </si>
  <si>
    <t>Female</t>
  </si>
  <si>
    <t>Immature</t>
  </si>
  <si>
    <t>Table. Sex (gender)</t>
  </si>
  <si>
    <t>AP</t>
  </si>
  <si>
    <t>AM</t>
  </si>
  <si>
    <t>AS</t>
  </si>
  <si>
    <t>UN</t>
  </si>
  <si>
    <t>Temporal attributes</t>
  </si>
  <si>
    <t>Geographical attributes</t>
  </si>
  <si>
    <t>Attributs  temporels</t>
  </si>
  <si>
    <t>Attributs géographiques</t>
  </si>
  <si>
    <t>Atributos temporales</t>
  </si>
  <si>
    <t>Atributos geográficos</t>
  </si>
  <si>
    <t>Effort attributes</t>
  </si>
  <si>
    <t>Attributs d'effort</t>
  </si>
  <si>
    <t>Atributos de esfuerzo</t>
  </si>
  <si>
    <t>StomacYN</t>
  </si>
  <si>
    <t xml:space="preserve">NONE available </t>
  </si>
  <si>
    <t>waiting SCRS</t>
  </si>
  <si>
    <t>?</t>
  </si>
  <si>
    <t>Tipo banco (cód)</t>
  </si>
  <si>
    <t>Type banc (cód)</t>
  </si>
  <si>
    <t>Lat (centroid)
(± dd.ddd)</t>
  </si>
  <si>
    <t>Lat (centroïde)
(± dd.ddd)</t>
  </si>
  <si>
    <t>Lon (centroid)
(± dd.ddd)</t>
  </si>
  <si>
    <t>Lon (centroïde) 
(± dd.ddd)</t>
  </si>
  <si>
    <t>Choose the Fishing Operation type</t>
  </si>
  <si>
    <t>Attributs flotille</t>
  </si>
  <si>
    <t>Atributos flota</t>
  </si>
  <si>
    <t>Type longueur (cod)</t>
  </si>
  <si>
    <t>Size class type (cod)</t>
  </si>
  <si>
    <t>LenTypeCode</t>
  </si>
  <si>
    <t>LenType</t>
  </si>
  <si>
    <t>Table. Size frequency types</t>
  </si>
  <si>
    <t>Table. Product types (weight form)</t>
  </si>
  <si>
    <t>Observations</t>
  </si>
  <si>
    <t>SampObs</t>
  </si>
  <si>
    <t>FOpDepthCd</t>
  </si>
  <si>
    <t>FOpDepthCode</t>
  </si>
  <si>
    <t>FOpDepth (basis on Hooks :: proxy)</t>
  </si>
  <si>
    <t>FOpTypeCd</t>
  </si>
  <si>
    <t>T05</t>
  </si>
  <si>
    <t>hObProgYear1</t>
  </si>
  <si>
    <t>Domestic Observer Prog. (summary)</t>
  </si>
  <si>
    <t>Prog. Doméstico Observadores (resumen)</t>
  </si>
  <si>
    <t xml:space="preserve">Prog. Domestique d'Observateurs (résumé) </t>
  </si>
  <si>
    <t>Resolution and position (Lat, Lon)</t>
  </si>
  <si>
    <t>Resolución y posición (Lat, Lon)</t>
  </si>
  <si>
    <t>Résolution et position (Lat, Lon)</t>
  </si>
  <si>
    <t>Choisir le type d'opération de pêche</t>
  </si>
  <si>
    <t>Escoger el idioma (ENG, FRA, ESP) para la traducción del formulario</t>
  </si>
  <si>
    <t>Escoger el tipo de operación de pesca</t>
  </si>
  <si>
    <t>Escoger la 1ª medida de mitigación de aves marinas (si se utilizan las opciones OTH1 / 2, descríbalas en las Notas)</t>
  </si>
  <si>
    <t>Escoger la 2ª medida de mitigación de aves marinas (si se utilizan las opciones OTH1 / 2, descríbalas en las Notas)</t>
  </si>
  <si>
    <t>Choose the 1st seabird mitigation measure (if  OTH1/2 options used, describe them in Notes)</t>
  </si>
  <si>
    <t>Choose the 2nd seabird mitigation measure (if  OTH1/2 options used, describe them in Notes)</t>
  </si>
  <si>
    <t>Condition (external injuries)</t>
  </si>
  <si>
    <t>Condición (lesiones externas)</t>
  </si>
  <si>
    <t>État (blessures externes)</t>
  </si>
  <si>
    <t>Échantillons obtenus</t>
  </si>
  <si>
    <t>Muestras obtenidas</t>
  </si>
  <si>
    <t>Release attributes and others</t>
  </si>
  <si>
    <t>Attributs de libération et autres</t>
  </si>
  <si>
    <t>Atributos de liberación y otros</t>
  </si>
  <si>
    <t>Samples obtained (Y/N)</t>
  </si>
  <si>
    <t>Others</t>
  </si>
  <si>
    <t>Autres</t>
  </si>
  <si>
    <t>Otras</t>
  </si>
  <si>
    <t>InjurSclCode</t>
  </si>
  <si>
    <t>OtolitYN</t>
  </si>
  <si>
    <t>RelYN</t>
  </si>
  <si>
    <t>GenetiYN</t>
  </si>
  <si>
    <t>GonadsYN</t>
  </si>
  <si>
    <t>InjurScCd</t>
  </si>
  <si>
    <t>Table. Injury scale (at release :: as in tagging)</t>
  </si>
  <si>
    <t>InjuryScale</t>
  </si>
  <si>
    <t>Dead (release)</t>
  </si>
  <si>
    <t>Alive: Moderate (superficial injuries)</t>
  </si>
  <si>
    <t>Alive: Perfect (no visual injuries)</t>
  </si>
  <si>
    <t>Alive: Severe (could affect survival)</t>
  </si>
  <si>
    <t>Unknow (undetermined)</t>
  </si>
  <si>
    <t>(old CondCode)</t>
  </si>
  <si>
    <t>Escoger el código del grupo de artes más adecuado</t>
  </si>
  <si>
    <t>C. Rate (CR, %)</t>
  </si>
  <si>
    <t>Taux C. (CR, %)</t>
  </si>
  <si>
    <t>Tasa C. (CR, %)</t>
  </si>
  <si>
    <t>Specify the mean coverage rate (CR in %, where 0 &lt;CR &lt;= 100)</t>
  </si>
  <si>
    <t>Select a "FO group ID" registered in sub-form ST09A</t>
  </si>
  <si>
    <t>Latitude (decimal degrees, N(+), S(-)) as the centroid of the square type chosen (LatLon: exact; 1x1: ±0.5; 5x5: ±2.5)</t>
  </si>
  <si>
    <t>Longitude (decimal degrees, E(+), W(-)) as the centroid of the square type chosen (LatLon: exact; 1x1: ±0.5; 5x5: ±2.5)</t>
  </si>
  <si>
    <t>Choose the vessel size class (LOA)</t>
  </si>
  <si>
    <t>Choisir la classe de taille du navire (LOA)</t>
  </si>
  <si>
    <t>Choose the most appropriate Gear group code</t>
  </si>
  <si>
    <t>Nº Opér. Pêche (observées)</t>
  </si>
  <si>
    <t>Nº Fish. Oper. (observed)</t>
  </si>
  <si>
    <t>Provide the "observed" number of fishing operations (set, hauls, etc.) in the stratum</t>
  </si>
  <si>
    <t>Facilitar el número total de anzuelos utilizados en cada estrato</t>
  </si>
  <si>
    <t>Provide the total number of hooks used on each stratum</t>
  </si>
  <si>
    <t>Provide the number of hooks actually observed on the stratum</t>
  </si>
  <si>
    <t>Select the type of hook used in the majority of the "LL sets" on the stratum</t>
  </si>
  <si>
    <t>Para notas adicionales sobre las medidas de mitigación elegidas (también se usa para describir las opciones "OTH1 / OTH2" si utilizadas)</t>
  </si>
  <si>
    <t>Pour des notes supplémentaires sur les mesures d'atténuation choisies (également utilisées pour décrire les options "OTH1 / OTH2", si utilisées)</t>
  </si>
  <si>
    <t>For additional notes on the mitigation measures chosen (also used to describe options "OTH1/OTH2" if used)</t>
  </si>
  <si>
    <t>Notes supplémentaires sur le spécimen échantillonné</t>
  </si>
  <si>
    <t>Spécifier le type de carré (LatLon, 1x1, 5x5) utilisé dans la résolution géographique</t>
  </si>
  <si>
    <t>Especificar si el pez fue liberado</t>
  </si>
  <si>
    <t>Año (inicio)</t>
  </si>
  <si>
    <t>Année (début)</t>
  </si>
  <si>
    <t>Lesiones (escala)</t>
  </si>
  <si>
    <t>Choose the flag CPC reporting the data (ICCAT codes)</t>
  </si>
  <si>
    <t>Add additional (supplementary) notes to the overall dataset (if needed)</t>
  </si>
  <si>
    <t>Year (begin)</t>
  </si>
  <si>
    <t>Choisir le code du groupe d'engins le plus approprié</t>
  </si>
  <si>
    <t>Préciser le taux de couverture moyen (CR en % où 0 &lt;CR &lt;= 100)</t>
  </si>
  <si>
    <t>Especificar el promedio de tasa de cobertura (CR en %, donde 0 &lt;CR &lt;= 100)</t>
  </si>
  <si>
    <t>ID grupo OP</t>
  </si>
  <si>
    <t>The Fishing Operation (FO) Group unique identifier, is a unique code (free form) used in each row of ST09A (stratum) that characterises one (single FO) or a group of FOs (from 1 or more vessels) with all the corresponding fields of that stratum. This code is then used (chosen) in sub-forms ST09B (catches) and ST09C (samples)</t>
  </si>
  <si>
    <t>L'identificateur unique du groupe d'opérations de pêche (OP) est un code unique (forme libre) utilisé dans chaque ligne du ST09A (strate) qui caractérise une OP (OP unique) ou un groupe d'OP (d'un ou de plusieurs navires) avec tous les champs correspondants de cette strate. Ce code est ensuite utilisé (choisi) dans les sous-formulaires ST09B (captures) et ST09C (échantillons).</t>
  </si>
  <si>
    <t>El identificador único del grupo de operaciones de pesca (OP), es un código único (forma libre) utilizado en cada hilera de ST09A (estrato), que caracteriza a una (OP único) o un grupo de OP (de 1 o más buques) con todos los campos correspondientes de ese estrato. Dicho código se utiliza despúes (se elige) en los subformularios  ST09B (capturas) y ST09C (muestras)</t>
  </si>
  <si>
    <t>Choose the flag of the vessel to which the data apply (whether national or foreign flagged vessel)</t>
  </si>
  <si>
    <t>Escoger el pabellón del buque al que se refieren los datos (ya sea un buque de la CPC o con pabelllón extranjero)</t>
  </si>
  <si>
    <t>Escoger la clase de tamaño del buque (LOA)</t>
  </si>
  <si>
    <t>Spécifier l'année civile au cours de laquelle les observations se sont produites</t>
  </si>
  <si>
    <t>Especificar el año civil en el que se realizaron las observaciones</t>
  </si>
  <si>
    <t>Indiquer la période temporelle (mois: 1-12; trimestre: 13-16) de la strate concernée</t>
  </si>
  <si>
    <t>Facilitar el periodo (mes: 1-12; trimestre: 13-16) para los estratos pertinentes.</t>
  </si>
  <si>
    <t>Specify the square type (LatLon, 1x1, 5x5) used in the geographical resolution</t>
  </si>
  <si>
    <t>Especificar el tipo de cuadrícula (LatLon, 1x1, 5x5) utilizado en la resolución geográfica</t>
  </si>
  <si>
    <t>Latitude (degrés décimaux, N (+), S (-)) comme centroïde du type de carré choisi (LatLon: exact; 1x1: ± 0,5; 5x5: ± 2,5)</t>
  </si>
  <si>
    <t>Latitud (grados decimales, N (+), S (-)) como el centroide del tipo cuadrícula elegido (LatLon: exacto; 1x1: ± 0.5; 5x5: ± 2.5)</t>
  </si>
  <si>
    <t>Longitude (degrés décimaux, E (+), W (-)) comme centroïde du type de carré choisi (LatLon: exact; 1x1: ± 0,5; 5x5: ± 2,5)</t>
  </si>
  <si>
    <t>Longitud (grados decimales, E (+), W (-)) como el centroide del tipo cuadrícula elegido (LatLon: exacto; 1x1: ± 0.5; 5x5: ± 2.5)</t>
  </si>
  <si>
    <t>Provide the number of vessels that are included in the strata as defined in the Fish Operation ID above</t>
  </si>
  <si>
    <t>Indiquer le nombre de navires inclus dans la strate telle que définie dans la rubrique « identifiant de l'opération de pêche » ci-dessus</t>
  </si>
  <si>
    <t>Facilitar el número de buques que están incluidos en el estrato tal y como se han definido en "Identificación de operación de pesca"</t>
  </si>
  <si>
    <t>Nº Oper. pesca (observadas)</t>
  </si>
  <si>
    <t>Indiquer le nombre "observé" d'opérations de pêche (mouillage, coup de filet, etc.) dans la strate</t>
  </si>
  <si>
    <t>Proporcionar el número "observado" de operaciones de pesca (lance, calado, etc.) en el estrato</t>
  </si>
  <si>
    <t>Specify if the FOs were on FAD or free schools (PS only). For all other gears types use school type="n/a".  If "other" is selected, it must be described in field "Notes"</t>
  </si>
  <si>
    <t>Spécifier si les opérations de pêche ont été réalisées sur DCP ou bancs libres (PS uniquement).  Pour tous les autres types d'engins, utiliser le type de banc = "n / a". Si "autre" est sélectionné, il doit être décrit dans le champ "Notes"</t>
  </si>
  <si>
    <t>Especificar si las OP fueron sobre DCP o banco libre (solo PS). Para todos las demás artes utilizar tipo de banco = "n / a". Si se selecciona "otros", debe describirse en el campo "Notas"</t>
  </si>
  <si>
    <t>Tipo LL</t>
  </si>
  <si>
    <t>Indiquer le nombre total d'hameçons utilisés dans chaque strate</t>
  </si>
  <si>
    <t>Indiquer le nombre d'hameçons réellement observés dans la strate</t>
  </si>
  <si>
    <t>Facilitar el número de anzuelos observados realmente en el estrato</t>
  </si>
  <si>
    <t>Sélectionner le type d'hameçon utilisé dans la majorité des "opérations LL" de la strate</t>
  </si>
  <si>
    <t>Seleccionar el tipo de anzuelo utilizado en la mayoría de los "calados LL" en el estrato</t>
  </si>
  <si>
    <t>Choose the mean depth (class) of the Fishing Operation (FO) group that best matches your case (proxy ~ number of hooks/basket)</t>
  </si>
  <si>
    <t>Choisir la profondeur (classe) moyenne du groupe d'opérations de pêche (OP) qui correspond le mieux à votre cas (approximation ~ nombre d'hameçons / panier)</t>
  </si>
  <si>
    <t>Escoger la profundidad (clase) media del grupo de operaciones de pesca (FO) que mejor se adapte a su caso (aproximación ~ número de anzuelos / canasta)</t>
  </si>
  <si>
    <t>Choisir la 1ère mesure d'atténuation des oiseaux de mer (si les options OTH1/2 sont utilisées, les décrire dans les notes)</t>
  </si>
  <si>
    <t>Choisir la 2e mesure d'atténuation des oiseaux de mer (si les options OTH1/2 sont utilisées, les décrire dans les notes)</t>
  </si>
  <si>
    <t>Choose a generic bycatch mitigation measure (if OTH1/2 options used, describe them in Notes)</t>
  </si>
  <si>
    <t>Choisir une mesure générique d'atténuation des prises accessoires (si les options OTH1/2 sont utilisées, les décrire dans les notes)</t>
  </si>
  <si>
    <t>Sélectionner un identifiant du groupe d'OP enregistré dans le sous-formulaire ST09A</t>
  </si>
  <si>
    <t>Seleccionar el "ID de grupo de OP" consignado en el subformulario ST09A</t>
  </si>
  <si>
    <t>Targeted (Y/N)?</t>
  </si>
  <si>
    <t>Indiquer la principale espèce ciblée pour les opérations de pêche</t>
  </si>
  <si>
    <t>Número</t>
  </si>
  <si>
    <t>Muertos (DD)</t>
  </si>
  <si>
    <t>Especificar el número de ejemplares descartados muertos por especie y por estrato</t>
  </si>
  <si>
    <t>Vivos (DL)</t>
  </si>
  <si>
    <t>Especificar el número de ejemplares descartados vivos por especie y por estrato</t>
  </si>
  <si>
    <t>Desconocido</t>
  </si>
  <si>
    <t>Spécifier le nombre de spécimens d'état inconnu par espèce par strate</t>
  </si>
  <si>
    <t>Especificar el número de ejemplares cuyo estado se desconoce por especie por estrato</t>
  </si>
  <si>
    <t>Nº sampled</t>
  </si>
  <si>
    <t>Nº échantillonnés</t>
  </si>
  <si>
    <t>Nº muestreado</t>
  </si>
  <si>
    <t>Especificar el número de ejemplares muestreados por especie y por estrato</t>
  </si>
  <si>
    <t>Indiquer l'identifiant unique du spécimen</t>
  </si>
  <si>
    <t>Proporcionar la identificación de muestra única</t>
  </si>
  <si>
    <t>OP grupo  ID</t>
  </si>
  <si>
    <t>Select the FO group ID first registered in sub-form ST09A</t>
  </si>
  <si>
    <t>Sélectionner le premier identifiant du groupe d'OP enregistré dans le sous-formulaire ST09A</t>
  </si>
  <si>
    <t>Seleccionar el  "ID de grupo OP" consignado en el subformulario ST09A</t>
  </si>
  <si>
    <t>Indiquer le sexe du spécimen (M = mâle, F = femelle, Unk = inconnu)</t>
  </si>
  <si>
    <t>Proporcionar el sexo del ejemplar (M = masculino, F = femenino, Unk = desconocido)</t>
  </si>
  <si>
    <t>Taille (cm)</t>
  </si>
  <si>
    <t>Talla (cm)</t>
  </si>
  <si>
    <t>Indiquer la taille</t>
  </si>
  <si>
    <t>Proporcionar la talla</t>
  </si>
  <si>
    <t>Tipo talla (cód)</t>
  </si>
  <si>
    <t>Spécifier le type de longueur</t>
  </si>
  <si>
    <t>Especificar el tipo de talla</t>
  </si>
  <si>
    <t>Indiquer le poids du poisson en kg</t>
  </si>
  <si>
    <t>Proporcionar el peso de los peces en kg</t>
  </si>
  <si>
    <t>Genetics?</t>
  </si>
  <si>
    <t>Otoliths?</t>
  </si>
  <si>
    <t>Otolitos?</t>
  </si>
  <si>
    <t>Stomach?</t>
  </si>
  <si>
    <t>Gonads?</t>
  </si>
  <si>
    <t>Gónadas?</t>
  </si>
  <si>
    <t>Liberado?</t>
  </si>
  <si>
    <t>Préciser si le poisson a été libéré</t>
  </si>
  <si>
    <t>Numéro marque</t>
  </si>
  <si>
    <t>Número marca</t>
  </si>
  <si>
    <t>Indiquer le numéro de la marque</t>
  </si>
  <si>
    <t>Comentarios</t>
  </si>
  <si>
    <t xml:space="preserve">Additional notes on the specimen sampled </t>
  </si>
  <si>
    <t>Comentarios adicionales sobre el ejemplar muestreado</t>
  </si>
  <si>
    <t>Escoger una medida genérica de mitigación de captura fortuita (si se usaron opciones OTH1 / 2, descríbalas en las Notas)</t>
  </si>
  <si>
    <t>Génétiques?</t>
  </si>
  <si>
    <t>Otolithes?</t>
  </si>
  <si>
    <t>Stomacaux?</t>
  </si>
  <si>
    <t>Gonades?</t>
  </si>
  <si>
    <t>Genéticas?</t>
  </si>
  <si>
    <t>Estomacales?</t>
  </si>
  <si>
    <t>Type produit (cod)</t>
  </si>
  <si>
    <t>Tipo producto (cód)</t>
  </si>
  <si>
    <t>Opérations pêche et flottes</t>
  </si>
  <si>
    <t>Operaciones pesca y flotas</t>
  </si>
  <si>
    <t>OP grupo ID</t>
  </si>
  <si>
    <t>Vessel (size class)</t>
  </si>
  <si>
    <t>Navire (classe taille)</t>
  </si>
  <si>
    <t>Barco (clase tamaño)</t>
  </si>
  <si>
    <t>Description (MA)</t>
  </si>
  <si>
    <t>Composición de la captura por pesca</t>
  </si>
  <si>
    <t>Species (attributes)</t>
  </si>
  <si>
    <t>Espèces (attributs)</t>
  </si>
  <si>
    <t>Especie (atributos)</t>
  </si>
  <si>
    <t>Injuries (scale)</t>
  </si>
  <si>
    <t>Blessures (échelle)</t>
  </si>
  <si>
    <t>Task 3 - Domestic Observer's Programme</t>
  </si>
  <si>
    <t>Tâche 3 - Programme d'observateurs nationaux</t>
  </si>
  <si>
    <t>Tarea 3 - Programa de observadores de la CPC</t>
  </si>
  <si>
    <t>Table. Gears</t>
  </si>
  <si>
    <t>GearGroup</t>
  </si>
  <si>
    <t>Longline</t>
  </si>
  <si>
    <t>Longline: Bottom or Deep longliners</t>
  </si>
  <si>
    <t>Longline: Targetting sharks (BSH &amp; SMA)</t>
  </si>
  <si>
    <t>Longline: Surface</t>
  </si>
  <si>
    <t>Longline: Targetting ALB</t>
  </si>
  <si>
    <t>LLAMS</t>
  </si>
  <si>
    <t>Longline: American style</t>
  </si>
  <si>
    <t>Longline: Targetting BFT</t>
  </si>
  <si>
    <t>Longline: Japanese type (Spain)</t>
  </si>
  <si>
    <t>LLMB</t>
  </si>
  <si>
    <t>Longline: With mother boat</t>
  </si>
  <si>
    <t>LLMESO</t>
  </si>
  <si>
    <t>Longline: Mesopelagic</t>
  </si>
  <si>
    <t>LLPB</t>
  </si>
  <si>
    <t>Longline: "Stone-ball" (Spain)</t>
  </si>
  <si>
    <t>Longline: Targetting SWO</t>
  </si>
  <si>
    <t>Purse seine</t>
  </si>
  <si>
    <t>PSD</t>
  </si>
  <si>
    <t>Purse seine: Double-boats</t>
  </si>
  <si>
    <t>PSFB</t>
  </si>
  <si>
    <t>Purse seine: Catching large fish</t>
  </si>
  <si>
    <t>PSFS</t>
  </si>
  <si>
    <t>Purse seine: Catching small fish</t>
  </si>
  <si>
    <t>PSG</t>
  </si>
  <si>
    <t>Purse seine: Large scale (over 200 MT capacity)</t>
  </si>
  <si>
    <t>PSLB</t>
  </si>
  <si>
    <t>Purse seine: Using live bait</t>
  </si>
  <si>
    <t>PSM</t>
  </si>
  <si>
    <t>Purse seine: Medium scale (between 50 and 200 MT capacity)</t>
  </si>
  <si>
    <t>PSS</t>
  </si>
  <si>
    <t>Purse seine: Small scale (less than 50 MT capacity)</t>
  </si>
  <si>
    <t>TRAP</t>
  </si>
  <si>
    <t>Trap</t>
  </si>
  <si>
    <t>TRAP-S</t>
  </si>
  <si>
    <t>Trap: small traps</t>
  </si>
  <si>
    <t>TRAPM</t>
  </si>
  <si>
    <t>Trap: trap non-fixed</t>
  </si>
  <si>
    <t>Baitboat</t>
  </si>
  <si>
    <t>BBALB</t>
  </si>
  <si>
    <t>Baitboat: Targgetting ALB</t>
  </si>
  <si>
    <t>BBF</t>
  </si>
  <si>
    <t>Baitboat: Freezer</t>
  </si>
  <si>
    <t>BBI</t>
  </si>
  <si>
    <t>Baitboat: Ice-well</t>
  </si>
  <si>
    <t>TRAW</t>
  </si>
  <si>
    <t>Trawl</t>
  </si>
  <si>
    <t>TRAWB</t>
  </si>
  <si>
    <t>Trawl: Bottom paired (old TRBD)</t>
  </si>
  <si>
    <t>TRAWP</t>
  </si>
  <si>
    <t>Trawl: Mid-water pelagic (old MWT)</t>
  </si>
  <si>
    <t>TRAWPP</t>
  </si>
  <si>
    <t>Trawl: Mid-water pelagic paired (old MWTD)</t>
  </si>
  <si>
    <t>TROL</t>
  </si>
  <si>
    <t>Trolling lines</t>
  </si>
  <si>
    <t>GILL</t>
  </si>
  <si>
    <t>Gillnet: Drift net</t>
  </si>
  <si>
    <t>GILLALB</t>
  </si>
  <si>
    <t>Gillnet: Targetting ALB</t>
  </si>
  <si>
    <t>GILLSWO</t>
  </si>
  <si>
    <t>Gillnet: Targetting SWO</t>
  </si>
  <si>
    <t>GNS</t>
  </si>
  <si>
    <t>Gillnet: anchored (set gillnet, FAO)</t>
  </si>
  <si>
    <t>Rod and Reel</t>
  </si>
  <si>
    <t>RRFB</t>
  </si>
  <si>
    <t>Rod and Reel (catching large fish)</t>
  </si>
  <si>
    <t>RRFS</t>
  </si>
  <si>
    <t>Rod and Reel (catching small fish)</t>
  </si>
  <si>
    <t>Trammel nets</t>
  </si>
  <si>
    <t>TL</t>
  </si>
  <si>
    <t>Tended lines</t>
  </si>
  <si>
    <t>HARP</t>
  </si>
  <si>
    <t>HARPE</t>
  </si>
  <si>
    <t>Harpoon: Electric harpoon (old HP-E)</t>
  </si>
  <si>
    <t>HS</t>
  </si>
  <si>
    <t>Haul seine</t>
  </si>
  <si>
    <t>HAND</t>
  </si>
  <si>
    <t>Handline</t>
  </si>
  <si>
    <t>FASA</t>
  </si>
  <si>
    <t>Farm (salmon farms)</t>
  </si>
  <si>
    <t>FA</t>
  </si>
  <si>
    <t>UNCL</t>
  </si>
  <si>
    <t>Unclassified gears (unknown, not reported, OTH not specified)</t>
  </si>
  <si>
    <t>EU-Austria</t>
  </si>
  <si>
    <t>EU-AUT</t>
  </si>
  <si>
    <t>EU-Belgium</t>
  </si>
  <si>
    <t>EU-BEL</t>
  </si>
  <si>
    <t>EU-Bulgaria</t>
  </si>
  <si>
    <t>EU-BGR</t>
  </si>
  <si>
    <t>EU-Croatia</t>
  </si>
  <si>
    <t>EU-HRV</t>
  </si>
  <si>
    <t>EU-Cyprus</t>
  </si>
  <si>
    <t>EU-CYP</t>
  </si>
  <si>
    <t>EU-Czechia</t>
  </si>
  <si>
    <t>EU-CZE</t>
  </si>
  <si>
    <t>EU-Denmark</t>
  </si>
  <si>
    <t>EU-DNK</t>
  </si>
  <si>
    <t>EU-España</t>
  </si>
  <si>
    <t>EU-ESP</t>
  </si>
  <si>
    <t>EU-Estonia</t>
  </si>
  <si>
    <t>EU-EST</t>
  </si>
  <si>
    <t>EU-Finland</t>
  </si>
  <si>
    <t>EU-FIN</t>
  </si>
  <si>
    <t>EU-France</t>
  </si>
  <si>
    <t>EU-FRA</t>
  </si>
  <si>
    <t>EU-Germany</t>
  </si>
  <si>
    <t>EU-DEU</t>
  </si>
  <si>
    <t>EU-Greece</t>
  </si>
  <si>
    <t>EU-GRC</t>
  </si>
  <si>
    <t>EU-Hungary</t>
  </si>
  <si>
    <t>EU-HUN</t>
  </si>
  <si>
    <t>EU-Ireland</t>
  </si>
  <si>
    <t>EU-IRL</t>
  </si>
  <si>
    <t>EU-Italy</t>
  </si>
  <si>
    <t>EU-ITA</t>
  </si>
  <si>
    <t>EU-Latvia</t>
  </si>
  <si>
    <t>EU-LVA</t>
  </si>
  <si>
    <t>EU-Lithuania</t>
  </si>
  <si>
    <t>EU-LTU</t>
  </si>
  <si>
    <t>EU-Luxemburg</t>
  </si>
  <si>
    <t>EU-LUX</t>
  </si>
  <si>
    <t>EU-Malta</t>
  </si>
  <si>
    <t>EU-MLT</t>
  </si>
  <si>
    <t>EU-Netherlands</t>
  </si>
  <si>
    <t>EU-NLD</t>
  </si>
  <si>
    <t>EU-Poland</t>
  </si>
  <si>
    <t>EU-POL</t>
  </si>
  <si>
    <t>EU-Portugal</t>
  </si>
  <si>
    <t>EU-PRT</t>
  </si>
  <si>
    <t>EU-Rumania</t>
  </si>
  <si>
    <t>EU-ROU</t>
  </si>
  <si>
    <t>EU-Slovakia</t>
  </si>
  <si>
    <t>EU-SVK</t>
  </si>
  <si>
    <t>EU-Slovenia</t>
  </si>
  <si>
    <t>EU-SVN</t>
  </si>
  <si>
    <t>EU-Sweden</t>
  </si>
  <si>
    <t>EU-SWE</t>
  </si>
  <si>
    <t>England</t>
  </si>
  <si>
    <t>GB-ENG</t>
  </si>
  <si>
    <t>ENG</t>
  </si>
  <si>
    <t>FR-St Pierre et Miquelon</t>
  </si>
  <si>
    <t>FR-SPM</t>
  </si>
  <si>
    <t>Great Britain</t>
  </si>
  <si>
    <t>Guinée Rep</t>
  </si>
  <si>
    <t>Korea Rep</t>
  </si>
  <si>
    <t>Northern Ireland</t>
  </si>
  <si>
    <t>GB-NIR</t>
  </si>
  <si>
    <t>NIR</t>
  </si>
  <si>
    <t>S Tomé e Príncipe</t>
  </si>
  <si>
    <t>Scotland</t>
  </si>
  <si>
    <t>GB-SCT</t>
  </si>
  <si>
    <t>SCT</t>
  </si>
  <si>
    <t>St Vincent and Grenadines</t>
  </si>
  <si>
    <t>UK-Bermuda</t>
  </si>
  <si>
    <t>UK-BMU</t>
  </si>
  <si>
    <t>UK-British Virgin Islands</t>
  </si>
  <si>
    <t>UK-VGB</t>
  </si>
  <si>
    <t>UK-Sta Helena</t>
  </si>
  <si>
    <t>UK-SHN</t>
  </si>
  <si>
    <t>UK-Turks and Caicos</t>
  </si>
  <si>
    <t>UK-TCA</t>
  </si>
  <si>
    <t>Wales</t>
  </si>
  <si>
    <t>GB-WLS</t>
  </si>
  <si>
    <t>WLS</t>
  </si>
  <si>
    <t>Gibraltar</t>
  </si>
  <si>
    <t>GIB</t>
  </si>
  <si>
    <t>GI</t>
  </si>
  <si>
    <t>North Macedonia Rep</t>
  </si>
  <si>
    <t>San Marino</t>
  </si>
  <si>
    <t>SMR</t>
  </si>
  <si>
    <t>SM</t>
  </si>
  <si>
    <t>Sta Lucia</t>
  </si>
  <si>
    <t>Table. Gear Group</t>
  </si>
  <si>
    <t>Set depth (hooks per basket)</t>
  </si>
  <si>
    <t>Profundidad media (cód, anzuelos por canasta)</t>
  </si>
  <si>
    <t>Profondeur moyenne (cod, hameçons par panier)</t>
  </si>
  <si>
    <t>1-5 h/bask (&lt;100m)</t>
  </si>
  <si>
    <t>6-12 h/bask (&gt;=100m &amp; &lt; 200m)</t>
  </si>
  <si>
    <t>12+ h/bask (&gt;=200m)</t>
  </si>
  <si>
    <t>Number of fishing days</t>
  </si>
  <si>
    <t>Number of trips</t>
  </si>
  <si>
    <t>Nset</t>
  </si>
  <si>
    <t>Nday</t>
  </si>
  <si>
    <t>Nhour</t>
  </si>
  <si>
    <t>Nhauls</t>
  </si>
  <si>
    <t>Number of fishing sets</t>
  </si>
  <si>
    <t>Number of hours</t>
  </si>
  <si>
    <t>Number of hauls</t>
  </si>
  <si>
    <t>Nombre de jours de pêche</t>
  </si>
  <si>
    <t>Nombre d'ensembles de pêche</t>
  </si>
  <si>
    <t>Nombre de trajets</t>
  </si>
  <si>
    <t>Nombre d'heures</t>
  </si>
  <si>
    <t>Nombre de traits</t>
  </si>
  <si>
    <t>Número de días de pesca</t>
  </si>
  <si>
    <t>Número de lances de pesca</t>
  </si>
  <si>
    <t>Número de viajes</t>
  </si>
  <si>
    <t>Número de horas</t>
  </si>
  <si>
    <t>Número de lances</t>
  </si>
  <si>
    <t>Couverture (Rec. 16-14(4a))</t>
  </si>
  <si>
    <t>Cobertura (Rec. 16-14(4a))</t>
  </si>
  <si>
    <t>Straight fork length (old FL)</t>
  </si>
  <si>
    <t>Curved Fork Length</t>
  </si>
  <si>
    <t>SLJFL</t>
  </si>
  <si>
    <t>Straight lower jaw fork length (old LJFL)</t>
  </si>
  <si>
    <t>CLJFL</t>
  </si>
  <si>
    <t>Curved lower jaw fork length</t>
  </si>
  <si>
    <t>Posterior edge of eye socket to Fork Length</t>
  </si>
  <si>
    <t>GearCovTypeCod</t>
  </si>
  <si>
    <t>GearCovTypeEN</t>
  </si>
  <si>
    <t>GearCovTypeFR</t>
  </si>
  <si>
    <t>GearCovTypeES</t>
  </si>
  <si>
    <t>hFishery1</t>
  </si>
  <si>
    <t>Fishery 1</t>
  </si>
  <si>
    <t>Pêcherie 1</t>
  </si>
  <si>
    <t>Pesquería 1</t>
  </si>
  <si>
    <t>hFishery2</t>
  </si>
  <si>
    <t>Fishery 2</t>
  </si>
  <si>
    <t>Pêcherie 2</t>
  </si>
  <si>
    <t>Pesquería 2</t>
  </si>
  <si>
    <t>hFishery3</t>
  </si>
  <si>
    <t>Fishery 3</t>
  </si>
  <si>
    <t>Pêcherie 3</t>
  </si>
  <si>
    <t>Pesquería 3</t>
  </si>
  <si>
    <t>hFishery4</t>
  </si>
  <si>
    <t>Fishery 4</t>
  </si>
  <si>
    <t>Pêcherie 4</t>
  </si>
  <si>
    <t>Pesquería 4</t>
  </si>
  <si>
    <t>hFishery5</t>
  </si>
  <si>
    <r>
      <t>Etmopterus bullisi</t>
    </r>
    <r>
      <rPr>
        <sz val="9"/>
        <color rgb="FF00000A"/>
        <rFont val="Calibri"/>
        <family val="2"/>
        <scheme val="minor"/>
      </rPr>
      <t xml:space="preserve"> </t>
    </r>
  </si>
  <si>
    <r>
      <t>Euprotomicrus bispinatus</t>
    </r>
    <r>
      <rPr>
        <sz val="9"/>
        <color rgb="FF00000A"/>
        <rFont val="Calibri"/>
        <family val="2"/>
        <scheme val="minor"/>
      </rPr>
      <t xml:space="preserve"> </t>
    </r>
  </si>
  <si>
    <r>
      <t>Euprotomicroides zantedeschia</t>
    </r>
    <r>
      <rPr>
        <sz val="9"/>
        <color rgb="FF00000A"/>
        <rFont val="Calibri"/>
        <family val="2"/>
        <scheme val="minor"/>
      </rPr>
      <t xml:space="preserve"> </t>
    </r>
  </si>
  <si>
    <r>
      <t>Hexanchus nakamurai</t>
    </r>
    <r>
      <rPr>
        <sz val="9"/>
        <color rgb="FF00000A"/>
        <rFont val="Calibri"/>
        <family val="2"/>
        <scheme val="minor"/>
      </rPr>
      <t xml:space="preserve"> </t>
    </r>
  </si>
  <si>
    <r>
      <t>Isistius plutodus</t>
    </r>
    <r>
      <rPr>
        <sz val="9"/>
        <color rgb="FF00000A"/>
        <rFont val="Calibri"/>
        <family val="2"/>
        <scheme val="minor"/>
      </rPr>
      <t xml:space="preserve"> </t>
    </r>
  </si>
  <si>
    <r>
      <t>Mitsukurina owstoni</t>
    </r>
    <r>
      <rPr>
        <sz val="9"/>
        <color rgb="FF00000A"/>
        <rFont val="Calibri"/>
        <family val="2"/>
        <scheme val="minor"/>
      </rPr>
      <t xml:space="preserve"> </t>
    </r>
  </si>
  <si>
    <r>
      <t>Manta alfredi</t>
    </r>
    <r>
      <rPr>
        <sz val="9"/>
        <color rgb="FF00000A"/>
        <rFont val="Calibri"/>
        <family val="2"/>
        <scheme val="minor"/>
      </rPr>
      <t xml:space="preserve"> </t>
    </r>
  </si>
  <si>
    <r>
      <t>Deania profundorum</t>
    </r>
    <r>
      <rPr>
        <sz val="9"/>
        <color rgb="FF00000A"/>
        <rFont val="Calibri"/>
        <family val="2"/>
        <scheme val="minor"/>
      </rPr>
      <t xml:space="preserve"> </t>
    </r>
  </si>
  <si>
    <r>
      <t xml:space="preserve">Table. Mitigation measures </t>
    </r>
    <r>
      <rPr>
        <b/>
        <sz val="9"/>
        <color rgb="FF00B050"/>
        <rFont val="Calibri"/>
        <family val="2"/>
        <scheme val="minor"/>
      </rPr>
      <t>(preliminary list)</t>
    </r>
  </si>
  <si>
    <t>Table. Reporting Flags, Flags of Vessel / Countries (A2 &amp; A3 ISO 3166)</t>
  </si>
  <si>
    <t>Coverage Rec 16-14(4a)</t>
  </si>
  <si>
    <t>Table. Gear group based coverage type (Rec. 16-14)</t>
  </si>
  <si>
    <t>#</t>
  </si>
  <si>
    <t>Fishery 5</t>
  </si>
  <si>
    <t>Pêcherie 5</t>
  </si>
  <si>
    <t>Pesquería 5</t>
  </si>
  <si>
    <t>Coverage by gear (Rec 16-14(4a))</t>
  </si>
  <si>
    <t>Couverture par engin (Rec. 16-14(4a))</t>
  </si>
  <si>
    <t>Cobertura por arte (Rec. 16-14(4a))</t>
  </si>
  <si>
    <t>EnginG+ Couv. (cód)</t>
  </si>
  <si>
    <t>GearG+Cov. (cod)</t>
  </si>
  <si>
    <t>ArteG+Cob. (cód)</t>
  </si>
  <si>
    <t>hObProgYN</t>
  </si>
  <si>
    <t>Does the CPC have an observer program ? (Yes/No)</t>
  </si>
  <si>
    <t>Le CPC a-t-il un programme d'observateurs? (Oui/Non)</t>
  </si>
  <si>
    <t>¿Tiene el CPC un programa de observadores? (Sí/No)</t>
  </si>
  <si>
    <t>With Observer Program (Y/N)?</t>
  </si>
  <si>
    <t xml:space="preserve">Avec Programme d'Observateurs (Y/N)? </t>
  </si>
  <si>
    <t xml:space="preserve">Con Programa de Observadores (Y/N)? </t>
  </si>
  <si>
    <t>Specify the first year of the domestic observer program</t>
  </si>
  <si>
    <t>Préciser la première année du programme d'observateurs nationaux</t>
  </si>
  <si>
    <t>Especificar el primer año del programa de observadores nacionales</t>
  </si>
  <si>
    <t>hGearGCov</t>
  </si>
  <si>
    <t>Select the most appropriate "Gear Group + Coverage" combination (by Fishery)</t>
  </si>
  <si>
    <t>Choisir la combinaison "groupe d'engins + couverture" plus approprié (par Pêcherie)</t>
  </si>
  <si>
    <t>Escoger la combinación "grupo de artes + cobertura" más adecuado (por Pesquería)</t>
  </si>
  <si>
    <t>PS(ETRO)-Nset</t>
  </si>
  <si>
    <t>Coverage(min)</t>
  </si>
  <si>
    <t>hMinCovRatio</t>
  </si>
  <si>
    <t>Remarks</t>
  </si>
  <si>
    <t>Min (CR, %)</t>
  </si>
  <si>
    <t xml:space="preserve"> Rec.2022-01 (para 58). Proposal only for 2023</t>
  </si>
  <si>
    <t>Informatif (taux de couverture minimum par pêcherie dans la Rec.)</t>
  </si>
  <si>
    <t>Informativo (tasa de cobertura mínima en la Rec. Por pesqueria)</t>
  </si>
  <si>
    <t>Informative (minimum coverage rate on Rec., by fishery)</t>
  </si>
  <si>
    <t>2024a</t>
  </si>
  <si>
    <t>FleetSuffix</t>
  </si>
  <si>
    <t xml:space="preserve">Fleet suffix </t>
  </si>
  <si>
    <t>Flotte (suffixe)</t>
  </si>
  <si>
    <t>Flota (sufijo)</t>
  </si>
  <si>
    <t>This field should be completed by those CPCs operating various fisheries with an independent data collection system (e.g. Portugal-Azores, Spain-Fuenterrabía, etc.). Additional fleet sufixes (former base ports/zones) can be adopted.</t>
  </si>
  <si>
    <t>Ce champ doit être complété par les CPCs opérant diverses pêcheries avec des systèmes de collecte de données indépendants (p.ex. Portugal-Azores, Espagne-Fuenterrabía, etc.). Des suffixes de flotte supplémentaires (anciens ports/zones de base) peuvent être adoptés.</t>
  </si>
  <si>
    <t xml:space="preserve">Este campo debe ser completado por aquellos CPCs que operan varias pesquerías con sistemas independientes de recopilación de datos (por ejemplo, Portugal-Azores, España-Fuenterrabía, etc.). Se pueden adoptar sufijos de flota adicionales (antiguos puertos/zonas base). </t>
  </si>
  <si>
    <t>hDCollSource</t>
  </si>
  <si>
    <t>Table. Data collection source basis (observers and/or EMS only)</t>
  </si>
  <si>
    <t>EMS only</t>
  </si>
  <si>
    <t>Observers (human) only</t>
  </si>
  <si>
    <t>Observers &amp; EMS (complement)</t>
  </si>
  <si>
    <t>OBS</t>
  </si>
  <si>
    <t>EMS</t>
  </si>
  <si>
    <t>DataCollectionSource</t>
  </si>
  <si>
    <t>DCollSourceCode</t>
  </si>
  <si>
    <t>O+E</t>
  </si>
  <si>
    <t>Data collection based on</t>
  </si>
  <si>
    <t>Collecte de données basée sur</t>
  </si>
  <si>
    <t>Recopilación de datos basada en</t>
  </si>
  <si>
    <t>Select the source of the observer data collection here presented (human observers, EMS, both, etc.)</t>
  </si>
  <si>
    <t>Choisir la source de la collecte de données d'observateur présentée ici (observateurs humains, EMS, les deux, etc.)</t>
  </si>
  <si>
    <t>Escoger la fuente de recopilación de datos de observadores aquí presentada (observadores humanos, EMS, ambos, etc.)</t>
  </si>
  <si>
    <t>* Suffix "a" refers to the sub-version (revisions with minor corrections &amp; no changes in structure) within a year. Sequentially issued (a,b,...) if required (i.e.: 2024a, 2024b, ...)</t>
  </si>
  <si>
    <t>Status (2024)</t>
  </si>
  <si>
    <t>FleetSuffixes (old PortsZone)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</si>
</sst>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quot;€&quot;_-;\-* #,##0.00\ &quot;€&quot;_-;_-* &quot;-&quot;??\ &quot;€&quot;_-;_-@_-"/>
  </numFmts>
  <fonts count="68" x14ac:knownFonts="1">
    <font>
      <sz val="11"/>
      <color theme="1"/>
      <name val="Calibri"/>
      <family val="2"/>
      <scheme val="minor"/>
    </font>
    <font>
      <sz val="10"/>
      <name val="Arial"/>
      <family val="2"/>
    </font>
    <font>
      <sz val="8"/>
      <name val="Calibri"/>
      <family val="2"/>
    </font>
    <font>
      <u/>
      <sz val="10"/>
      <color indexed="12"/>
      <name val="Arial"/>
      <family val="2"/>
    </font>
    <font>
      <sz val="10"/>
      <name val="Arial"/>
      <family val="2"/>
    </font>
    <font>
      <sz val="9"/>
      <name val="Calibri"/>
      <family val="2"/>
      <scheme val="minor"/>
    </font>
    <font>
      <b/>
      <sz val="16"/>
      <color indexed="30"/>
      <name val="Cambria"/>
      <family val="1"/>
      <scheme val="major"/>
    </font>
    <font>
      <b/>
      <sz val="9"/>
      <color rgb="FF00B050"/>
      <name val="Cambria"/>
      <family val="1"/>
      <scheme val="major"/>
    </font>
    <font>
      <b/>
      <sz val="9"/>
      <color rgb="FFFF0000"/>
      <name val="Cambria"/>
      <family val="1"/>
      <scheme val="major"/>
    </font>
    <font>
      <u/>
      <sz val="8"/>
      <color indexed="12"/>
      <name val="Calibri"/>
      <family val="2"/>
      <scheme val="minor"/>
    </font>
    <font>
      <b/>
      <sz val="8"/>
      <name val="Calibri"/>
      <family val="2"/>
      <scheme val="minor"/>
    </font>
    <font>
      <sz val="8"/>
      <name val="Calibri"/>
      <family val="2"/>
      <scheme val="minor"/>
    </font>
    <font>
      <b/>
      <sz val="8"/>
      <color theme="0"/>
      <name val="Calibri"/>
      <family val="2"/>
      <scheme val="minor"/>
    </font>
    <font>
      <sz val="8"/>
      <color theme="0"/>
      <name val="Calibri"/>
      <family val="2"/>
      <scheme val="minor"/>
    </font>
    <font>
      <sz val="8"/>
      <color theme="1"/>
      <name val="Calibri"/>
      <family val="2"/>
      <scheme val="minor"/>
    </font>
    <font>
      <sz val="9"/>
      <color theme="1"/>
      <name val="Calibri"/>
      <family val="2"/>
      <scheme val="minor"/>
    </font>
    <font>
      <sz val="8"/>
      <color indexed="8"/>
      <name val="Calibri"/>
      <family val="2"/>
      <scheme val="minor"/>
    </font>
    <font>
      <b/>
      <sz val="8"/>
      <color indexed="8"/>
      <name val="Calibri"/>
      <family val="2"/>
      <scheme val="minor"/>
    </font>
    <font>
      <b/>
      <sz val="8"/>
      <color indexed="30"/>
      <name val="Calibri"/>
      <family val="2"/>
      <scheme val="minor"/>
    </font>
    <font>
      <sz val="8"/>
      <color indexed="56"/>
      <name val="Calibri"/>
      <family val="2"/>
      <scheme val="minor"/>
    </font>
    <font>
      <sz val="8"/>
      <color indexed="30"/>
      <name val="Calibri"/>
      <family val="2"/>
      <scheme val="minor"/>
    </font>
    <font>
      <b/>
      <u/>
      <sz val="8"/>
      <name val="Calibri"/>
      <family val="2"/>
      <scheme val="minor"/>
    </font>
    <font>
      <b/>
      <sz val="8"/>
      <color rgb="FF0070C0"/>
      <name val="Calibri"/>
      <family val="2"/>
      <scheme val="minor"/>
    </font>
    <font>
      <u/>
      <sz val="8"/>
      <name val="Calibri"/>
      <family val="2"/>
      <scheme val="minor"/>
    </font>
    <font>
      <b/>
      <sz val="8"/>
      <color indexed="10"/>
      <name val="Calibri"/>
      <family val="2"/>
      <scheme val="minor"/>
    </font>
    <font>
      <b/>
      <sz val="8"/>
      <color theme="0" tint="-0.14999847407452621"/>
      <name val="Calibri"/>
      <family val="2"/>
      <scheme val="minor"/>
    </font>
    <font>
      <sz val="10"/>
      <color indexed="8"/>
      <name val="Cambria"/>
      <family val="1"/>
      <scheme val="major"/>
    </font>
    <font>
      <b/>
      <sz val="14"/>
      <color theme="0"/>
      <name val="Cambria"/>
      <family val="1"/>
      <scheme val="major"/>
    </font>
    <font>
      <sz val="9"/>
      <color rgb="FF0070C0"/>
      <name val="Cambria"/>
      <family val="1"/>
      <scheme val="major"/>
    </font>
    <font>
      <b/>
      <sz val="9"/>
      <name val="Cambria"/>
      <family val="1"/>
      <scheme val="major"/>
    </font>
    <font>
      <b/>
      <sz val="8"/>
      <color theme="1"/>
      <name val="Calibri"/>
      <family val="2"/>
      <scheme val="minor"/>
    </font>
    <font>
      <sz val="8"/>
      <color indexed="8"/>
      <name val="Cambria"/>
      <family val="1"/>
      <scheme val="major"/>
    </font>
    <font>
      <sz val="8"/>
      <color rgb="FF00B050"/>
      <name val="Calibri"/>
      <family val="2"/>
      <scheme val="minor"/>
    </font>
    <font>
      <b/>
      <sz val="9"/>
      <name val="Calibri"/>
      <family val="2"/>
    </font>
    <font>
      <sz val="9"/>
      <name val="Calibri"/>
      <family val="2"/>
    </font>
    <font>
      <b/>
      <sz val="9"/>
      <color rgb="FF0070C0"/>
      <name val="Cambria"/>
      <family val="1"/>
      <scheme val="major"/>
    </font>
    <font>
      <sz val="11"/>
      <color indexed="30"/>
      <name val="Cambria"/>
      <family val="1"/>
      <scheme val="major"/>
    </font>
    <font>
      <sz val="10"/>
      <color indexed="8"/>
      <name val="Arial"/>
      <family val="2"/>
    </font>
    <font>
      <b/>
      <sz val="12"/>
      <color theme="0"/>
      <name val="Cambria"/>
      <family val="1"/>
      <scheme val="major"/>
    </font>
    <font>
      <sz val="8"/>
      <color theme="3"/>
      <name val="Calibri"/>
      <family val="2"/>
      <scheme val="minor"/>
    </font>
    <font>
      <b/>
      <sz val="9"/>
      <name val="Calibri"/>
      <family val="2"/>
      <scheme val="minor"/>
    </font>
    <font>
      <sz val="9"/>
      <color rgb="FFFF0000"/>
      <name val="Calibri"/>
      <family val="2"/>
      <scheme val="minor"/>
    </font>
    <font>
      <sz val="8"/>
      <color theme="0" tint="-0.14999847407452621"/>
      <name val="Calibri"/>
      <family val="2"/>
      <scheme val="minor"/>
    </font>
    <font>
      <b/>
      <sz val="8"/>
      <color indexed="30"/>
      <name val="Cambria"/>
      <family val="1"/>
      <scheme val="major"/>
    </font>
    <font>
      <sz val="8"/>
      <color rgb="FF0070C0"/>
      <name val="Cambria"/>
      <family val="1"/>
      <scheme val="major"/>
    </font>
    <font>
      <sz val="8"/>
      <color indexed="30"/>
      <name val="Cambria"/>
      <family val="1"/>
      <scheme val="major"/>
    </font>
    <font>
      <b/>
      <sz val="8"/>
      <name val="Cambria"/>
      <family val="1"/>
      <scheme val="major"/>
    </font>
    <font>
      <sz val="9"/>
      <color rgb="FFFF0000"/>
      <name val="Calibri"/>
      <family val="2"/>
    </font>
    <font>
      <b/>
      <sz val="14"/>
      <color rgb="FF0070C0"/>
      <name val="Calibri"/>
      <family val="2"/>
    </font>
    <font>
      <sz val="9"/>
      <color rgb="FF000000"/>
      <name val="Calibri"/>
      <family val="2"/>
    </font>
    <font>
      <b/>
      <sz val="8"/>
      <color rgb="FFFF0000"/>
      <name val="Calibri"/>
      <family val="2"/>
      <scheme val="minor"/>
    </font>
    <font>
      <sz val="8"/>
      <color rgb="FFFF0000"/>
      <name val="Calibri"/>
      <family val="2"/>
      <scheme val="minor"/>
    </font>
    <font>
      <sz val="8"/>
      <color rgb="FF000000"/>
      <name val="Calibri"/>
      <family val="2"/>
      <scheme val="minor"/>
    </font>
    <font>
      <u/>
      <sz val="8"/>
      <color indexed="8"/>
      <name val="Calibri"/>
      <family val="2"/>
      <scheme val="minor"/>
    </font>
    <font>
      <sz val="9"/>
      <color indexed="30"/>
      <name val="Cambria"/>
      <family val="1"/>
      <scheme val="major"/>
    </font>
    <font>
      <sz val="8"/>
      <color indexed="10"/>
      <name val="Calibri"/>
      <family val="2"/>
      <scheme val="minor"/>
    </font>
    <font>
      <sz val="10"/>
      <color indexed="8"/>
      <name val="Arial"/>
      <family val="2"/>
    </font>
    <font>
      <sz val="9"/>
      <color indexed="8"/>
      <name val="Calibri"/>
      <family val="2"/>
      <scheme val="minor"/>
    </font>
    <font>
      <sz val="10"/>
      <color rgb="FFFF0000"/>
      <name val="Calibri"/>
      <family val="2"/>
      <scheme val="minor"/>
    </font>
    <font>
      <sz val="10"/>
      <name val="Calibri"/>
      <family val="2"/>
      <scheme val="minor"/>
    </font>
    <font>
      <sz val="7.5"/>
      <color rgb="FF000000"/>
      <name val="Times New Roman"/>
      <family val="1"/>
    </font>
    <font>
      <sz val="9"/>
      <color rgb="FF00B0F0"/>
      <name val="Calibri"/>
      <family val="2"/>
      <scheme val="minor"/>
    </font>
    <font>
      <b/>
      <sz val="9"/>
      <color indexed="8"/>
      <name val="Calibri"/>
      <family val="2"/>
      <scheme val="minor"/>
    </font>
    <font>
      <sz val="9"/>
      <color rgb="FF00000A"/>
      <name val="Calibri"/>
      <family val="2"/>
      <scheme val="minor"/>
    </font>
    <font>
      <b/>
      <sz val="9"/>
      <color rgb="FF00B050"/>
      <name val="Calibri"/>
      <family val="2"/>
      <scheme val="minor"/>
    </font>
    <font>
      <sz val="9"/>
      <color rgb="FF00B050"/>
      <name val="Calibri"/>
      <family val="2"/>
      <scheme val="minor"/>
    </font>
    <font>
      <sz val="11"/>
      <color theme="1"/>
      <name val="Calibri"/>
      <family val="2"/>
      <scheme val="minor"/>
    </font>
    <font>
      <sz val="9"/>
      <color rgb="FF0070C0"/>
      <name val="Calibri"/>
      <family val="2"/>
      <scheme val="minor"/>
    </font>
  </fonts>
  <fills count="21">
    <fill>
      <patternFill patternType="none"/>
    </fill>
    <fill>
      <patternFill patternType="gray125"/>
    </fill>
    <fill>
      <patternFill patternType="solid">
        <fgColor indexed="1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6" tint="0.59999389629810485"/>
        <bgColor theme="4" tint="0.79998168889431442"/>
      </patternFill>
    </fill>
    <fill>
      <patternFill patternType="solid">
        <fgColor theme="5" tint="0.79998168889431442"/>
        <bgColor indexed="64"/>
      </patternFill>
    </fill>
    <fill>
      <patternFill patternType="solid">
        <fgColor theme="0"/>
        <bgColor indexed="64"/>
      </patternFill>
    </fill>
    <fill>
      <patternFill patternType="solid">
        <fgColor theme="6" tint="0.59999389629810485"/>
        <bgColor indexed="31"/>
      </patternFill>
    </fill>
    <fill>
      <patternFill patternType="solid">
        <fgColor theme="6" tint="0.399975585192419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theme="7" tint="0.79998168889431442"/>
      </patternFill>
    </fill>
    <fill>
      <patternFill patternType="solid">
        <fgColor rgb="FF00B0F0"/>
        <bgColor indexed="64"/>
      </patternFill>
    </fill>
    <fill>
      <patternFill patternType="solid">
        <fgColor rgb="FF92D050"/>
        <bgColor indexed="64"/>
      </patternFill>
    </fill>
  </fills>
  <borders count="30">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theme="8"/>
      </top>
      <bottom/>
      <diagonal/>
    </border>
    <border>
      <left style="thin">
        <color theme="7" tint="0.39997558519241921"/>
      </left>
      <right/>
      <top style="thin">
        <color theme="7" tint="0.39997558519241921"/>
      </top>
      <bottom style="thin">
        <color theme="7" tint="0.39997558519241921"/>
      </bottom>
      <diagonal/>
    </border>
    <border>
      <left style="thin">
        <color theme="8"/>
      </left>
      <right/>
      <top style="thin">
        <color theme="8"/>
      </top>
      <bottom/>
      <diagonal/>
    </border>
    <border>
      <left/>
      <right style="thin">
        <color theme="8"/>
      </right>
      <top style="thin">
        <color theme="8"/>
      </top>
      <bottom/>
      <diagonal/>
    </border>
    <border>
      <left style="medium">
        <color theme="0" tint="-4.9989318521683403E-2"/>
      </left>
      <right style="medium">
        <color theme="0" tint="-0.34998626667073579"/>
      </right>
      <top style="medium">
        <color theme="0" tint="-4.9989318521683403E-2"/>
      </top>
      <bottom/>
      <diagonal/>
    </border>
    <border>
      <left style="medium">
        <color theme="0" tint="-4.9989318521683403E-2"/>
      </left>
      <right style="medium">
        <color theme="0" tint="-0.34998626667073579"/>
      </right>
      <top/>
      <bottom style="medium">
        <color theme="0" tint="-0.34998626667073579"/>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style="medium">
        <color theme="0" tint="-4.9989318521683403E-2"/>
      </right>
      <top/>
      <bottom style="medium">
        <color theme="0" tint="-0.34998626667073579"/>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style="thin">
        <color theme="8"/>
      </top>
      <bottom style="thin">
        <color theme="7" tint="0.39997558519241921"/>
      </bottom>
      <diagonal/>
    </border>
    <border>
      <left style="thin">
        <color theme="8"/>
      </left>
      <right/>
      <top style="thin">
        <color theme="8"/>
      </top>
      <bottom style="thin">
        <color theme="7" tint="0.39997558519241921"/>
      </bottom>
      <diagonal/>
    </border>
    <border>
      <left/>
      <right style="thin">
        <color theme="8"/>
      </right>
      <top style="thin">
        <color theme="8"/>
      </top>
      <bottom style="thin">
        <color theme="7" tint="0.39997558519241921"/>
      </bottom>
      <diagonal/>
    </border>
    <border>
      <left/>
      <right/>
      <top/>
      <bottom style="medium">
        <color indexed="64"/>
      </bottom>
      <diagonal/>
    </border>
  </borders>
  <cellStyleXfs count="11">
    <xf numFmtId="0" fontId="0" fillId="0" borderId="0"/>
    <xf numFmtId="0" fontId="3" fillId="0" borderId="0" applyNumberFormat="0" applyFill="0" applyBorder="0" applyAlignment="0" applyProtection="0">
      <alignment vertical="top"/>
      <protection locked="0"/>
    </xf>
    <xf numFmtId="0" fontId="1" fillId="0" borderId="0"/>
    <xf numFmtId="0" fontId="4" fillId="0" borderId="0"/>
    <xf numFmtId="164" fontId="1" fillId="0" borderId="0" applyFont="0" applyFill="0" applyBorder="0" applyAlignment="0" applyProtection="0"/>
    <xf numFmtId="0" fontId="1" fillId="0" borderId="0"/>
    <xf numFmtId="0" fontId="1" fillId="0" borderId="0"/>
    <xf numFmtId="0" fontId="37" fillId="0" borderId="0"/>
    <xf numFmtId="0" fontId="56" fillId="0" borderId="0"/>
    <xf numFmtId="0" fontId="37" fillId="0" borderId="0"/>
    <xf numFmtId="9" fontId="66" fillId="0" borderId="0" applyFont="0" applyFill="0" applyBorder="0" applyAlignment="0" applyProtection="0"/>
  </cellStyleXfs>
  <cellXfs count="463">
    <xf numFmtId="0" fontId="0" fillId="0" borderId="0" xfId="0"/>
    <xf numFmtId="0" fontId="10" fillId="0" borderId="0" xfId="2" applyFont="1" applyAlignment="1" applyProtection="1">
      <alignment vertical="top"/>
      <protection hidden="1"/>
    </xf>
    <xf numFmtId="0" fontId="11" fillId="0" borderId="0" xfId="2" applyFont="1" applyAlignment="1" applyProtection="1">
      <alignment vertical="top"/>
      <protection hidden="1"/>
    </xf>
    <xf numFmtId="0" fontId="12" fillId="0" borderId="0" xfId="2" applyFont="1" applyAlignment="1" applyProtection="1">
      <alignment vertical="top"/>
      <protection hidden="1"/>
    </xf>
    <xf numFmtId="0" fontId="12" fillId="0" borderId="0" xfId="2" applyFont="1" applyAlignment="1" applyProtection="1">
      <alignment vertical="top" wrapText="1"/>
      <protection hidden="1"/>
    </xf>
    <xf numFmtId="0" fontId="13" fillId="0" borderId="0" xfId="2" applyFont="1" applyAlignment="1" applyProtection="1">
      <alignment vertical="top" wrapText="1"/>
      <protection hidden="1"/>
    </xf>
    <xf numFmtId="0" fontId="16" fillId="4" borderId="0" xfId="0" applyFont="1" applyFill="1" applyProtection="1">
      <protection hidden="1"/>
    </xf>
    <xf numFmtId="0" fontId="16" fillId="0" borderId="0" xfId="0" applyFont="1" applyProtection="1">
      <protection hidden="1"/>
    </xf>
    <xf numFmtId="0" fontId="16" fillId="4" borderId="5" xfId="0" applyFont="1" applyFill="1" applyBorder="1" applyProtection="1">
      <protection hidden="1"/>
    </xf>
    <xf numFmtId="0" fontId="20" fillId="0" borderId="0" xfId="0" applyFont="1" applyAlignment="1" applyProtection="1">
      <alignment horizontal="center" vertical="center"/>
      <protection hidden="1"/>
    </xf>
    <xf numFmtId="0" fontId="19" fillId="0" borderId="0" xfId="0" applyFont="1" applyAlignment="1" applyProtection="1">
      <alignment horizontal="center" vertical="top"/>
      <protection hidden="1"/>
    </xf>
    <xf numFmtId="0" fontId="23" fillId="4" borderId="6" xfId="0" applyFont="1" applyFill="1" applyBorder="1" applyAlignment="1" applyProtection="1">
      <alignment horizontal="right" shrinkToFit="1"/>
      <protection hidden="1"/>
    </xf>
    <xf numFmtId="0" fontId="11" fillId="4" borderId="7" xfId="0" applyFont="1" applyFill="1" applyBorder="1" applyAlignment="1" applyProtection="1">
      <alignment vertical="top" shrinkToFit="1"/>
      <protection hidden="1"/>
    </xf>
    <xf numFmtId="0" fontId="11" fillId="4" borderId="6" xfId="0" applyFont="1" applyFill="1" applyBorder="1" applyAlignment="1" applyProtection="1">
      <alignment vertical="top" shrinkToFit="1"/>
      <protection hidden="1"/>
    </xf>
    <xf numFmtId="0" fontId="11" fillId="4" borderId="0" xfId="0" applyFont="1" applyFill="1" applyAlignment="1" applyProtection="1">
      <alignment vertical="top" shrinkToFit="1"/>
      <protection hidden="1"/>
    </xf>
    <xf numFmtId="0" fontId="11" fillId="4" borderId="6" xfId="0" applyFont="1" applyFill="1" applyBorder="1" applyAlignment="1" applyProtection="1">
      <alignment shrinkToFit="1"/>
      <protection hidden="1"/>
    </xf>
    <xf numFmtId="0" fontId="23" fillId="4" borderId="6" xfId="0" applyFont="1" applyFill="1" applyBorder="1" applyAlignment="1" applyProtection="1">
      <alignment horizontal="right" vertical="top" shrinkToFit="1"/>
      <protection hidden="1"/>
    </xf>
    <xf numFmtId="0" fontId="11" fillId="4" borderId="0" xfId="0" applyFont="1" applyFill="1" applyAlignment="1" applyProtection="1">
      <alignment shrinkToFit="1"/>
      <protection hidden="1"/>
    </xf>
    <xf numFmtId="0" fontId="16" fillId="4" borderId="6" xfId="0" applyFont="1" applyFill="1" applyBorder="1" applyProtection="1">
      <protection hidden="1"/>
    </xf>
    <xf numFmtId="0" fontId="20" fillId="4" borderId="0" xfId="0" applyFont="1" applyFill="1" applyAlignment="1" applyProtection="1">
      <alignment vertical="top" shrinkToFit="1"/>
      <protection hidden="1"/>
    </xf>
    <xf numFmtId="0" fontId="11" fillId="4" borderId="5" xfId="0" applyFont="1" applyFill="1" applyBorder="1" applyAlignment="1" applyProtection="1">
      <alignment vertical="top" shrinkToFit="1"/>
      <protection hidden="1"/>
    </xf>
    <xf numFmtId="0" fontId="11" fillId="4" borderId="8" xfId="0" applyFont="1" applyFill="1" applyBorder="1" applyAlignment="1" applyProtection="1">
      <alignment vertical="top" shrinkToFit="1"/>
      <protection hidden="1"/>
    </xf>
    <xf numFmtId="0" fontId="24" fillId="4" borderId="0" xfId="0" applyFont="1" applyFill="1" applyAlignment="1" applyProtection="1">
      <alignment vertical="top" shrinkToFit="1"/>
      <protection hidden="1"/>
    </xf>
    <xf numFmtId="49" fontId="16" fillId="0" borderId="0" xfId="0" applyNumberFormat="1" applyFont="1" applyProtection="1">
      <protection hidden="1"/>
    </xf>
    <xf numFmtId="0" fontId="18" fillId="4" borderId="0" xfId="0" applyFont="1" applyFill="1" applyAlignment="1" applyProtection="1">
      <alignment vertical="top"/>
      <protection hidden="1"/>
    </xf>
    <xf numFmtId="0" fontId="26" fillId="0" borderId="0" xfId="0" applyFont="1" applyProtection="1">
      <protection hidden="1"/>
    </xf>
    <xf numFmtId="0" fontId="11" fillId="4" borderId="0" xfId="0" applyFont="1" applyFill="1" applyAlignment="1" applyProtection="1">
      <alignment horizontal="right" shrinkToFit="1"/>
      <protection hidden="1"/>
    </xf>
    <xf numFmtId="0" fontId="11" fillId="4" borderId="12" xfId="0" applyFont="1" applyFill="1" applyBorder="1" applyAlignment="1" applyProtection="1">
      <alignment horizontal="center" shrinkToFit="1"/>
      <protection hidden="1"/>
    </xf>
    <xf numFmtId="0" fontId="11" fillId="0" borderId="0" xfId="0" applyFont="1" applyAlignment="1" applyProtection="1">
      <alignment vertical="top"/>
      <protection hidden="1"/>
    </xf>
    <xf numFmtId="0" fontId="22" fillId="4" borderId="4" xfId="0" applyFont="1" applyFill="1" applyBorder="1" applyAlignment="1" applyProtection="1">
      <alignment horizontal="center" vertical="top" shrinkToFit="1"/>
      <protection hidden="1"/>
    </xf>
    <xf numFmtId="0" fontId="23" fillId="4" borderId="0" xfId="0" applyFont="1" applyFill="1" applyAlignment="1" applyProtection="1">
      <alignment vertical="top" shrinkToFit="1"/>
      <protection hidden="1"/>
    </xf>
    <xf numFmtId="0" fontId="28" fillId="4" borderId="3" xfId="0" applyFont="1" applyFill="1" applyBorder="1" applyAlignment="1" applyProtection="1">
      <alignment vertical="top"/>
      <protection hidden="1"/>
    </xf>
    <xf numFmtId="0" fontId="28" fillId="4" borderId="4" xfId="0" applyFont="1" applyFill="1" applyBorder="1" applyAlignment="1" applyProtection="1">
      <alignment vertical="top"/>
      <protection hidden="1"/>
    </xf>
    <xf numFmtId="0" fontId="29" fillId="4" borderId="5" xfId="0" applyFont="1" applyFill="1" applyBorder="1" applyAlignment="1" applyProtection="1">
      <alignment vertical="top"/>
      <protection hidden="1"/>
    </xf>
    <xf numFmtId="0" fontId="29" fillId="4" borderId="1" xfId="0" applyFont="1" applyFill="1" applyBorder="1" applyAlignment="1" applyProtection="1">
      <alignment horizontal="center" vertical="top"/>
      <protection hidden="1"/>
    </xf>
    <xf numFmtId="0" fontId="21" fillId="0" borderId="0" xfId="0" applyFont="1" applyAlignment="1" applyProtection="1">
      <alignment vertical="top"/>
      <protection hidden="1"/>
    </xf>
    <xf numFmtId="0" fontId="21" fillId="0" borderId="0" xfId="0" applyFont="1" applyAlignment="1" applyProtection="1">
      <alignment horizontal="center" vertical="top"/>
      <protection hidden="1"/>
    </xf>
    <xf numFmtId="0" fontId="11" fillId="0" borderId="0" xfId="2" applyFont="1" applyAlignment="1" applyProtection="1">
      <alignment vertical="top" wrapText="1"/>
      <protection hidden="1"/>
    </xf>
    <xf numFmtId="0" fontId="11" fillId="0" borderId="0" xfId="0" applyFont="1" applyAlignment="1" applyProtection="1">
      <alignment horizontal="center" vertical="top"/>
      <protection hidden="1"/>
    </xf>
    <xf numFmtId="0" fontId="10" fillId="10" borderId="2" xfId="0" applyFont="1" applyFill="1" applyBorder="1" applyAlignment="1" applyProtection="1">
      <alignment vertical="top"/>
      <protection hidden="1"/>
    </xf>
    <xf numFmtId="0" fontId="10" fillId="10" borderId="15" xfId="0" applyFont="1" applyFill="1" applyBorder="1" applyAlignment="1" applyProtection="1">
      <alignment vertical="top"/>
      <protection hidden="1"/>
    </xf>
    <xf numFmtId="0" fontId="10" fillId="10" borderId="15" xfId="0" applyFont="1" applyFill="1" applyBorder="1" applyAlignment="1" applyProtection="1">
      <alignment horizontal="center" vertical="top"/>
      <protection hidden="1"/>
    </xf>
    <xf numFmtId="0" fontId="11" fillId="0" borderId="2" xfId="0" applyFont="1" applyBorder="1" applyAlignment="1" applyProtection="1">
      <alignment vertical="top" wrapText="1"/>
      <protection hidden="1"/>
    </xf>
    <xf numFmtId="0" fontId="31" fillId="0" borderId="0" xfId="0" applyFont="1" applyProtection="1">
      <protection hidden="1"/>
    </xf>
    <xf numFmtId="0" fontId="14" fillId="0" borderId="0" xfId="0" applyFont="1" applyProtection="1">
      <protection hidden="1"/>
    </xf>
    <xf numFmtId="0" fontId="14" fillId="0" borderId="0" xfId="0" applyFont="1" applyProtection="1">
      <protection locked="0"/>
    </xf>
    <xf numFmtId="0" fontId="9" fillId="4" borderId="2" xfId="1" applyFont="1" applyFill="1" applyBorder="1" applyAlignment="1" applyProtection="1">
      <alignment vertical="top" wrapText="1"/>
      <protection hidden="1"/>
    </xf>
    <xf numFmtId="0" fontId="11" fillId="4" borderId="2" xfId="0" applyFont="1" applyFill="1" applyBorder="1" applyAlignment="1" applyProtection="1">
      <alignment vertical="top" wrapText="1"/>
      <protection hidden="1"/>
    </xf>
    <xf numFmtId="0" fontId="11" fillId="0" borderId="0" xfId="0" applyFont="1" applyAlignment="1" applyProtection="1">
      <alignment horizontal="right" vertical="top" shrinkToFit="1"/>
      <protection hidden="1"/>
    </xf>
    <xf numFmtId="0" fontId="11" fillId="0" borderId="0" xfId="0" applyFont="1" applyAlignment="1" applyProtection="1">
      <alignment vertical="top" shrinkToFit="1"/>
      <protection hidden="1"/>
    </xf>
    <xf numFmtId="0" fontId="16" fillId="0" borderId="0" xfId="0" applyFont="1" applyProtection="1">
      <protection locked="0"/>
    </xf>
    <xf numFmtId="0" fontId="14" fillId="0" borderId="0" xfId="0" applyFont="1" applyAlignment="1" applyProtection="1">
      <alignment vertical="top"/>
      <protection hidden="1"/>
    </xf>
    <xf numFmtId="0" fontId="8" fillId="0" borderId="1" xfId="0" applyFont="1" applyBorder="1" applyAlignment="1" applyProtection="1">
      <alignment horizontal="center" vertical="top"/>
      <protection locked="0"/>
    </xf>
    <xf numFmtId="0" fontId="11" fillId="5" borderId="0" xfId="0" applyFont="1" applyFill="1" applyAlignment="1" applyProtection="1">
      <alignment shrinkToFit="1"/>
      <protection locked="0"/>
    </xf>
    <xf numFmtId="0" fontId="10" fillId="4" borderId="0" xfId="2" applyFont="1" applyFill="1" applyAlignment="1" applyProtection="1">
      <alignment vertical="top"/>
      <protection hidden="1"/>
    </xf>
    <xf numFmtId="0" fontId="16" fillId="0" borderId="2" xfId="0" applyFont="1" applyBorder="1" applyAlignment="1" applyProtection="1">
      <alignment vertical="center"/>
      <protection hidden="1"/>
    </xf>
    <xf numFmtId="0" fontId="11" fillId="0" borderId="2" xfId="0" applyFont="1" applyBorder="1" applyAlignment="1" applyProtection="1">
      <alignment vertical="center" wrapText="1"/>
      <protection hidden="1"/>
    </xf>
    <xf numFmtId="0" fontId="16" fillId="0" borderId="2" xfId="0" applyFont="1" applyBorder="1" applyAlignment="1" applyProtection="1">
      <alignment vertical="center" wrapText="1"/>
      <protection hidden="1"/>
    </xf>
    <xf numFmtId="0" fontId="11" fillId="4" borderId="0" xfId="2" applyFont="1" applyFill="1" applyAlignment="1" applyProtection="1">
      <alignment vertical="top"/>
      <protection hidden="1"/>
    </xf>
    <xf numFmtId="0" fontId="16" fillId="4" borderId="7" xfId="0" applyFont="1" applyFill="1" applyBorder="1" applyProtection="1">
      <protection hidden="1"/>
    </xf>
    <xf numFmtId="0" fontId="25" fillId="0" borderId="0" xfId="0" applyFont="1" applyAlignment="1" applyProtection="1">
      <alignment horizontal="justify" vertical="justify"/>
      <protection hidden="1"/>
    </xf>
    <xf numFmtId="0" fontId="11" fillId="0" borderId="0" xfId="0" applyFont="1" applyProtection="1">
      <protection hidden="1"/>
    </xf>
    <xf numFmtId="0" fontId="21" fillId="0" borderId="0" xfId="0" applyFont="1" applyAlignment="1" applyProtection="1">
      <alignment horizontal="left" vertical="top" shrinkToFit="1"/>
      <protection hidden="1"/>
    </xf>
    <xf numFmtId="0" fontId="11" fillId="0" borderId="0" xfId="0" applyFont="1" applyAlignment="1" applyProtection="1">
      <alignment horizontal="center" vertical="top" shrinkToFit="1"/>
      <protection hidden="1"/>
    </xf>
    <xf numFmtId="0" fontId="5" fillId="0" borderId="0" xfId="0" applyFont="1" applyProtection="1">
      <protection hidden="1"/>
    </xf>
    <xf numFmtId="0" fontId="42" fillId="0" borderId="0" xfId="0" applyFont="1" applyProtection="1">
      <protection hidden="1"/>
    </xf>
    <xf numFmtId="0" fontId="44" fillId="4" borderId="3" xfId="0" applyFont="1" applyFill="1" applyBorder="1" applyAlignment="1" applyProtection="1">
      <alignment vertical="top"/>
      <protection hidden="1"/>
    </xf>
    <xf numFmtId="0" fontId="44" fillId="4" borderId="4" xfId="0" applyFont="1" applyFill="1" applyBorder="1" applyAlignment="1" applyProtection="1">
      <alignment vertical="top"/>
      <protection hidden="1"/>
    </xf>
    <xf numFmtId="0" fontId="46" fillId="4" borderId="5" xfId="0" applyFont="1" applyFill="1" applyBorder="1" applyAlignment="1" applyProtection="1">
      <alignment vertical="top"/>
      <protection hidden="1"/>
    </xf>
    <xf numFmtId="0" fontId="46" fillId="4" borderId="1" xfId="0" applyFont="1" applyFill="1" applyBorder="1" applyAlignment="1" applyProtection="1">
      <alignment horizontal="center" vertical="top"/>
      <protection hidden="1"/>
    </xf>
    <xf numFmtId="0" fontId="34" fillId="0" borderId="0" xfId="0" applyFont="1" applyProtection="1">
      <protection hidden="1"/>
    </xf>
    <xf numFmtId="0" fontId="33" fillId="15" borderId="2" xfId="0" applyFont="1" applyFill="1" applyBorder="1" applyAlignment="1" applyProtection="1">
      <alignment vertical="top" wrapText="1"/>
      <protection hidden="1"/>
    </xf>
    <xf numFmtId="0" fontId="33" fillId="15" borderId="2" xfId="0" applyFont="1" applyFill="1" applyBorder="1" applyAlignment="1" applyProtection="1">
      <alignment vertical="top"/>
      <protection hidden="1"/>
    </xf>
    <xf numFmtId="0" fontId="34" fillId="0" borderId="3" xfId="0" applyFont="1" applyBorder="1" applyAlignment="1" applyProtection="1">
      <alignment horizontal="center"/>
      <protection hidden="1"/>
    </xf>
    <xf numFmtId="0" fontId="49" fillId="0" borderId="3" xfId="0" applyFont="1" applyBorder="1" applyAlignment="1" applyProtection="1">
      <alignment vertical="center" readingOrder="1"/>
      <protection hidden="1"/>
    </xf>
    <xf numFmtId="0" fontId="34" fillId="0" borderId="3" xfId="0" applyFont="1" applyBorder="1" applyProtection="1">
      <protection hidden="1"/>
    </xf>
    <xf numFmtId="0" fontId="34" fillId="0" borderId="4" xfId="0" applyFont="1" applyBorder="1" applyAlignment="1" applyProtection="1">
      <alignment horizontal="center"/>
      <protection hidden="1"/>
    </xf>
    <xf numFmtId="0" fontId="34" fillId="0" borderId="15" xfId="0" applyFont="1" applyBorder="1" applyAlignment="1" applyProtection="1">
      <alignment horizontal="center"/>
      <protection hidden="1"/>
    </xf>
    <xf numFmtId="0" fontId="34" fillId="0" borderId="0" xfId="0" applyFont="1" applyAlignment="1" applyProtection="1">
      <alignment horizontal="center"/>
      <protection hidden="1"/>
    </xf>
    <xf numFmtId="0" fontId="49" fillId="0" borderId="0" xfId="0" applyFont="1" applyAlignment="1" applyProtection="1">
      <alignment vertical="center" readingOrder="1"/>
      <protection hidden="1"/>
    </xf>
    <xf numFmtId="0" fontId="34" fillId="0" borderId="7" xfId="0" applyFont="1" applyBorder="1" applyAlignment="1" applyProtection="1">
      <alignment horizontal="center"/>
      <protection hidden="1"/>
    </xf>
    <xf numFmtId="0" fontId="34" fillId="0" borderId="9" xfId="0" applyFont="1" applyBorder="1" applyAlignment="1" applyProtection="1">
      <alignment horizontal="center"/>
      <protection hidden="1"/>
    </xf>
    <xf numFmtId="0" fontId="34" fillId="0" borderId="5" xfId="0" applyFont="1" applyBorder="1" applyAlignment="1" applyProtection="1">
      <alignment horizontal="center"/>
      <protection hidden="1"/>
    </xf>
    <xf numFmtId="0" fontId="34" fillId="0" borderId="5" xfId="0" applyFont="1" applyBorder="1" applyProtection="1">
      <protection hidden="1"/>
    </xf>
    <xf numFmtId="0" fontId="34" fillId="0" borderId="5" xfId="0" applyFont="1" applyBorder="1" applyAlignment="1" applyProtection="1">
      <alignment horizontal="left" vertical="center" readingOrder="1"/>
      <protection hidden="1"/>
    </xf>
    <xf numFmtId="0" fontId="34" fillId="0" borderId="1" xfId="0" applyFont="1" applyBorder="1" applyAlignment="1" applyProtection="1">
      <alignment horizontal="center"/>
      <protection hidden="1"/>
    </xf>
    <xf numFmtId="0" fontId="11" fillId="5" borderId="15" xfId="0" applyFont="1" applyFill="1" applyBorder="1" applyAlignment="1" applyProtection="1">
      <alignment horizontal="center" shrinkToFit="1"/>
      <protection locked="0"/>
    </xf>
    <xf numFmtId="0" fontId="11" fillId="5" borderId="9" xfId="0" applyFont="1" applyFill="1" applyBorder="1" applyAlignment="1" applyProtection="1">
      <alignment horizontal="center" shrinkToFit="1"/>
      <protection locked="0"/>
    </xf>
    <xf numFmtId="0" fontId="11" fillId="0" borderId="0" xfId="0" applyFont="1" applyAlignment="1" applyProtection="1">
      <alignment vertical="top" wrapText="1"/>
      <protection locked="0"/>
    </xf>
    <xf numFmtId="0" fontId="11" fillId="4" borderId="0" xfId="0" applyFont="1" applyFill="1" applyAlignment="1" applyProtection="1">
      <alignment horizontal="center" vertical="top" wrapText="1"/>
      <protection hidden="1"/>
    </xf>
    <xf numFmtId="0" fontId="16" fillId="4" borderId="1" xfId="0" applyFont="1" applyFill="1" applyBorder="1" applyProtection="1">
      <protection hidden="1"/>
    </xf>
    <xf numFmtId="0" fontId="43" fillId="4" borderId="3" xfId="0" applyFont="1" applyFill="1" applyBorder="1" applyAlignment="1" applyProtection="1">
      <alignment horizontal="center" vertical="center"/>
      <protection hidden="1"/>
    </xf>
    <xf numFmtId="0" fontId="45" fillId="4" borderId="5" xfId="0" applyFont="1" applyFill="1" applyBorder="1" applyAlignment="1" applyProtection="1">
      <alignment horizontal="center" vertical="center"/>
      <protection hidden="1"/>
    </xf>
    <xf numFmtId="0" fontId="50" fillId="0" borderId="0" xfId="2" applyFont="1" applyAlignment="1" applyProtection="1">
      <alignment vertical="top"/>
      <protection hidden="1"/>
    </xf>
    <xf numFmtId="0" fontId="11" fillId="4" borderId="0" xfId="0" applyFont="1" applyFill="1" applyAlignment="1" applyProtection="1">
      <alignment horizontal="center" shrinkToFit="1"/>
      <protection hidden="1"/>
    </xf>
    <xf numFmtId="0" fontId="11" fillId="4" borderId="7" xfId="0" applyFont="1" applyFill="1" applyBorder="1" applyAlignment="1" applyProtection="1">
      <alignment horizontal="center" shrinkToFit="1"/>
      <protection hidden="1"/>
    </xf>
    <xf numFmtId="0" fontId="5" fillId="0" borderId="5" xfId="0" applyFont="1" applyBorder="1" applyProtection="1">
      <protection hidden="1"/>
    </xf>
    <xf numFmtId="0" fontId="16" fillId="0" borderId="0" xfId="0" applyFont="1" applyAlignment="1" applyProtection="1">
      <alignment wrapText="1"/>
      <protection hidden="1"/>
    </xf>
    <xf numFmtId="0" fontId="11" fillId="0" borderId="0" xfId="2" applyFont="1" applyAlignment="1" applyProtection="1">
      <alignment horizontal="left" vertical="top"/>
      <protection hidden="1"/>
    </xf>
    <xf numFmtId="0" fontId="11" fillId="0" borderId="0" xfId="2" applyFont="1" applyAlignment="1" applyProtection="1">
      <alignment horizontal="left" vertical="top" wrapText="1"/>
      <protection hidden="1"/>
    </xf>
    <xf numFmtId="0" fontId="11" fillId="0" borderId="0" xfId="0" applyFont="1" applyAlignment="1" applyProtection="1">
      <alignment horizontal="left" vertical="top" wrapText="1"/>
      <protection hidden="1"/>
    </xf>
    <xf numFmtId="0" fontId="14" fillId="0" borderId="0" xfId="2" applyFont="1" applyAlignment="1" applyProtection="1">
      <alignment horizontal="left" vertical="top" wrapText="1"/>
      <protection hidden="1"/>
    </xf>
    <xf numFmtId="0" fontId="51" fillId="0" borderId="0" xfId="2" applyFont="1" applyAlignment="1" applyProtection="1">
      <alignment vertical="top"/>
      <protection hidden="1"/>
    </xf>
    <xf numFmtId="0" fontId="11" fillId="4" borderId="0" xfId="0" applyFont="1" applyFill="1" applyAlignment="1" applyProtection="1">
      <alignment horizontal="center" vertical="top" wrapText="1" shrinkToFit="1"/>
      <protection hidden="1"/>
    </xf>
    <xf numFmtId="0" fontId="9" fillId="4" borderId="0" xfId="1" applyFont="1" applyFill="1" applyBorder="1" applyAlignment="1" applyProtection="1">
      <alignment vertical="center" wrapText="1" shrinkToFit="1"/>
      <protection hidden="1"/>
    </xf>
    <xf numFmtId="0" fontId="9" fillId="4" borderId="5" xfId="1" applyFont="1" applyFill="1" applyBorder="1" applyAlignment="1" applyProtection="1">
      <alignment vertical="center" wrapText="1" shrinkToFit="1"/>
      <protection hidden="1"/>
    </xf>
    <xf numFmtId="0" fontId="55" fillId="4" borderId="0" xfId="0" applyFont="1" applyFill="1" applyAlignment="1" applyProtection="1">
      <alignment horizontal="left" vertical="top" shrinkToFit="1"/>
      <protection hidden="1"/>
    </xf>
    <xf numFmtId="0" fontId="16" fillId="4" borderId="3" xfId="0" applyFont="1" applyFill="1" applyBorder="1" applyProtection="1">
      <protection hidden="1"/>
    </xf>
    <xf numFmtId="0" fontId="16" fillId="4" borderId="4" xfId="0" applyFont="1" applyFill="1" applyBorder="1" applyProtection="1">
      <protection hidden="1"/>
    </xf>
    <xf numFmtId="0" fontId="16" fillId="4" borderId="2" xfId="0" applyFont="1" applyFill="1" applyBorder="1" applyAlignment="1" applyProtection="1">
      <alignment vertical="center" wrapText="1"/>
      <protection hidden="1"/>
    </xf>
    <xf numFmtId="0" fontId="11" fillId="16" borderId="0" xfId="0" applyFont="1" applyFill="1" applyProtection="1">
      <protection hidden="1"/>
    </xf>
    <xf numFmtId="0" fontId="10" fillId="16" borderId="0" xfId="0" applyFont="1" applyFill="1" applyProtection="1">
      <protection hidden="1"/>
    </xf>
    <xf numFmtId="0" fontId="11" fillId="16" borderId="0" xfId="2" applyFont="1" applyFill="1" applyAlignment="1" applyProtection="1">
      <alignment vertical="top"/>
      <protection hidden="1"/>
    </xf>
    <xf numFmtId="0" fontId="11" fillId="0" borderId="0" xfId="0" applyFont="1" applyAlignment="1" applyProtection="1">
      <alignment vertical="justify" shrinkToFit="1"/>
      <protection locked="0"/>
    </xf>
    <xf numFmtId="0" fontId="11" fillId="0" borderId="6" xfId="0" applyFont="1" applyBorder="1" applyAlignment="1" applyProtection="1">
      <alignment vertical="justify" shrinkToFit="1"/>
      <protection locked="0"/>
    </xf>
    <xf numFmtId="2" fontId="11" fillId="0" borderId="0" xfId="0" applyNumberFormat="1" applyFont="1" applyAlignment="1" applyProtection="1">
      <alignment vertical="justify" shrinkToFit="1"/>
      <protection locked="0"/>
    </xf>
    <xf numFmtId="0" fontId="11" fillId="4" borderId="6" xfId="0" applyFont="1" applyFill="1" applyBorder="1" applyAlignment="1" applyProtection="1">
      <alignment horizontal="right" vertical="top" shrinkToFit="1"/>
      <protection hidden="1"/>
    </xf>
    <xf numFmtId="0" fontId="58" fillId="0" borderId="3" xfId="0" applyFont="1" applyBorder="1" applyAlignment="1" applyProtection="1">
      <alignment vertical="top"/>
      <protection hidden="1"/>
    </xf>
    <xf numFmtId="0" fontId="59" fillId="0" borderId="3" xfId="0" applyFont="1" applyBorder="1" applyAlignment="1" applyProtection="1">
      <alignment horizontal="left" vertical="top" readingOrder="1"/>
      <protection hidden="1"/>
    </xf>
    <xf numFmtId="0" fontId="16" fillId="16" borderId="2" xfId="0" applyFont="1" applyFill="1" applyBorder="1" applyAlignment="1" applyProtection="1">
      <alignment vertical="top" wrapText="1"/>
      <protection hidden="1"/>
    </xf>
    <xf numFmtId="0" fontId="11" fillId="16" borderId="2" xfId="0" applyFont="1" applyFill="1" applyBorder="1" applyAlignment="1" applyProtection="1">
      <alignment vertical="top" wrapText="1"/>
      <protection hidden="1"/>
    </xf>
    <xf numFmtId="0" fontId="9" fillId="16" borderId="2" xfId="1" applyFont="1" applyFill="1" applyBorder="1" applyAlignment="1" applyProtection="1">
      <alignment vertical="top" wrapText="1"/>
      <protection hidden="1"/>
    </xf>
    <xf numFmtId="0" fontId="42" fillId="0" borderId="0" xfId="0" applyFont="1" applyAlignment="1" applyProtection="1">
      <alignment horizontal="justify" vertical="center"/>
      <protection hidden="1"/>
    </xf>
    <xf numFmtId="0" fontId="11" fillId="4" borderId="0" xfId="0" applyFont="1" applyFill="1" applyAlignment="1" applyProtection="1">
      <alignment vertical="top" wrapText="1" shrinkToFit="1"/>
      <protection hidden="1"/>
    </xf>
    <xf numFmtId="0" fontId="21" fillId="4" borderId="0" xfId="0" applyFont="1" applyFill="1" applyAlignment="1" applyProtection="1">
      <alignment vertical="top" shrinkToFit="1"/>
      <protection hidden="1"/>
    </xf>
    <xf numFmtId="0" fontId="9" fillId="4" borderId="0" xfId="1" applyFont="1" applyFill="1" applyBorder="1" applyAlignment="1" applyProtection="1">
      <alignment horizontal="right" vertical="top" shrinkToFit="1"/>
      <protection hidden="1"/>
    </xf>
    <xf numFmtId="0" fontId="11" fillId="4" borderId="0" xfId="0" applyFont="1" applyFill="1" applyAlignment="1" applyProtection="1">
      <alignment horizontal="right" vertical="top" shrinkToFit="1"/>
      <protection hidden="1"/>
    </xf>
    <xf numFmtId="0" fontId="14" fillId="4" borderId="12" xfId="0" applyFont="1" applyFill="1" applyBorder="1" applyAlignment="1" applyProtection="1">
      <alignment wrapText="1"/>
      <protection hidden="1"/>
    </xf>
    <xf numFmtId="0" fontId="11" fillId="4" borderId="2" xfId="0" applyFont="1" applyFill="1" applyBorder="1" applyProtection="1">
      <protection hidden="1"/>
    </xf>
    <xf numFmtId="0" fontId="14" fillId="4" borderId="5" xfId="0" applyFont="1" applyFill="1" applyBorder="1" applyAlignment="1" applyProtection="1">
      <alignment wrapText="1"/>
      <protection hidden="1"/>
    </xf>
    <xf numFmtId="14" fontId="11" fillId="4" borderId="0" xfId="0" applyNumberFormat="1" applyFont="1" applyFill="1" applyAlignment="1" applyProtection="1">
      <alignment vertical="top" shrinkToFit="1"/>
      <protection hidden="1"/>
    </xf>
    <xf numFmtId="0" fontId="14" fillId="4" borderId="0" xfId="0" applyFont="1" applyFill="1" applyProtection="1">
      <protection hidden="1"/>
    </xf>
    <xf numFmtId="0" fontId="14" fillId="4" borderId="5" xfId="0" applyFont="1" applyFill="1" applyBorder="1" applyProtection="1">
      <protection hidden="1"/>
    </xf>
    <xf numFmtId="0" fontId="14" fillId="4" borderId="0" xfId="0" applyFont="1" applyFill="1" applyAlignment="1" applyProtection="1">
      <alignment horizontal="center"/>
      <protection hidden="1"/>
    </xf>
    <xf numFmtId="0" fontId="14" fillId="0" borderId="10" xfId="0" applyFont="1" applyBorder="1" applyProtection="1">
      <protection hidden="1"/>
    </xf>
    <xf numFmtId="0" fontId="14" fillId="0" borderId="3" xfId="0" applyFont="1" applyBorder="1" applyProtection="1">
      <protection hidden="1"/>
    </xf>
    <xf numFmtId="0" fontId="14" fillId="0" borderId="4" xfId="0" applyFont="1" applyBorder="1" applyProtection="1">
      <protection hidden="1"/>
    </xf>
    <xf numFmtId="0" fontId="14" fillId="4" borderId="3" xfId="0" applyFont="1" applyFill="1" applyBorder="1" applyProtection="1">
      <protection hidden="1"/>
    </xf>
    <xf numFmtId="0" fontId="14" fillId="4" borderId="4" xfId="0" applyFont="1" applyFill="1" applyBorder="1" applyProtection="1">
      <protection hidden="1"/>
    </xf>
    <xf numFmtId="0" fontId="14" fillId="4" borderId="7" xfId="0" applyFont="1" applyFill="1" applyBorder="1" applyProtection="1">
      <protection hidden="1"/>
    </xf>
    <xf numFmtId="0" fontId="14" fillId="4" borderId="8" xfId="0" applyFont="1" applyFill="1" applyBorder="1" applyProtection="1">
      <protection hidden="1"/>
    </xf>
    <xf numFmtId="0" fontId="14" fillId="4" borderId="1" xfId="0" applyFont="1" applyFill="1" applyBorder="1" applyProtection="1">
      <protection hidden="1"/>
    </xf>
    <xf numFmtId="0" fontId="42" fillId="0" borderId="0" xfId="0" applyFont="1" applyAlignment="1" applyProtection="1">
      <alignment vertical="center"/>
      <protection hidden="1"/>
    </xf>
    <xf numFmtId="0" fontId="0" fillId="0" borderId="0" xfId="0" applyProtection="1">
      <protection hidden="1"/>
    </xf>
    <xf numFmtId="0" fontId="5" fillId="7" borderId="1" xfId="2" applyFont="1" applyFill="1" applyBorder="1" applyAlignment="1" applyProtection="1">
      <alignment vertical="top"/>
      <protection hidden="1"/>
    </xf>
    <xf numFmtId="0" fontId="5" fillId="0" borderId="6" xfId="2" applyFont="1" applyBorder="1" applyAlignment="1" applyProtection="1">
      <alignment vertical="top"/>
      <protection hidden="1"/>
    </xf>
    <xf numFmtId="0" fontId="5" fillId="0" borderId="7" xfId="2" applyFont="1" applyBorder="1" applyAlignment="1" applyProtection="1">
      <alignment vertical="top"/>
      <protection hidden="1"/>
    </xf>
    <xf numFmtId="0" fontId="5" fillId="0" borderId="8" xfId="2" applyFont="1" applyBorder="1" applyAlignment="1" applyProtection="1">
      <alignment vertical="top"/>
      <protection hidden="1"/>
    </xf>
    <xf numFmtId="0" fontId="14" fillId="4" borderId="2" xfId="0" applyFont="1" applyFill="1" applyBorder="1" applyAlignment="1" applyProtection="1">
      <alignment horizontal="center" vertical="center" wrapText="1"/>
      <protection hidden="1"/>
    </xf>
    <xf numFmtId="0" fontId="11" fillId="0" borderId="0" xfId="0" applyFont="1" applyAlignment="1" applyProtection="1">
      <alignment shrinkToFit="1"/>
      <protection locked="0"/>
    </xf>
    <xf numFmtId="0" fontId="39" fillId="0" borderId="0" xfId="0" applyFont="1" applyAlignment="1" applyProtection="1">
      <alignment shrinkToFit="1"/>
      <protection locked="0"/>
    </xf>
    <xf numFmtId="0" fontId="35" fillId="4" borderId="3" xfId="0" applyFont="1" applyFill="1" applyBorder="1" applyAlignment="1" applyProtection="1">
      <alignment vertical="center"/>
      <protection hidden="1"/>
    </xf>
    <xf numFmtId="0" fontId="35" fillId="4" borderId="4" xfId="0" applyFont="1" applyFill="1" applyBorder="1" applyAlignment="1" applyProtection="1">
      <alignment vertical="center"/>
      <protection hidden="1"/>
    </xf>
    <xf numFmtId="0" fontId="11" fillId="0" borderId="0" xfId="0" applyFont="1" applyProtection="1">
      <protection locked="0"/>
    </xf>
    <xf numFmtId="0" fontId="14" fillId="0" borderId="0" xfId="0" applyFont="1" applyAlignment="1" applyProtection="1">
      <alignment vertical="top" wrapText="1"/>
      <protection hidden="1"/>
    </xf>
    <xf numFmtId="0" fontId="17" fillId="16" borderId="12" xfId="0" applyFont="1" applyFill="1" applyBorder="1" applyAlignment="1" applyProtection="1">
      <alignment vertical="top"/>
      <protection hidden="1"/>
    </xf>
    <xf numFmtId="0" fontId="17" fillId="16" borderId="12" xfId="0" applyFont="1" applyFill="1" applyBorder="1" applyAlignment="1" applyProtection="1">
      <alignment vertical="top" wrapText="1"/>
      <protection hidden="1"/>
    </xf>
    <xf numFmtId="0" fontId="9" fillId="17" borderId="2" xfId="1" applyFont="1" applyFill="1" applyBorder="1" applyAlignment="1" applyProtection="1">
      <alignment vertical="top" wrapText="1"/>
      <protection hidden="1"/>
    </xf>
    <xf numFmtId="0" fontId="10" fillId="13" borderId="12" xfId="0" applyFont="1" applyFill="1" applyBorder="1" applyProtection="1">
      <protection hidden="1"/>
    </xf>
    <xf numFmtId="0" fontId="10" fillId="13" borderId="12" xfId="2" applyFont="1" applyFill="1" applyBorder="1" applyAlignment="1" applyProtection="1">
      <alignment vertical="top"/>
      <protection hidden="1"/>
    </xf>
    <xf numFmtId="0" fontId="10" fillId="13" borderId="12" xfId="0" applyFont="1" applyFill="1" applyBorder="1" applyAlignment="1" applyProtection="1">
      <alignment shrinkToFit="1"/>
      <protection hidden="1"/>
    </xf>
    <xf numFmtId="0" fontId="11" fillId="13" borderId="0" xfId="0" applyFont="1" applyFill="1" applyProtection="1">
      <protection hidden="1"/>
    </xf>
    <xf numFmtId="0" fontId="9" fillId="0" borderId="2" xfId="1" applyFont="1" applyFill="1" applyBorder="1" applyAlignment="1" applyProtection="1">
      <alignment vertical="center" wrapText="1"/>
      <protection hidden="1"/>
    </xf>
    <xf numFmtId="0" fontId="11" fillId="0" borderId="2" xfId="0" applyFont="1" applyBorder="1" applyAlignment="1" applyProtection="1">
      <alignment horizontal="center" vertical="top" wrapText="1"/>
      <protection hidden="1"/>
    </xf>
    <xf numFmtId="0" fontId="24" fillId="4" borderId="3" xfId="0" applyFont="1" applyFill="1" applyBorder="1" applyAlignment="1" applyProtection="1">
      <alignment vertical="top" shrinkToFit="1"/>
      <protection hidden="1"/>
    </xf>
    <xf numFmtId="0" fontId="22" fillId="4" borderId="3" xfId="0" applyFont="1" applyFill="1" applyBorder="1" applyAlignment="1" applyProtection="1">
      <alignment horizontal="center" vertical="top" shrinkToFit="1"/>
      <protection hidden="1"/>
    </xf>
    <xf numFmtId="0" fontId="10" fillId="4" borderId="3" xfId="0" applyFont="1" applyFill="1" applyBorder="1" applyAlignment="1" applyProtection="1">
      <alignment vertical="top" shrinkToFit="1"/>
      <protection hidden="1"/>
    </xf>
    <xf numFmtId="0" fontId="11" fillId="0" borderId="18" xfId="0" applyFont="1" applyBorder="1" applyAlignment="1" applyProtection="1">
      <alignment horizontal="left" vertical="top"/>
      <protection hidden="1"/>
    </xf>
    <xf numFmtId="0" fontId="11" fillId="0" borderId="16" xfId="0" applyFont="1" applyBorder="1" applyAlignment="1" applyProtection="1">
      <alignment horizontal="left" vertical="top"/>
      <protection hidden="1"/>
    </xf>
    <xf numFmtId="0" fontId="11" fillId="0" borderId="17" xfId="2" applyFont="1" applyBorder="1" applyAlignment="1" applyProtection="1">
      <alignment horizontal="left" vertical="top"/>
      <protection hidden="1"/>
    </xf>
    <xf numFmtId="0" fontId="11" fillId="0" borderId="24" xfId="2" applyFont="1" applyBorder="1" applyAlignment="1" applyProtection="1">
      <alignment horizontal="left" vertical="top"/>
      <protection hidden="1"/>
    </xf>
    <xf numFmtId="0" fontId="11" fillId="0" borderId="0" xfId="2" applyFont="1" applyAlignment="1" applyProtection="1">
      <alignment horizontal="left" vertical="top" shrinkToFit="1"/>
      <protection hidden="1"/>
    </xf>
    <xf numFmtId="0" fontId="11" fillId="0" borderId="27" xfId="0" applyFont="1" applyBorder="1" applyAlignment="1" applyProtection="1">
      <alignment vertical="top" shrinkToFit="1"/>
      <protection hidden="1"/>
    </xf>
    <xf numFmtId="0" fontId="11" fillId="0" borderId="26" xfId="0" applyFont="1" applyBorder="1" applyAlignment="1" applyProtection="1">
      <alignment vertical="top"/>
      <protection hidden="1"/>
    </xf>
    <xf numFmtId="0" fontId="14" fillId="0" borderId="26" xfId="0" applyFont="1" applyBorder="1" applyAlignment="1" applyProtection="1">
      <alignment vertical="top" wrapText="1"/>
      <protection hidden="1"/>
    </xf>
    <xf numFmtId="0" fontId="14" fillId="0" borderId="28" xfId="0" applyFont="1" applyBorder="1" applyAlignment="1" applyProtection="1">
      <alignment vertical="top" wrapText="1"/>
      <protection hidden="1"/>
    </xf>
    <xf numFmtId="0" fontId="11" fillId="0" borderId="24" xfId="2" applyFont="1" applyBorder="1" applyAlignment="1" applyProtection="1">
      <alignment horizontal="left" vertical="top" wrapText="1"/>
      <protection hidden="1"/>
    </xf>
    <xf numFmtId="0" fontId="14" fillId="0" borderId="24" xfId="2" applyFont="1" applyBorder="1" applyAlignment="1" applyProtection="1">
      <alignment horizontal="left" vertical="top" wrapText="1"/>
      <protection hidden="1"/>
    </xf>
    <xf numFmtId="0" fontId="11" fillId="0" borderId="25" xfId="2" applyFont="1" applyBorder="1" applyAlignment="1" applyProtection="1">
      <alignment horizontal="left" vertical="top" wrapText="1"/>
      <protection hidden="1"/>
    </xf>
    <xf numFmtId="0" fontId="11" fillId="0" borderId="16" xfId="0" applyFont="1" applyBorder="1" applyAlignment="1" applyProtection="1">
      <alignment horizontal="left" vertical="top" wrapText="1"/>
      <protection hidden="1"/>
    </xf>
    <xf numFmtId="0" fontId="11" fillId="0" borderId="16" xfId="2" applyFont="1" applyBorder="1" applyAlignment="1" applyProtection="1">
      <alignment horizontal="left" vertical="top" wrapText="1"/>
      <protection hidden="1"/>
    </xf>
    <xf numFmtId="0" fontId="11" fillId="0" borderId="19" xfId="0" applyFont="1" applyBorder="1" applyAlignment="1" applyProtection="1">
      <alignment horizontal="left" vertical="top" wrapText="1"/>
      <protection hidden="1"/>
    </xf>
    <xf numFmtId="0" fontId="52" fillId="0" borderId="0" xfId="0" applyFont="1" applyAlignment="1" applyProtection="1">
      <alignment horizontal="left" vertical="top" wrapText="1"/>
      <protection hidden="1"/>
    </xf>
    <xf numFmtId="0" fontId="14" fillId="17" borderId="2" xfId="0" applyFont="1" applyFill="1" applyBorder="1" applyAlignment="1" applyProtection="1">
      <alignment vertical="top"/>
      <protection hidden="1"/>
    </xf>
    <xf numFmtId="0" fontId="9" fillId="17" borderId="2" xfId="1" applyFont="1" applyFill="1" applyBorder="1" applyAlignment="1" applyProtection="1">
      <alignment vertical="top"/>
      <protection hidden="1"/>
    </xf>
    <xf numFmtId="0" fontId="16" fillId="4" borderId="2" xfId="0" applyFont="1" applyFill="1" applyBorder="1" applyAlignment="1" applyProtection="1">
      <alignment vertical="top" wrapText="1"/>
      <protection hidden="1"/>
    </xf>
    <xf numFmtId="0" fontId="14" fillId="17" borderId="2" xfId="0" applyFont="1" applyFill="1" applyBorder="1" applyAlignment="1" applyProtection="1">
      <alignment vertical="top" wrapText="1"/>
      <protection hidden="1"/>
    </xf>
    <xf numFmtId="0" fontId="16" fillId="4" borderId="2" xfId="0" applyFont="1" applyFill="1" applyBorder="1" applyAlignment="1" applyProtection="1">
      <alignment vertical="top"/>
      <protection hidden="1"/>
    </xf>
    <xf numFmtId="0" fontId="14" fillId="17" borderId="2" xfId="0" applyFont="1" applyFill="1" applyBorder="1" applyAlignment="1" applyProtection="1">
      <alignment horizontal="center" vertical="top" wrapText="1"/>
      <protection hidden="1"/>
    </xf>
    <xf numFmtId="0" fontId="16" fillId="16" borderId="2" xfId="0" applyFont="1" applyFill="1" applyBorder="1" applyAlignment="1" applyProtection="1">
      <alignment vertical="top"/>
      <protection hidden="1"/>
    </xf>
    <xf numFmtId="0" fontId="11" fillId="4" borderId="0" xfId="0" applyFont="1" applyFill="1" applyAlignment="1" applyProtection="1">
      <alignment horizontal="center" vertical="top" shrinkToFit="1"/>
      <protection hidden="1"/>
    </xf>
    <xf numFmtId="0" fontId="11" fillId="7" borderId="0" xfId="2" applyFont="1" applyFill="1" applyAlignment="1" applyProtection="1">
      <alignment horizontal="left" vertical="top" wrapText="1"/>
      <protection hidden="1"/>
    </xf>
    <xf numFmtId="0" fontId="7" fillId="4" borderId="5" xfId="0" applyFont="1" applyFill="1" applyBorder="1" applyAlignment="1" applyProtection="1">
      <alignment horizontal="center" vertical="top"/>
      <protection hidden="1"/>
    </xf>
    <xf numFmtId="0" fontId="17" fillId="0" borderId="0" xfId="0" applyFont="1" applyProtection="1">
      <protection hidden="1"/>
    </xf>
    <xf numFmtId="0" fontId="15" fillId="0" borderId="0" xfId="0" applyFont="1"/>
    <xf numFmtId="0" fontId="11" fillId="7" borderId="0" xfId="2" applyFont="1" applyFill="1" applyAlignment="1" applyProtection="1">
      <alignment vertical="top"/>
      <protection hidden="1"/>
    </xf>
    <xf numFmtId="0" fontId="15" fillId="0" borderId="7" xfId="0" applyFont="1" applyBorder="1" applyProtection="1">
      <protection hidden="1"/>
    </xf>
    <xf numFmtId="0" fontId="57" fillId="0" borderId="6" xfId="8" applyFont="1" applyBorder="1" applyProtection="1">
      <protection hidden="1"/>
    </xf>
    <xf numFmtId="0" fontId="57" fillId="0" borderId="0" xfId="8" applyFont="1" applyProtection="1">
      <protection hidden="1"/>
    </xf>
    <xf numFmtId="0" fontId="57" fillId="0" borderId="6" xfId="0" applyFont="1" applyBorder="1" applyProtection="1">
      <protection hidden="1"/>
    </xf>
    <xf numFmtId="0" fontId="57" fillId="0" borderId="0" xfId="0" applyFont="1" applyProtection="1">
      <protection hidden="1"/>
    </xf>
    <xf numFmtId="0" fontId="15" fillId="0" borderId="0" xfId="0" applyFont="1" applyProtection="1">
      <protection hidden="1"/>
    </xf>
    <xf numFmtId="0" fontId="15" fillId="0" borderId="5" xfId="0" applyFont="1" applyBorder="1"/>
    <xf numFmtId="0" fontId="15" fillId="8" borderId="0" xfId="0" applyFont="1" applyFill="1"/>
    <xf numFmtId="0" fontId="5" fillId="8" borderId="0" xfId="0" applyFont="1" applyFill="1" applyAlignment="1" applyProtection="1">
      <alignment vertical="top"/>
      <protection hidden="1"/>
    </xf>
    <xf numFmtId="0" fontId="5" fillId="9" borderId="0" xfId="0" applyFont="1" applyFill="1" applyProtection="1">
      <protection hidden="1"/>
    </xf>
    <xf numFmtId="0" fontId="5" fillId="3" borderId="0" xfId="0" applyFont="1" applyFill="1" applyProtection="1">
      <protection hidden="1"/>
    </xf>
    <xf numFmtId="0" fontId="5" fillId="3" borderId="5" xfId="0" applyFont="1" applyFill="1" applyBorder="1" applyProtection="1">
      <protection hidden="1"/>
    </xf>
    <xf numFmtId="0" fontId="15" fillId="3" borderId="0" xfId="0" applyFont="1" applyFill="1"/>
    <xf numFmtId="0" fontId="61" fillId="0" borderId="0" xfId="0" applyFont="1"/>
    <xf numFmtId="0" fontId="60" fillId="0" borderId="0" xfId="0" applyFont="1" applyAlignment="1" applyProtection="1">
      <alignment vertical="center"/>
      <protection hidden="1"/>
    </xf>
    <xf numFmtId="0" fontId="16" fillId="4" borderId="9" xfId="0" applyFont="1" applyFill="1" applyBorder="1" applyAlignment="1" applyProtection="1">
      <alignment horizontal="right"/>
      <protection hidden="1"/>
    </xf>
    <xf numFmtId="0" fontId="16" fillId="4" borderId="12" xfId="0" applyFont="1" applyFill="1" applyBorder="1" applyAlignment="1" applyProtection="1">
      <alignment horizontal="right"/>
      <protection hidden="1"/>
    </xf>
    <xf numFmtId="0" fontId="5" fillId="0" borderId="6" xfId="0" applyFont="1" applyBorder="1" applyProtection="1">
      <protection hidden="1"/>
    </xf>
    <xf numFmtId="0" fontId="5" fillId="0" borderId="7" xfId="0" applyFont="1" applyBorder="1" applyProtection="1">
      <protection hidden="1"/>
    </xf>
    <xf numFmtId="0" fontId="5" fillId="0" borderId="8" xfId="0" applyFont="1" applyBorder="1" applyProtection="1">
      <protection hidden="1"/>
    </xf>
    <xf numFmtId="0" fontId="5" fillId="0" borderId="1" xfId="0" applyFont="1" applyBorder="1" applyProtection="1">
      <protection hidden="1"/>
    </xf>
    <xf numFmtId="0" fontId="11" fillId="0" borderId="0" xfId="0" applyFont="1" applyAlignment="1" applyProtection="1">
      <alignment horizontal="left" vertical="top"/>
      <protection hidden="1"/>
    </xf>
    <xf numFmtId="0" fontId="5" fillId="8" borderId="4" xfId="0" applyFont="1" applyFill="1" applyBorder="1" applyProtection="1">
      <protection hidden="1"/>
    </xf>
    <xf numFmtId="0" fontId="14" fillId="0" borderId="0" xfId="0" applyFont="1"/>
    <xf numFmtId="0" fontId="16" fillId="4" borderId="15" xfId="0" applyFont="1" applyFill="1" applyBorder="1" applyAlignment="1" applyProtection="1">
      <alignment horizontal="center" vertical="top" wrapText="1"/>
      <protection hidden="1"/>
    </xf>
    <xf numFmtId="0" fontId="5" fillId="0" borderId="7" xfId="2" applyFont="1" applyBorder="1" applyProtection="1">
      <protection hidden="1"/>
    </xf>
    <xf numFmtId="0" fontId="61" fillId="0" borderId="6" xfId="2" applyFont="1" applyBorder="1" applyProtection="1">
      <protection hidden="1"/>
    </xf>
    <xf numFmtId="0" fontId="5" fillId="0" borderId="0" xfId="0" applyFont="1"/>
    <xf numFmtId="0" fontId="41" fillId="0" borderId="0" xfId="0" applyFont="1"/>
    <xf numFmtId="0" fontId="15" fillId="0" borderId="29" xfId="0" applyFont="1" applyBorder="1"/>
    <xf numFmtId="0" fontId="14" fillId="0" borderId="10" xfId="0" applyFont="1" applyBorder="1" applyAlignment="1" applyProtection="1">
      <alignment horizontal="center"/>
      <protection locked="0"/>
    </xf>
    <xf numFmtId="0" fontId="14" fillId="0" borderId="6" xfId="0" applyFont="1" applyBorder="1" applyAlignment="1" applyProtection="1">
      <alignment horizontal="center"/>
      <protection locked="0"/>
    </xf>
    <xf numFmtId="0" fontId="5" fillId="0" borderId="9" xfId="0" applyFont="1" applyBorder="1" applyProtection="1">
      <protection hidden="1"/>
    </xf>
    <xf numFmtId="0" fontId="5" fillId="0" borderId="12" xfId="0" applyFont="1" applyBorder="1" applyProtection="1">
      <protection hidden="1"/>
    </xf>
    <xf numFmtId="0" fontId="40" fillId="0" borderId="0" xfId="0" applyFont="1" applyAlignment="1" applyProtection="1">
      <alignment vertical="top"/>
      <protection hidden="1"/>
    </xf>
    <xf numFmtId="0" fontId="57" fillId="0" borderId="0" xfId="7" applyFont="1" applyProtection="1">
      <protection hidden="1"/>
    </xf>
    <xf numFmtId="0" fontId="5" fillId="12" borderId="10" xfId="0" applyFont="1" applyFill="1" applyBorder="1" applyProtection="1">
      <protection hidden="1"/>
    </xf>
    <xf numFmtId="0" fontId="5" fillId="12" borderId="15" xfId="0" applyFont="1" applyFill="1" applyBorder="1" applyProtection="1">
      <protection hidden="1"/>
    </xf>
    <xf numFmtId="0" fontId="57" fillId="8" borderId="10" xfId="0" applyFont="1" applyFill="1" applyBorder="1" applyProtection="1">
      <protection hidden="1"/>
    </xf>
    <xf numFmtId="0" fontId="5" fillId="12" borderId="3" xfId="0" applyFont="1" applyFill="1" applyBorder="1" applyProtection="1">
      <protection hidden="1"/>
    </xf>
    <xf numFmtId="0" fontId="5" fillId="12" borderId="4" xfId="0" applyFont="1" applyFill="1" applyBorder="1" applyProtection="1">
      <protection hidden="1"/>
    </xf>
    <xf numFmtId="0" fontId="57" fillId="0" borderId="9" xfId="0" applyFont="1" applyBorder="1" applyProtection="1">
      <protection hidden="1"/>
    </xf>
    <xf numFmtId="0" fontId="57" fillId="0" borderId="5" xfId="0" applyFont="1" applyBorder="1" applyProtection="1">
      <protection hidden="1"/>
    </xf>
    <xf numFmtId="0" fontId="57" fillId="0" borderId="7" xfId="0" applyFont="1" applyBorder="1" applyProtection="1">
      <protection hidden="1"/>
    </xf>
    <xf numFmtId="0" fontId="57" fillId="8" borderId="3" xfId="0" applyFont="1" applyFill="1" applyBorder="1" applyProtection="1">
      <protection hidden="1"/>
    </xf>
    <xf numFmtId="0" fontId="57" fillId="8" borderId="4" xfId="0" applyFont="1" applyFill="1" applyBorder="1" applyProtection="1">
      <protection hidden="1"/>
    </xf>
    <xf numFmtId="0" fontId="57" fillId="7" borderId="8" xfId="0" applyFont="1" applyFill="1" applyBorder="1" applyProtection="1">
      <protection hidden="1"/>
    </xf>
    <xf numFmtId="0" fontId="57" fillId="7" borderId="1" xfId="0" applyFont="1" applyFill="1" applyBorder="1" applyProtection="1">
      <protection hidden="1"/>
    </xf>
    <xf numFmtId="0" fontId="62" fillId="0" borderId="0" xfId="0" applyFont="1" applyProtection="1">
      <protection hidden="1"/>
    </xf>
    <xf numFmtId="0" fontId="5" fillId="12" borderId="0" xfId="0" applyFont="1" applyFill="1" applyAlignment="1" applyProtection="1">
      <alignment vertical="top"/>
      <protection hidden="1"/>
    </xf>
    <xf numFmtId="0" fontId="5" fillId="0" borderId="0" xfId="0" applyFont="1" applyAlignment="1" applyProtection="1">
      <alignment vertical="top"/>
      <protection hidden="1"/>
    </xf>
    <xf numFmtId="0" fontId="57" fillId="0" borderId="0" xfId="9" applyFont="1"/>
    <xf numFmtId="0" fontId="57" fillId="0" borderId="8" xfId="0" applyFont="1" applyBorder="1" applyProtection="1">
      <protection hidden="1"/>
    </xf>
    <xf numFmtId="0" fontId="57" fillId="0" borderId="1" xfId="0" applyFont="1" applyBorder="1" applyProtection="1">
      <protection hidden="1"/>
    </xf>
    <xf numFmtId="0" fontId="5" fillId="8" borderId="2" xfId="2" applyFont="1" applyFill="1" applyBorder="1" applyAlignment="1" applyProtection="1">
      <alignment vertical="top"/>
      <protection hidden="1"/>
    </xf>
    <xf numFmtId="0" fontId="5" fillId="2" borderId="1" xfId="2" applyFont="1" applyFill="1" applyBorder="1" applyAlignment="1" applyProtection="1">
      <alignment vertical="top"/>
      <protection hidden="1"/>
    </xf>
    <xf numFmtId="0" fontId="57" fillId="13" borderId="10" xfId="0" applyFont="1" applyFill="1" applyBorder="1" applyProtection="1">
      <protection hidden="1"/>
    </xf>
    <xf numFmtId="0" fontId="57" fillId="13" borderId="4" xfId="0" applyFont="1" applyFill="1" applyBorder="1" applyProtection="1">
      <protection hidden="1"/>
    </xf>
    <xf numFmtId="0" fontId="57" fillId="13" borderId="15" xfId="0" applyFont="1" applyFill="1" applyBorder="1" applyProtection="1">
      <protection hidden="1"/>
    </xf>
    <xf numFmtId="0" fontId="62" fillId="8" borderId="10" xfId="0" applyFont="1" applyFill="1" applyBorder="1" applyProtection="1">
      <protection hidden="1"/>
    </xf>
    <xf numFmtId="0" fontId="62" fillId="8" borderId="3" xfId="0" applyFont="1" applyFill="1" applyBorder="1" applyProtection="1">
      <protection hidden="1"/>
    </xf>
    <xf numFmtId="0" fontId="5" fillId="8" borderId="10" xfId="0" applyFont="1" applyFill="1" applyBorder="1" applyAlignment="1" applyProtection="1">
      <alignment vertical="top"/>
      <protection hidden="1"/>
    </xf>
    <xf numFmtId="0" fontId="5" fillId="8" borderId="4" xfId="0" applyFont="1" applyFill="1" applyBorder="1" applyAlignment="1" applyProtection="1">
      <alignment vertical="top"/>
      <protection hidden="1"/>
    </xf>
    <xf numFmtId="0" fontId="57" fillId="7" borderId="5" xfId="0" applyFont="1" applyFill="1" applyBorder="1" applyProtection="1">
      <protection hidden="1"/>
    </xf>
    <xf numFmtId="16" fontId="5" fillId="0" borderId="7" xfId="0" applyNumberFormat="1" applyFont="1" applyBorder="1" applyProtection="1">
      <protection hidden="1"/>
    </xf>
    <xf numFmtId="0" fontId="65" fillId="0" borderId="6" xfId="0" applyFont="1" applyBorder="1" applyProtection="1">
      <protection hidden="1"/>
    </xf>
    <xf numFmtId="0" fontId="65" fillId="0" borderId="7" xfId="0" applyFont="1" applyBorder="1" applyProtection="1">
      <protection hidden="1"/>
    </xf>
    <xf numFmtId="0" fontId="57" fillId="0" borderId="0" xfId="0" applyFont="1" applyAlignment="1" applyProtection="1">
      <alignment horizontal="center"/>
      <protection hidden="1"/>
    </xf>
    <xf numFmtId="0" fontId="5" fillId="7" borderId="7" xfId="0" applyFont="1" applyFill="1" applyBorder="1" applyProtection="1">
      <protection hidden="1"/>
    </xf>
    <xf numFmtId="0" fontId="5" fillId="7" borderId="1" xfId="0" applyFont="1" applyFill="1" applyBorder="1" applyProtection="1">
      <protection hidden="1"/>
    </xf>
    <xf numFmtId="0" fontId="5" fillId="8" borderId="3" xfId="0" applyFont="1" applyFill="1" applyBorder="1" applyAlignment="1" applyProtection="1">
      <alignment vertical="top"/>
      <protection hidden="1"/>
    </xf>
    <xf numFmtId="0" fontId="15" fillId="0" borderId="6" xfId="0" applyFont="1" applyBorder="1"/>
    <xf numFmtId="0" fontId="15" fillId="0" borderId="7" xfId="0" applyFont="1" applyBorder="1"/>
    <xf numFmtId="0" fontId="61" fillId="0" borderId="6" xfId="0" applyFont="1" applyBorder="1"/>
    <xf numFmtId="0" fontId="41" fillId="7" borderId="8" xfId="0" applyFont="1" applyFill="1" applyBorder="1"/>
    <xf numFmtId="0" fontId="15" fillId="7" borderId="5" xfId="0" applyFont="1" applyFill="1" applyBorder="1"/>
    <xf numFmtId="0" fontId="15" fillId="7" borderId="1" xfId="0" applyFont="1" applyFill="1" applyBorder="1"/>
    <xf numFmtId="0" fontId="40" fillId="0" borderId="5" xfId="0" applyFont="1" applyBorder="1" applyProtection="1">
      <protection hidden="1"/>
    </xf>
    <xf numFmtId="0" fontId="9" fillId="0" borderId="24" xfId="1" applyFont="1" applyFill="1" applyBorder="1" applyAlignment="1" applyProtection="1">
      <alignment horizontal="left" vertical="top" wrapText="1"/>
    </xf>
    <xf numFmtId="0" fontId="16" fillId="4" borderId="15" xfId="0" applyFont="1" applyFill="1" applyBorder="1" applyAlignment="1" applyProtection="1">
      <alignment horizontal="right"/>
      <protection hidden="1"/>
    </xf>
    <xf numFmtId="0" fontId="14" fillId="7" borderId="0" xfId="2" applyFont="1" applyFill="1" applyAlignment="1" applyProtection="1">
      <alignment horizontal="left" vertical="top" wrapText="1"/>
      <protection hidden="1"/>
    </xf>
    <xf numFmtId="0" fontId="9" fillId="4" borderId="9" xfId="1" applyFont="1" applyFill="1" applyBorder="1" applyAlignment="1" applyProtection="1">
      <alignment vertical="center" wrapText="1"/>
      <protection hidden="1"/>
    </xf>
    <xf numFmtId="0" fontId="14" fillId="4" borderId="0" xfId="0" applyFont="1" applyFill="1"/>
    <xf numFmtId="0" fontId="14" fillId="4" borderId="13" xfId="0" applyFont="1" applyFill="1" applyBorder="1" applyAlignment="1" applyProtection="1">
      <alignment vertical="top" wrapText="1"/>
      <protection hidden="1"/>
    </xf>
    <xf numFmtId="0" fontId="5" fillId="0" borderId="4" xfId="0" applyFont="1" applyBorder="1" applyAlignment="1" applyProtection="1">
      <alignment horizontal="center" vertical="top"/>
      <protection hidden="1"/>
    </xf>
    <xf numFmtId="0" fontId="14" fillId="0" borderId="8" xfId="1" applyFont="1" applyFill="1" applyBorder="1" applyAlignment="1" applyProtection="1">
      <alignment horizontal="center" vertical="center" wrapText="1" shrinkToFit="1"/>
      <protection locked="0"/>
    </xf>
    <xf numFmtId="0" fontId="14" fillId="4" borderId="0" xfId="0" applyFont="1" applyFill="1" applyAlignment="1" applyProtection="1">
      <alignment vertical="top"/>
      <protection hidden="1"/>
    </xf>
    <xf numFmtId="0" fontId="14" fillId="4" borderId="2" xfId="0" applyFont="1" applyFill="1" applyBorder="1" applyAlignment="1" applyProtection="1">
      <alignment vertical="top" wrapText="1"/>
      <protection hidden="1"/>
    </xf>
    <xf numFmtId="0" fontId="67" fillId="0" borderId="0" xfId="0" applyFont="1" applyProtection="1">
      <protection hidden="1"/>
    </xf>
    <xf numFmtId="0" fontId="57" fillId="0" borderId="5" xfId="7" applyFont="1" applyBorder="1" applyProtection="1">
      <protection hidden="1"/>
    </xf>
    <xf numFmtId="0" fontId="5" fillId="0" borderId="15" xfId="0" applyFont="1" applyBorder="1" applyProtection="1">
      <protection hidden="1"/>
    </xf>
    <xf numFmtId="9" fontId="57" fillId="0" borderId="9" xfId="0" applyNumberFormat="1" applyFont="1" applyBorder="1" applyProtection="1">
      <protection hidden="1"/>
    </xf>
    <xf numFmtId="9" fontId="57" fillId="0" borderId="12" xfId="0" applyNumberFormat="1" applyFont="1" applyBorder="1" applyProtection="1">
      <protection hidden="1"/>
    </xf>
    <xf numFmtId="0" fontId="57" fillId="3" borderId="0" xfId="0" applyFont="1" applyFill="1" applyProtection="1">
      <protection hidden="1"/>
    </xf>
    <xf numFmtId="0" fontId="57" fillId="15" borderId="2" xfId="0" applyFont="1" applyFill="1" applyBorder="1" applyProtection="1">
      <protection hidden="1"/>
    </xf>
    <xf numFmtId="9" fontId="16" fillId="5" borderId="15" xfId="10" applyFont="1" applyFill="1" applyBorder="1" applyAlignment="1" applyProtection="1">
      <protection hidden="1"/>
    </xf>
    <xf numFmtId="9" fontId="16" fillId="5" borderId="9" xfId="10" applyFont="1" applyFill="1" applyBorder="1" applyAlignment="1" applyProtection="1">
      <protection hidden="1"/>
    </xf>
    <xf numFmtId="9" fontId="16" fillId="5" borderId="12" xfId="10" applyFont="1" applyFill="1" applyBorder="1" applyAlignment="1" applyProtection="1">
      <protection hidden="1"/>
    </xf>
    <xf numFmtId="0" fontId="14" fillId="0" borderId="5" xfId="0" applyFont="1" applyBorder="1" applyProtection="1">
      <protection locked="0"/>
    </xf>
    <xf numFmtId="0" fontId="14" fillId="19" borderId="27" xfId="0" applyFont="1" applyFill="1" applyBorder="1" applyAlignment="1">
      <alignment vertical="top"/>
    </xf>
    <xf numFmtId="0" fontId="14" fillId="19" borderId="26" xfId="2" applyFont="1" applyFill="1" applyBorder="1" applyAlignment="1">
      <alignment vertical="top" wrapText="1"/>
    </xf>
    <xf numFmtId="0" fontId="14" fillId="7" borderId="26" xfId="2" applyFont="1" applyFill="1" applyBorder="1" applyAlignment="1">
      <alignment vertical="top" wrapText="1"/>
    </xf>
    <xf numFmtId="0" fontId="14" fillId="18" borderId="26" xfId="0" applyFont="1" applyFill="1" applyBorder="1" applyAlignment="1">
      <alignment vertical="top" wrapText="1"/>
    </xf>
    <xf numFmtId="0" fontId="14" fillId="7" borderId="28" xfId="0" applyFont="1" applyFill="1" applyBorder="1" applyAlignment="1">
      <alignment vertical="top" wrapText="1"/>
    </xf>
    <xf numFmtId="0" fontId="11" fillId="20" borderId="0" xfId="0" applyFont="1" applyFill="1" applyProtection="1">
      <protection hidden="1"/>
    </xf>
    <xf numFmtId="0" fontId="62" fillId="8" borderId="4" xfId="0" applyFont="1" applyFill="1" applyBorder="1" applyProtection="1">
      <protection hidden="1"/>
    </xf>
    <xf numFmtId="0" fontId="16" fillId="0" borderId="0" xfId="0" applyFont="1" applyAlignment="1" applyProtection="1">
      <alignment horizontal="left" vertical="top" wrapText="1"/>
      <protection hidden="1"/>
    </xf>
    <xf numFmtId="0" fontId="17" fillId="4" borderId="2" xfId="0" applyFont="1" applyFill="1" applyBorder="1" applyAlignment="1" applyProtection="1">
      <alignment vertical="top" wrapText="1"/>
      <protection hidden="1"/>
    </xf>
    <xf numFmtId="0" fontId="9" fillId="4" borderId="2" xfId="1" applyFont="1" applyFill="1" applyBorder="1" applyAlignment="1" applyProtection="1">
      <alignment horizontal="center" vertical="top" wrapText="1"/>
      <protection hidden="1"/>
    </xf>
    <xf numFmtId="0" fontId="21" fillId="4" borderId="10" xfId="0" applyFont="1" applyFill="1" applyBorder="1" applyAlignment="1" applyProtection="1">
      <alignment vertical="top" wrapText="1" shrinkToFit="1"/>
      <protection hidden="1"/>
    </xf>
    <xf numFmtId="0" fontId="21" fillId="4" borderId="3" xfId="0" applyFont="1" applyFill="1" applyBorder="1" applyAlignment="1" applyProtection="1">
      <alignment vertical="top" wrapText="1" shrinkToFit="1"/>
      <protection hidden="1"/>
    </xf>
    <xf numFmtId="0" fontId="11" fillId="0" borderId="0" xfId="0" applyFont="1" applyAlignment="1" applyProtection="1">
      <alignment horizontal="center" vertical="top" shrinkToFit="1"/>
      <protection locked="0"/>
    </xf>
    <xf numFmtId="0" fontId="11" fillId="4" borderId="6" xfId="0" applyFont="1" applyFill="1" applyBorder="1" applyAlignment="1" applyProtection="1">
      <alignment horizontal="right" vertical="top" wrapText="1"/>
      <protection hidden="1"/>
    </xf>
    <xf numFmtId="0" fontId="11" fillId="4" borderId="0" xfId="0" applyFont="1" applyFill="1" applyAlignment="1" applyProtection="1">
      <alignment horizontal="right" vertical="top" wrapText="1"/>
      <protection hidden="1"/>
    </xf>
    <xf numFmtId="0" fontId="16" fillId="4" borderId="0" xfId="0" applyFont="1" applyFill="1" applyAlignment="1" applyProtection="1">
      <alignment horizontal="right" wrapText="1"/>
      <protection hidden="1"/>
    </xf>
    <xf numFmtId="0" fontId="14" fillId="4" borderId="2" xfId="0" applyFont="1" applyFill="1" applyBorder="1" applyAlignment="1" applyProtection="1">
      <alignment vertical="top" wrapText="1"/>
      <protection hidden="1"/>
    </xf>
    <xf numFmtId="0" fontId="9" fillId="4" borderId="6" xfId="1" applyFont="1" applyFill="1" applyBorder="1" applyAlignment="1" applyProtection="1">
      <alignment horizontal="right" vertical="top" shrinkToFit="1"/>
      <protection hidden="1"/>
    </xf>
    <xf numFmtId="0" fontId="9" fillId="4" borderId="0" xfId="1" applyFont="1" applyFill="1" applyBorder="1" applyAlignment="1" applyProtection="1">
      <alignment horizontal="right" vertical="top" shrinkToFit="1"/>
      <protection hidden="1"/>
    </xf>
    <xf numFmtId="0" fontId="32" fillId="0" borderId="0" xfId="0" applyFont="1" applyAlignment="1" applyProtection="1">
      <alignment horizontal="center" vertical="top" shrinkToFit="1"/>
      <protection locked="0"/>
    </xf>
    <xf numFmtId="0" fontId="27" fillId="6" borderId="10" xfId="0" applyFont="1" applyFill="1" applyBorder="1" applyAlignment="1" applyProtection="1">
      <alignment horizontal="center" vertical="center"/>
      <protection hidden="1"/>
    </xf>
    <xf numFmtId="0" fontId="27" fillId="6" borderId="3" xfId="0" applyFont="1" applyFill="1" applyBorder="1" applyAlignment="1" applyProtection="1">
      <alignment horizontal="center" vertical="center"/>
      <protection hidden="1"/>
    </xf>
    <xf numFmtId="0" fontId="27" fillId="6" borderId="8" xfId="0" applyFont="1" applyFill="1" applyBorder="1" applyAlignment="1" applyProtection="1">
      <alignment horizontal="center" vertical="center"/>
      <protection hidden="1"/>
    </xf>
    <xf numFmtId="0" fontId="27" fillId="6" borderId="5" xfId="0" applyFont="1" applyFill="1" applyBorder="1" applyAlignment="1" applyProtection="1">
      <alignment horizontal="center" vertical="center"/>
      <protection hidden="1"/>
    </xf>
    <xf numFmtId="0" fontId="21" fillId="4" borderId="10" xfId="0" applyFont="1" applyFill="1" applyBorder="1" applyAlignment="1" applyProtection="1">
      <alignment vertical="top" shrinkToFit="1"/>
      <protection hidden="1"/>
    </xf>
    <xf numFmtId="0" fontId="21" fillId="4" borderId="3" xfId="0" applyFont="1" applyFill="1" applyBorder="1" applyAlignment="1" applyProtection="1">
      <alignment vertical="top" shrinkToFit="1"/>
      <protection hidden="1"/>
    </xf>
    <xf numFmtId="0" fontId="11" fillId="0" borderId="0" xfId="0" applyFont="1" applyAlignment="1" applyProtection="1">
      <alignment horizontal="left" vertical="top" shrinkToFit="1"/>
      <protection locked="0"/>
    </xf>
    <xf numFmtId="49" fontId="11" fillId="0" borderId="0" xfId="0" applyNumberFormat="1" applyFont="1" applyAlignment="1" applyProtection="1">
      <alignment horizontal="left" vertical="top" shrinkToFit="1"/>
      <protection locked="0"/>
    </xf>
    <xf numFmtId="0" fontId="6" fillId="4" borderId="3" xfId="0" applyFont="1" applyFill="1" applyBorder="1" applyAlignment="1" applyProtection="1">
      <alignment horizontal="center" vertical="center"/>
      <protection hidden="1"/>
    </xf>
    <xf numFmtId="0" fontId="36" fillId="4" borderId="5" xfId="0" applyFont="1" applyFill="1" applyBorder="1" applyAlignment="1" applyProtection="1">
      <alignment horizontal="center" vertical="center"/>
      <protection hidden="1"/>
    </xf>
    <xf numFmtId="0" fontId="21" fillId="4" borderId="10" xfId="0" applyFont="1" applyFill="1" applyBorder="1" applyAlignment="1" applyProtection="1">
      <alignment shrinkToFit="1"/>
      <protection hidden="1"/>
    </xf>
    <xf numFmtId="0" fontId="21" fillId="4" borderId="3" xfId="0" applyFont="1" applyFill="1" applyBorder="1" applyAlignment="1" applyProtection="1">
      <alignment shrinkToFit="1"/>
      <protection hidden="1"/>
    </xf>
    <xf numFmtId="14" fontId="11" fillId="5" borderId="0" xfId="0" applyNumberFormat="1" applyFont="1" applyFill="1" applyAlignment="1" applyProtection="1">
      <alignment horizontal="center" vertical="top" shrinkToFit="1"/>
      <protection locked="0"/>
    </xf>
    <xf numFmtId="0" fontId="11" fillId="5" borderId="0" xfId="0" applyFont="1" applyFill="1" applyAlignment="1" applyProtection="1">
      <alignment horizontal="center" vertical="top" shrinkToFit="1"/>
      <protection locked="0"/>
    </xf>
    <xf numFmtId="0" fontId="9" fillId="4" borderId="3" xfId="1" applyFont="1" applyFill="1" applyBorder="1" applyAlignment="1" applyProtection="1">
      <alignment horizontal="center" shrinkToFit="1"/>
      <protection hidden="1"/>
    </xf>
    <xf numFmtId="0" fontId="9" fillId="4" borderId="4" xfId="1" applyFont="1" applyFill="1" applyBorder="1" applyAlignment="1" applyProtection="1">
      <alignment horizontal="center" shrinkToFit="1"/>
      <protection hidden="1"/>
    </xf>
    <xf numFmtId="0" fontId="9" fillId="0" borderId="0" xfId="1" applyFont="1" applyFill="1" applyBorder="1" applyAlignment="1" applyProtection="1">
      <alignment horizontal="left" vertical="top" shrinkToFit="1"/>
      <protection locked="0"/>
    </xf>
    <xf numFmtId="49" fontId="11" fillId="0" borderId="0" xfId="1" applyNumberFormat="1" applyFont="1" applyFill="1" applyBorder="1" applyAlignment="1" applyProtection="1">
      <alignment horizontal="left" vertical="top" shrinkToFit="1"/>
      <protection locked="0"/>
    </xf>
    <xf numFmtId="0" fontId="11" fillId="4" borderId="3" xfId="0" applyFont="1" applyFill="1" applyBorder="1" applyAlignment="1" applyProtection="1">
      <alignment horizontal="center" vertical="top" shrinkToFit="1"/>
      <protection hidden="1"/>
    </xf>
    <xf numFmtId="0" fontId="11" fillId="4" borderId="4" xfId="0" applyFont="1" applyFill="1" applyBorder="1" applyAlignment="1" applyProtection="1">
      <alignment horizontal="center" vertical="top" shrinkToFit="1"/>
      <protection hidden="1"/>
    </xf>
    <xf numFmtId="0" fontId="53" fillId="4" borderId="3" xfId="0" applyFont="1" applyFill="1" applyBorder="1" applyProtection="1">
      <protection hidden="1"/>
    </xf>
    <xf numFmtId="0" fontId="12" fillId="14" borderId="6" xfId="0" applyFont="1" applyFill="1" applyBorder="1" applyAlignment="1" applyProtection="1">
      <alignment vertical="top" shrinkToFit="1"/>
      <protection hidden="1"/>
    </xf>
    <xf numFmtId="0" fontId="12" fillId="14" borderId="0" xfId="0" applyFont="1" applyFill="1" applyAlignment="1" applyProtection="1">
      <alignment vertical="top" shrinkToFit="1"/>
      <protection hidden="1"/>
    </xf>
    <xf numFmtId="0" fontId="21" fillId="4" borderId="6" xfId="0" applyFont="1" applyFill="1" applyBorder="1" applyAlignment="1" applyProtection="1">
      <alignment vertical="top" shrinkToFit="1"/>
      <protection hidden="1"/>
    </xf>
    <xf numFmtId="0" fontId="21" fillId="4" borderId="0" xfId="0" applyFont="1" applyFill="1" applyAlignment="1" applyProtection="1">
      <alignment vertical="top" shrinkToFit="1"/>
      <protection hidden="1"/>
    </xf>
    <xf numFmtId="0" fontId="11" fillId="4" borderId="15" xfId="0" applyFont="1" applyFill="1" applyBorder="1" applyAlignment="1" applyProtection="1">
      <alignment horizontal="center" vertical="center" shrinkToFit="1"/>
      <protection hidden="1"/>
    </xf>
    <xf numFmtId="0" fontId="11" fillId="4" borderId="9" xfId="0" applyFont="1" applyFill="1" applyBorder="1" applyAlignment="1" applyProtection="1">
      <alignment horizontal="center" vertical="center" shrinkToFit="1"/>
      <protection hidden="1"/>
    </xf>
    <xf numFmtId="0" fontId="11" fillId="0" borderId="0" xfId="0" applyFont="1" applyAlignment="1" applyProtection="1">
      <alignment vertical="top" shrinkToFit="1"/>
      <protection locked="0"/>
    </xf>
    <xf numFmtId="0" fontId="11" fillId="0" borderId="7" xfId="0" applyFont="1" applyBorder="1" applyAlignment="1" applyProtection="1">
      <alignment vertical="top" shrinkToFit="1"/>
      <protection locked="0"/>
    </xf>
    <xf numFmtId="0" fontId="9" fillId="4" borderId="22" xfId="1" applyFont="1" applyFill="1" applyBorder="1" applyAlignment="1" applyProtection="1">
      <alignment horizontal="center" vertical="center" wrapText="1" shrinkToFit="1"/>
      <protection hidden="1"/>
    </xf>
    <xf numFmtId="0" fontId="9" fillId="4" borderId="23" xfId="1" applyFont="1" applyFill="1" applyBorder="1" applyAlignment="1" applyProtection="1">
      <alignment horizontal="center" vertical="center" wrapText="1" shrinkToFit="1"/>
      <protection hidden="1"/>
    </xf>
    <xf numFmtId="0" fontId="9" fillId="4" borderId="20" xfId="1" applyFont="1" applyFill="1" applyBorder="1" applyAlignment="1" applyProtection="1">
      <alignment horizontal="center" vertical="center" wrapText="1" shrinkToFit="1"/>
      <protection hidden="1"/>
    </xf>
    <xf numFmtId="0" fontId="9" fillId="4" borderId="21" xfId="1" applyFont="1" applyFill="1" applyBorder="1" applyAlignment="1" applyProtection="1">
      <alignment horizontal="center" vertical="center" wrapText="1" shrinkToFit="1"/>
      <protection hidden="1"/>
    </xf>
    <xf numFmtId="0" fontId="53" fillId="4" borderId="0" xfId="0" applyFont="1" applyFill="1" applyAlignment="1" applyProtection="1">
      <alignment wrapText="1"/>
      <protection hidden="1"/>
    </xf>
    <xf numFmtId="0" fontId="11" fillId="4" borderId="0" xfId="0" applyFont="1" applyFill="1" applyAlignment="1" applyProtection="1">
      <alignment vertical="top" wrapText="1" shrinkToFit="1"/>
      <protection hidden="1"/>
    </xf>
    <xf numFmtId="0" fontId="16" fillId="4" borderId="0" xfId="0" applyFont="1" applyFill="1" applyAlignment="1" applyProtection="1">
      <alignment horizontal="right"/>
      <protection hidden="1"/>
    </xf>
    <xf numFmtId="0" fontId="16" fillId="4" borderId="2" xfId="0" applyFont="1" applyFill="1" applyBorder="1" applyAlignment="1" applyProtection="1">
      <alignment vertical="top" wrapText="1"/>
      <protection hidden="1"/>
    </xf>
    <xf numFmtId="0" fontId="9" fillId="4" borderId="6" xfId="1" applyFont="1" applyFill="1" applyBorder="1" applyAlignment="1" applyProtection="1">
      <alignment horizontal="right" vertical="top" wrapText="1" shrinkToFit="1"/>
      <protection hidden="1"/>
    </xf>
    <xf numFmtId="0" fontId="9" fillId="4" borderId="0" xfId="1" applyFont="1" applyFill="1" applyBorder="1" applyAlignment="1" applyProtection="1">
      <alignment horizontal="right" vertical="top" wrapText="1" shrinkToFit="1"/>
      <protection hidden="1"/>
    </xf>
    <xf numFmtId="0" fontId="16" fillId="4" borderId="13" xfId="0" applyFont="1" applyFill="1" applyBorder="1" applyAlignment="1" applyProtection="1">
      <alignment wrapText="1"/>
      <protection hidden="1"/>
    </xf>
    <xf numFmtId="0" fontId="16" fillId="4" borderId="3" xfId="0" applyFont="1" applyFill="1" applyBorder="1" applyAlignment="1" applyProtection="1">
      <alignment wrapText="1"/>
      <protection hidden="1"/>
    </xf>
    <xf numFmtId="0" fontId="16" fillId="4" borderId="4" xfId="0" applyFont="1" applyFill="1" applyBorder="1" applyAlignment="1" applyProtection="1">
      <alignment wrapText="1"/>
      <protection hidden="1"/>
    </xf>
    <xf numFmtId="0" fontId="6" fillId="4" borderId="10" xfId="0" applyFont="1" applyFill="1" applyBorder="1" applyAlignment="1" applyProtection="1">
      <alignment horizontal="center" vertical="center"/>
      <protection hidden="1"/>
    </xf>
    <xf numFmtId="0" fontId="54" fillId="4" borderId="8" xfId="0" applyFont="1" applyFill="1" applyBorder="1" applyAlignment="1" applyProtection="1">
      <alignment horizontal="center" vertical="center"/>
      <protection hidden="1"/>
    </xf>
    <xf numFmtId="0" fontId="54" fillId="4" borderId="5" xfId="0" applyFont="1" applyFill="1" applyBorder="1" applyAlignment="1" applyProtection="1">
      <alignment horizontal="center" vertical="center"/>
      <protection hidden="1"/>
    </xf>
    <xf numFmtId="0" fontId="17" fillId="16" borderId="8" xfId="0" applyFont="1" applyFill="1" applyBorder="1" applyAlignment="1" applyProtection="1">
      <alignment vertical="top"/>
      <protection hidden="1"/>
    </xf>
    <xf numFmtId="0" fontId="17" fillId="16" borderId="5" xfId="0" applyFont="1" applyFill="1" applyBorder="1" applyAlignment="1" applyProtection="1">
      <alignment vertical="top"/>
      <protection hidden="1"/>
    </xf>
    <xf numFmtId="0" fontId="17" fillId="16" borderId="1" xfId="0" applyFont="1" applyFill="1" applyBorder="1" applyAlignment="1" applyProtection="1">
      <alignment vertical="top"/>
      <protection hidden="1"/>
    </xf>
    <xf numFmtId="0" fontId="23" fillId="4" borderId="8" xfId="0" applyFont="1" applyFill="1" applyBorder="1" applyAlignment="1" applyProtection="1">
      <alignment vertical="top" shrinkToFit="1"/>
      <protection hidden="1"/>
    </xf>
    <xf numFmtId="0" fontId="23" fillId="4" borderId="5" xfId="0" applyFont="1" applyFill="1" applyBorder="1" applyAlignment="1" applyProtection="1">
      <alignment vertical="top" shrinkToFit="1"/>
      <protection hidden="1"/>
    </xf>
    <xf numFmtId="0" fontId="23" fillId="4" borderId="10" xfId="0" applyFont="1" applyFill="1" applyBorder="1" applyAlignment="1" applyProtection="1">
      <alignment vertical="top" shrinkToFit="1"/>
      <protection hidden="1"/>
    </xf>
    <xf numFmtId="0" fontId="23" fillId="4" borderId="3" xfId="0" applyFont="1" applyFill="1" applyBorder="1" applyAlignment="1" applyProtection="1">
      <alignment vertical="top" shrinkToFit="1"/>
      <protection hidden="1"/>
    </xf>
    <xf numFmtId="0" fontId="17" fillId="16" borderId="13" xfId="0" applyFont="1" applyFill="1" applyBorder="1" applyAlignment="1" applyProtection="1">
      <alignment vertical="top"/>
      <protection hidden="1"/>
    </xf>
    <xf numFmtId="0" fontId="17" fillId="16" borderId="11" xfId="0" applyFont="1" applyFill="1" applyBorder="1" applyAlignment="1" applyProtection="1">
      <alignment vertical="top"/>
      <protection hidden="1"/>
    </xf>
    <xf numFmtId="0" fontId="17" fillId="16" borderId="14" xfId="0" applyFont="1" applyFill="1" applyBorder="1" applyAlignment="1" applyProtection="1">
      <alignment vertical="top"/>
      <protection hidden="1"/>
    </xf>
    <xf numFmtId="0" fontId="11" fillId="4" borderId="0" xfId="0" applyFont="1" applyFill="1" applyAlignment="1" applyProtection="1">
      <alignment horizontal="right" vertical="top" shrinkToFit="1"/>
      <protection hidden="1"/>
    </xf>
    <xf numFmtId="0" fontId="38" fillId="6" borderId="15" xfId="0" applyFont="1" applyFill="1" applyBorder="1" applyAlignment="1" applyProtection="1">
      <alignment horizontal="center" vertical="top"/>
      <protection hidden="1"/>
    </xf>
    <xf numFmtId="0" fontId="38" fillId="6" borderId="12" xfId="0" applyFont="1" applyFill="1" applyBorder="1" applyAlignment="1" applyProtection="1">
      <alignment horizontal="center" vertical="top"/>
      <protection hidden="1"/>
    </xf>
    <xf numFmtId="0" fontId="11" fillId="17" borderId="13" xfId="0" applyFont="1" applyFill="1" applyBorder="1" applyAlignment="1" applyProtection="1">
      <alignment vertical="top" wrapText="1"/>
      <protection hidden="1"/>
    </xf>
    <xf numFmtId="0" fontId="11" fillId="17" borderId="14" xfId="0" applyFont="1" applyFill="1" applyBorder="1" applyAlignment="1" applyProtection="1">
      <alignment vertical="top" wrapText="1"/>
      <protection hidden="1"/>
    </xf>
    <xf numFmtId="0" fontId="16" fillId="17" borderId="13" xfId="0" applyFont="1" applyFill="1" applyBorder="1" applyAlignment="1" applyProtection="1">
      <alignment vertical="top" wrapText="1"/>
      <protection hidden="1"/>
    </xf>
    <xf numFmtId="0" fontId="16" fillId="17" borderId="11" xfId="0" applyFont="1" applyFill="1" applyBorder="1" applyAlignment="1" applyProtection="1">
      <alignment vertical="top" wrapText="1"/>
      <protection hidden="1"/>
    </xf>
    <xf numFmtId="0" fontId="16" fillId="17" borderId="14" xfId="0" applyFont="1" applyFill="1" applyBorder="1" applyAlignment="1" applyProtection="1">
      <alignment vertical="top" wrapText="1"/>
      <protection hidden="1"/>
    </xf>
    <xf numFmtId="0" fontId="11" fillId="17" borderId="13" xfId="0" applyFont="1" applyFill="1" applyBorder="1" applyAlignment="1" applyProtection="1">
      <alignment horizontal="center" vertical="top" wrapText="1"/>
      <protection hidden="1"/>
    </xf>
    <xf numFmtId="0" fontId="11" fillId="17" borderId="14" xfId="0" applyFont="1" applyFill="1" applyBorder="1" applyAlignment="1" applyProtection="1">
      <alignment horizontal="center" vertical="top" wrapText="1"/>
      <protection hidden="1"/>
    </xf>
    <xf numFmtId="0" fontId="30" fillId="4" borderId="10" xfId="0" applyFont="1" applyFill="1" applyBorder="1" applyProtection="1">
      <protection hidden="1"/>
    </xf>
    <xf numFmtId="0" fontId="30" fillId="4" borderId="3" xfId="0" applyFont="1" applyFill="1" applyBorder="1" applyProtection="1">
      <protection hidden="1"/>
    </xf>
    <xf numFmtId="0" fontId="14" fillId="17" borderId="2" xfId="0" applyFont="1" applyFill="1" applyBorder="1" applyAlignment="1" applyProtection="1">
      <alignment vertical="top" wrapText="1"/>
      <protection hidden="1"/>
    </xf>
    <xf numFmtId="0" fontId="16" fillId="17" borderId="2" xfId="0" applyFont="1" applyFill="1" applyBorder="1" applyAlignment="1" applyProtection="1">
      <alignment vertical="top" wrapText="1"/>
      <protection hidden="1"/>
    </xf>
    <xf numFmtId="0" fontId="11" fillId="17" borderId="2" xfId="0" applyFont="1" applyFill="1" applyBorder="1" applyAlignment="1" applyProtection="1">
      <alignment vertical="top" wrapText="1"/>
      <protection hidden="1"/>
    </xf>
    <xf numFmtId="0" fontId="38" fillId="6" borderId="10" xfId="0" applyFont="1" applyFill="1" applyBorder="1" applyAlignment="1" applyProtection="1">
      <alignment horizontal="center" vertical="center"/>
      <protection hidden="1"/>
    </xf>
    <xf numFmtId="0" fontId="38" fillId="6" borderId="4" xfId="0" applyFont="1" applyFill="1" applyBorder="1" applyAlignment="1" applyProtection="1">
      <alignment horizontal="center" vertical="center"/>
      <protection hidden="1"/>
    </xf>
    <xf numFmtId="0" fontId="38" fillId="6" borderId="8" xfId="0" applyFont="1" applyFill="1" applyBorder="1" applyAlignment="1" applyProtection="1">
      <alignment horizontal="center" vertical="center"/>
      <protection hidden="1"/>
    </xf>
    <xf numFmtId="0" fontId="38" fillId="6" borderId="1" xfId="0" applyFont="1" applyFill="1" applyBorder="1" applyAlignment="1" applyProtection="1">
      <alignment horizontal="center" vertical="center"/>
      <protection hidden="1"/>
    </xf>
    <xf numFmtId="0" fontId="40" fillId="0" borderId="0" xfId="0" applyFont="1" applyProtection="1">
      <protection hidden="1"/>
    </xf>
    <xf numFmtId="0" fontId="40" fillId="0" borderId="0" xfId="0" applyFont="1" applyAlignment="1" applyProtection="1">
      <alignment vertical="top"/>
      <protection hidden="1"/>
    </xf>
    <xf numFmtId="0" fontId="40" fillId="0" borderId="5" xfId="0" applyFont="1" applyBorder="1" applyProtection="1">
      <protection hidden="1"/>
    </xf>
    <xf numFmtId="0" fontId="62" fillId="0" borderId="0" xfId="0" applyFont="1" applyProtection="1">
      <protection hidden="1"/>
    </xf>
    <xf numFmtId="0" fontId="62" fillId="0" borderId="5" xfId="0" applyFont="1" applyBorder="1" applyProtection="1">
      <protection hidden="1"/>
    </xf>
    <xf numFmtId="0" fontId="40" fillId="0" borderId="5" xfId="2" applyFont="1" applyBorder="1" applyProtection="1">
      <protection hidden="1"/>
    </xf>
    <xf numFmtId="0" fontId="40" fillId="10" borderId="0" xfId="0" applyFont="1" applyFill="1" applyAlignment="1" applyProtection="1">
      <alignment vertical="top"/>
      <protection hidden="1"/>
    </xf>
    <xf numFmtId="0" fontId="10" fillId="0" borderId="0" xfId="0" applyFont="1" applyAlignment="1" applyProtection="1">
      <alignment vertical="top"/>
      <protection hidden="1"/>
    </xf>
    <xf numFmtId="0" fontId="10" fillId="0" borderId="5" xfId="0" applyFont="1" applyBorder="1" applyAlignment="1" applyProtection="1">
      <alignment vertical="top"/>
      <protection hidden="1"/>
    </xf>
    <xf numFmtId="0" fontId="11" fillId="0" borderId="0" xfId="0" applyFont="1" applyAlignment="1" applyProtection="1">
      <alignment horizontal="left" vertical="top"/>
      <protection hidden="1"/>
    </xf>
    <xf numFmtId="0" fontId="11" fillId="0" borderId="0" xfId="0" applyFont="1" applyAlignment="1" applyProtection="1">
      <alignment vertical="top"/>
      <protection hidden="1"/>
    </xf>
    <xf numFmtId="0" fontId="10" fillId="0" borderId="2" xfId="0" applyFont="1" applyBorder="1" applyAlignment="1" applyProtection="1">
      <alignment horizontal="center" vertical="center" textRotation="90" wrapText="1"/>
      <protection hidden="1"/>
    </xf>
    <xf numFmtId="0" fontId="11" fillId="11" borderId="2" xfId="0" applyFont="1" applyFill="1" applyBorder="1" applyAlignment="1" applyProtection="1">
      <alignment vertical="top" wrapText="1"/>
      <protection hidden="1"/>
    </xf>
    <xf numFmtId="0" fontId="14" fillId="0" borderId="2" xfId="0" applyFont="1" applyBorder="1" applyAlignment="1" applyProtection="1">
      <alignment horizontal="center" vertical="top" wrapText="1"/>
      <protection hidden="1"/>
    </xf>
    <xf numFmtId="0" fontId="14" fillId="0" borderId="2" xfId="0" applyFont="1" applyBorder="1" applyAlignment="1" applyProtection="1">
      <alignment horizontal="center" vertical="center"/>
      <protection hidden="1"/>
    </xf>
    <xf numFmtId="0" fontId="10" fillId="0" borderId="2" xfId="0" applyFont="1" applyBorder="1" applyAlignment="1" applyProtection="1">
      <alignment horizontal="center" vertical="center" textRotation="90"/>
      <protection hidden="1"/>
    </xf>
    <xf numFmtId="0" fontId="14" fillId="0" borderId="10" xfId="0" applyFont="1" applyBorder="1" applyAlignment="1" applyProtection="1">
      <alignment horizontal="center" vertical="top" wrapText="1"/>
      <protection hidden="1"/>
    </xf>
    <xf numFmtId="0" fontId="14" fillId="0" borderId="4" xfId="0" applyFont="1" applyBorder="1" applyAlignment="1" applyProtection="1">
      <alignment horizontal="center" vertical="top" wrapText="1"/>
      <protection hidden="1"/>
    </xf>
    <xf numFmtId="0" fontId="14" fillId="0" borderId="6" xfId="0" applyFont="1" applyBorder="1" applyAlignment="1" applyProtection="1">
      <alignment horizontal="center" vertical="top" wrapText="1"/>
      <protection hidden="1"/>
    </xf>
    <xf numFmtId="0" fontId="14" fillId="0" borderId="7" xfId="0" applyFont="1" applyBorder="1" applyAlignment="1" applyProtection="1">
      <alignment horizontal="center" vertical="top" wrapText="1"/>
      <protection hidden="1"/>
    </xf>
    <xf numFmtId="0" fontId="14" fillId="0" borderId="8" xfId="0" applyFont="1" applyBorder="1" applyAlignment="1" applyProtection="1">
      <alignment horizontal="center" vertical="top" wrapText="1"/>
      <protection hidden="1"/>
    </xf>
    <xf numFmtId="0" fontId="14" fillId="0" borderId="1" xfId="0" applyFont="1" applyBorder="1" applyAlignment="1" applyProtection="1">
      <alignment horizontal="center" vertical="top" wrapText="1"/>
      <protection hidden="1"/>
    </xf>
    <xf numFmtId="0" fontId="16" fillId="4" borderId="2" xfId="0" applyFont="1" applyFill="1" applyBorder="1" applyAlignment="1" applyProtection="1">
      <alignment vertical="top"/>
      <protection hidden="1"/>
    </xf>
    <xf numFmtId="0" fontId="14" fillId="4" borderId="2" xfId="0" applyFont="1" applyFill="1" applyBorder="1" applyAlignment="1" applyProtection="1">
      <alignment vertical="top"/>
      <protection hidden="1"/>
    </xf>
    <xf numFmtId="0" fontId="16" fillId="4" borderId="2" xfId="0" applyFont="1" applyFill="1" applyBorder="1" applyAlignment="1" applyProtection="1">
      <alignment horizontal="center" vertical="top"/>
      <protection hidden="1"/>
    </xf>
    <xf numFmtId="0" fontId="10" fillId="0" borderId="15" xfId="0" applyFont="1" applyBorder="1" applyAlignment="1" applyProtection="1">
      <alignment horizontal="center" vertical="center" textRotation="90" wrapText="1"/>
      <protection hidden="1"/>
    </xf>
    <xf numFmtId="0" fontId="10" fillId="0" borderId="9" xfId="0" applyFont="1" applyBorder="1" applyAlignment="1" applyProtection="1">
      <alignment horizontal="center" vertical="center" textRotation="90" wrapText="1"/>
      <protection hidden="1"/>
    </xf>
    <xf numFmtId="0" fontId="10" fillId="0" borderId="12" xfId="0" applyFont="1" applyBorder="1" applyAlignment="1" applyProtection="1">
      <alignment horizontal="center" vertical="center" textRotation="90" wrapText="1"/>
      <protection hidden="1"/>
    </xf>
    <xf numFmtId="0" fontId="14" fillId="0" borderId="15" xfId="0" applyFont="1" applyBorder="1" applyAlignment="1" applyProtection="1">
      <alignment horizontal="center" vertical="top" wrapText="1"/>
      <protection hidden="1"/>
    </xf>
    <xf numFmtId="0" fontId="14" fillId="0" borderId="9" xfId="0" applyFont="1" applyBorder="1" applyAlignment="1" applyProtection="1">
      <alignment horizontal="center" vertical="top" wrapText="1"/>
      <protection hidden="1"/>
    </xf>
    <xf numFmtId="0" fontId="14" fillId="0" borderId="12" xfId="0" applyFont="1" applyBorder="1" applyAlignment="1" applyProtection="1">
      <alignment horizontal="center" vertical="top" wrapText="1"/>
      <protection hidden="1"/>
    </xf>
    <xf numFmtId="0" fontId="30" fillId="0" borderId="2" xfId="0" applyFont="1" applyBorder="1" applyAlignment="1" applyProtection="1">
      <alignment horizontal="center" vertical="center" textRotation="90"/>
      <protection hidden="1"/>
    </xf>
    <xf numFmtId="0" fontId="30" fillId="17" borderId="2" xfId="0" applyFont="1" applyFill="1" applyBorder="1" applyAlignment="1" applyProtection="1">
      <alignment horizontal="center" vertical="center" textRotation="90"/>
      <protection hidden="1"/>
    </xf>
    <xf numFmtId="0" fontId="14" fillId="17" borderId="2" xfId="0" applyFont="1" applyFill="1" applyBorder="1" applyAlignment="1" applyProtection="1">
      <alignment horizontal="center" vertical="top" wrapText="1"/>
      <protection hidden="1"/>
    </xf>
    <xf numFmtId="0" fontId="10" fillId="17" borderId="2" xfId="0" applyFont="1" applyFill="1" applyBorder="1" applyAlignment="1" applyProtection="1">
      <alignment vertical="center"/>
      <protection hidden="1"/>
    </xf>
    <xf numFmtId="0" fontId="30" fillId="16" borderId="2" xfId="0" applyFont="1" applyFill="1" applyBorder="1" applyAlignment="1" applyProtection="1">
      <alignment horizontal="center" vertical="center" textRotation="90" wrapText="1"/>
      <protection hidden="1"/>
    </xf>
    <xf numFmtId="0" fontId="16" fillId="17" borderId="2" xfId="0" applyFont="1" applyFill="1" applyBorder="1" applyAlignment="1" applyProtection="1">
      <alignment horizontal="center" vertical="top" wrapText="1"/>
      <protection hidden="1"/>
    </xf>
    <xf numFmtId="0" fontId="10" fillId="16" borderId="2" xfId="0" applyFont="1" applyFill="1" applyBorder="1" applyAlignment="1" applyProtection="1">
      <alignment vertical="center"/>
      <protection hidden="1"/>
    </xf>
    <xf numFmtId="0" fontId="16" fillId="16" borderId="2" xfId="0" applyFont="1" applyFill="1" applyBorder="1" applyAlignment="1" applyProtection="1">
      <alignment vertical="top"/>
      <protection hidden="1"/>
    </xf>
    <xf numFmtId="0" fontId="16" fillId="16" borderId="2" xfId="0" applyFont="1" applyFill="1" applyBorder="1" applyAlignment="1" applyProtection="1">
      <alignment horizontal="center" vertical="top" wrapText="1"/>
      <protection hidden="1"/>
    </xf>
    <xf numFmtId="0" fontId="14" fillId="0" borderId="15" xfId="0" applyFont="1" applyBorder="1" applyAlignment="1" applyProtection="1">
      <alignment horizontal="center" vertical="center" wrapText="1"/>
      <protection hidden="1"/>
    </xf>
    <xf numFmtId="0" fontId="14" fillId="0" borderId="9" xfId="0" applyFont="1" applyBorder="1" applyAlignment="1" applyProtection="1">
      <alignment horizontal="center" vertical="center" wrapText="1"/>
      <protection hidden="1"/>
    </xf>
    <xf numFmtId="0" fontId="14" fillId="0" borderId="12" xfId="0" applyFont="1" applyBorder="1" applyAlignment="1" applyProtection="1">
      <alignment horizontal="center" vertical="center" wrapText="1"/>
      <protection hidden="1"/>
    </xf>
    <xf numFmtId="0" fontId="16" fillId="0" borderId="10" xfId="0" applyFont="1" applyBorder="1" applyAlignment="1" applyProtection="1">
      <alignment horizontal="center" vertical="top" wrapText="1"/>
      <protection hidden="1"/>
    </xf>
    <xf numFmtId="0" fontId="16" fillId="0" borderId="4" xfId="0" applyFont="1" applyBorder="1" applyAlignment="1" applyProtection="1">
      <alignment horizontal="center" vertical="top" wrapText="1"/>
      <protection hidden="1"/>
    </xf>
    <xf numFmtId="0" fontId="16" fillId="0" borderId="8" xfId="0" applyFont="1" applyBorder="1" applyAlignment="1" applyProtection="1">
      <alignment horizontal="center" vertical="top" wrapText="1"/>
      <protection hidden="1"/>
    </xf>
    <xf numFmtId="0" fontId="16" fillId="0" borderId="1" xfId="0" applyFont="1" applyBorder="1" applyAlignment="1" applyProtection="1">
      <alignment horizontal="center" vertical="top" wrapText="1"/>
      <protection hidden="1"/>
    </xf>
    <xf numFmtId="0" fontId="11" fillId="17" borderId="2" xfId="0" applyFont="1" applyFill="1" applyBorder="1" applyAlignment="1" applyProtection="1">
      <alignment horizontal="center" vertical="top" wrapText="1"/>
      <protection hidden="1"/>
    </xf>
    <xf numFmtId="0" fontId="11" fillId="17" borderId="15" xfId="0" applyFont="1" applyFill="1" applyBorder="1" applyAlignment="1" applyProtection="1">
      <alignment horizontal="center" vertical="top" wrapText="1"/>
      <protection hidden="1"/>
    </xf>
    <xf numFmtId="0" fontId="11" fillId="17" borderId="12" xfId="0" applyFont="1" applyFill="1" applyBorder="1" applyAlignment="1" applyProtection="1">
      <alignment horizontal="center" vertical="top" wrapText="1"/>
      <protection hidden="1"/>
    </xf>
    <xf numFmtId="0" fontId="10" fillId="3" borderId="0" xfId="2" applyFont="1" applyFill="1" applyAlignment="1" applyProtection="1">
      <alignment vertical="top"/>
      <protection hidden="1"/>
    </xf>
    <xf numFmtId="0" fontId="48" fillId="15" borderId="0" xfId="0" applyFont="1" applyFill="1" applyAlignment="1" applyProtection="1">
      <alignment vertical="center" readingOrder="1"/>
      <protection hidden="1"/>
    </xf>
    <xf numFmtId="0" fontId="33" fillId="0" borderId="10" xfId="0" applyFont="1" applyBorder="1" applyAlignment="1" applyProtection="1">
      <alignment horizontal="center" vertical="center" textRotation="90"/>
      <protection hidden="1"/>
    </xf>
    <xf numFmtId="0" fontId="33" fillId="0" borderId="6" xfId="0" applyFont="1" applyBorder="1" applyAlignment="1" applyProtection="1">
      <alignment horizontal="center" vertical="center" textRotation="90"/>
      <protection hidden="1"/>
    </xf>
    <xf numFmtId="0" fontId="33" fillId="0" borderId="8" xfId="0" applyFont="1" applyBorder="1" applyAlignment="1" applyProtection="1">
      <alignment horizontal="center" vertical="center" textRotation="90"/>
      <protection hidden="1"/>
    </xf>
    <xf numFmtId="0" fontId="34" fillId="0" borderId="15" xfId="0" applyFont="1" applyBorder="1" applyAlignment="1" applyProtection="1">
      <alignment horizontal="center" vertical="top"/>
      <protection hidden="1"/>
    </xf>
    <xf numFmtId="0" fontId="34" fillId="0" borderId="9" xfId="0" applyFont="1" applyBorder="1" applyAlignment="1" applyProtection="1">
      <alignment horizontal="center" vertical="top"/>
      <protection hidden="1"/>
    </xf>
    <xf numFmtId="0" fontId="34" fillId="0" borderId="12" xfId="0" applyFont="1" applyBorder="1" applyAlignment="1" applyProtection="1">
      <alignment horizontal="center" vertical="top"/>
      <protection hidden="1"/>
    </xf>
    <xf numFmtId="0" fontId="34" fillId="0" borderId="0" xfId="0" applyFont="1" applyProtection="1">
      <protection hidden="1"/>
    </xf>
    <xf numFmtId="0" fontId="47" fillId="0" borderId="15" xfId="0" applyFont="1" applyBorder="1" applyAlignment="1" applyProtection="1">
      <alignment horizontal="center" vertical="center"/>
      <protection hidden="1"/>
    </xf>
    <xf numFmtId="0" fontId="47" fillId="0" borderId="12" xfId="0" applyFont="1" applyBorder="1" applyAlignment="1" applyProtection="1">
      <alignment horizontal="center" vertical="center"/>
      <protection hidden="1"/>
    </xf>
    <xf numFmtId="0" fontId="11" fillId="0" borderId="2" xfId="0" applyFont="1" applyFill="1" applyBorder="1" applyAlignment="1" applyProtection="1">
      <alignment vertical="top" wrapText="1"/>
      <protection hidden="1"/>
    </xf>
    <xf numFmtId="0" fontId="10" fillId="10" borderId="15" xfId="0" applyFont="1" applyFill="1" applyBorder="1" applyAlignment="1" applyProtection="1">
      <alignment vertical="top" wrapText="1"/>
      <protection hidden="1"/>
    </xf>
    <xf numFmtId="0" fontId="16" fillId="0" borderId="2" xfId="0" applyFont="1" applyBorder="1" applyAlignment="1" applyProtection="1">
      <alignment horizontal="center" vertical="top" wrapText="1"/>
      <protection hidden="1"/>
    </xf>
    <xf numFmtId="0" fontId="10" fillId="0" borderId="2" xfId="0" applyFont="1" applyBorder="1" applyAlignment="1" applyProtection="1">
      <alignment horizontal="center" vertical="top" wrapText="1"/>
      <protection hidden="1"/>
    </xf>
    <xf numFmtId="0" fontId="16" fillId="0" borderId="0" xfId="0" applyFont="1" applyAlignment="1" applyProtection="1">
      <alignment horizontal="center"/>
      <protection locked="0"/>
    </xf>
    <xf numFmtId="0" fontId="9" fillId="4" borderId="6" xfId="1" applyFont="1" applyFill="1" applyBorder="1" applyAlignment="1" applyProtection="1">
      <alignment horizontal="right"/>
      <protection hidden="1"/>
    </xf>
    <xf numFmtId="0" fontId="9" fillId="4" borderId="0" xfId="1" applyFont="1" applyFill="1" applyAlignment="1" applyProtection="1">
      <alignment horizontal="right"/>
      <protection hidden="1"/>
    </xf>
    <xf numFmtId="0" fontId="11" fillId="0" borderId="0" xfId="0" applyFont="1" applyFill="1" applyAlignment="1" applyProtection="1">
      <alignment shrinkToFit="1"/>
      <protection locked="0"/>
    </xf>
    <xf numFmtId="0" fontId="14" fillId="0" borderId="0" xfId="0" applyFont="1" applyFill="1" applyAlignment="1" applyProtection="1">
      <protection locked="0"/>
    </xf>
    <xf numFmtId="0" fontId="11" fillId="0" borderId="0" xfId="0" applyFont="1" applyFill="1" applyAlignment="1" applyProtection="1">
      <alignment vertical="justify" shrinkToFit="1"/>
      <protection locked="0"/>
    </xf>
    <xf numFmtId="0" fontId="11" fillId="0" borderId="0" xfId="0" applyFont="1" applyFill="1" applyAlignment="1" applyProtection="1">
      <protection locked="0"/>
    </xf>
    <xf numFmtId="0" fontId="11" fillId="0" borderId="6" xfId="0" applyFont="1" applyFill="1" applyBorder="1" applyAlignment="1" applyProtection="1">
      <alignment vertical="justify" shrinkToFit="1"/>
      <protection locked="0"/>
    </xf>
    <xf numFmtId="2" fontId="11" fillId="0" borderId="0" xfId="0" applyNumberFormat="1" applyFont="1" applyFill="1" applyAlignment="1" applyProtection="1">
      <alignment vertical="justify" shrinkToFit="1"/>
      <protection locked="0"/>
    </xf>
  </cellXfs>
  <cellStyles count="11">
    <cellStyle name="Currency 2" xfId="4" xr:uid="{00000000-0005-0000-0000-000000000000}"/>
    <cellStyle name="Hyperlink" xfId="1" builtinId="8"/>
    <cellStyle name="Normal" xfId="0" builtinId="0"/>
    <cellStyle name="Normal 2" xfId="2" xr:uid="{00000000-0005-0000-0000-000003000000}"/>
    <cellStyle name="Normal 2 2" xfId="5" xr:uid="{00000000-0005-0000-0000-000004000000}"/>
    <cellStyle name="Normal 3" xfId="3" xr:uid="{00000000-0005-0000-0000-000005000000}"/>
    <cellStyle name="Normal 3 2" xfId="6" xr:uid="{00000000-0005-0000-0000-000006000000}"/>
    <cellStyle name="Normal_codes" xfId="7" xr:uid="{7FB75428-32EE-42F4-9D00-1B1F8835FC62}"/>
    <cellStyle name="Normal_Codes_1" xfId="8" xr:uid="{10B0B0BA-B0CD-4560-B9FA-15E2A3278489}"/>
    <cellStyle name="Normal_tablesOfCodes" xfId="9" xr:uid="{5B6A833D-0587-4148-AF43-11B1CF1BC954}"/>
    <cellStyle name="Percent" xfId="10" builtinId="5"/>
  </cellStyles>
  <dxfs count="81">
    <dxf>
      <fill>
        <patternFill>
          <bgColor rgb="FFFFFF00"/>
        </patternFill>
      </fill>
    </dxf>
    <dxf>
      <fill>
        <patternFill>
          <bgColor rgb="FFFFFF0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1" indent="0" justifyLastLine="0" shrinkToFit="0" readingOrder="0"/>
      <protection locked="1" hidden="1"/>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left" vertical="top"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0"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0"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0"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0"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0"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0"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left" vertical="top" textRotation="0" wrapText="0" indent="0" justifyLastLine="0" shrinkToFit="0" readingOrder="0"/>
      <protection locked="1" hidden="1"/>
    </dxf>
    <dxf>
      <border outline="0">
        <top style="thin">
          <color theme="7" tint="0.39997558519241921"/>
        </top>
      </border>
    </dxf>
    <dxf>
      <font>
        <b val="0"/>
        <strike val="0"/>
        <outline val="0"/>
        <shadow val="0"/>
        <u val="none"/>
        <vertAlign val="baseline"/>
        <sz val="8"/>
        <name val="Calibri"/>
        <family val="2"/>
        <scheme val="minor"/>
      </font>
      <fill>
        <patternFill patternType="none">
          <fgColor indexed="64"/>
          <bgColor auto="1"/>
        </patternFill>
      </fill>
      <alignment horizontal="left" vertical="top" textRotation="0" wrapText="0" indent="0" justifyLastLine="0" readingOrder="0"/>
      <protection locked="1" hidden="1"/>
    </dxf>
    <dxf>
      <font>
        <b/>
        <i val="0"/>
        <strike val="0"/>
        <condense val="0"/>
        <extend val="0"/>
        <outline val="0"/>
        <shadow val="0"/>
        <u val="none"/>
        <vertAlign val="baseline"/>
        <sz val="8"/>
        <color theme="0"/>
        <name val="Calibri"/>
        <family val="2"/>
        <scheme val="minor"/>
      </font>
      <fill>
        <patternFill patternType="none">
          <fgColor indexed="64"/>
          <bgColor auto="1"/>
        </patternFill>
      </fill>
      <alignment horizontal="general" vertical="top" textRotation="0" wrapText="0" indent="0" justifyLastLine="0" shrinkToFit="0" readingOrder="0"/>
      <protection locked="1" hidden="1"/>
    </dxf>
    <dxf>
      <font>
        <b val="0"/>
      </font>
      <fill>
        <patternFill patternType="none">
          <bgColor auto="1"/>
        </patternFill>
      </fill>
      <alignment horizontal="general" textRotation="0" wrapText="0" indent="0" justifyLastLine="0" readingOrder="0"/>
      <protection locked="0" hidden="0"/>
    </dxf>
    <dxf>
      <font>
        <b val="0"/>
        <sz val="8"/>
        <color auto="1"/>
      </font>
      <fill>
        <patternFill patternType="none">
          <fgColor indexed="64"/>
          <bgColor indexed="65"/>
        </patternFill>
      </fill>
      <alignment horizontal="general" vertical="justify" textRotation="0" wrapText="0" indent="0" justifyLastLine="0" shrinkToFit="1" readingOrder="0"/>
      <protection locked="0" hidden="0"/>
    </dxf>
    <dxf>
      <font>
        <b val="0"/>
        <sz val="8"/>
        <color auto="1"/>
      </font>
      <fill>
        <patternFill patternType="none">
          <fgColor indexed="64"/>
          <bgColor indexed="65"/>
        </patternFill>
      </fill>
      <alignment horizontal="general" vertical="justify" textRotation="0" wrapText="0" indent="0" justifyLastLine="0" shrinkToFit="1" readingOrder="0"/>
      <protection locked="0" hidden="0"/>
    </dxf>
    <dxf>
      <font>
        <b val="0"/>
        <sz val="8"/>
        <color auto="1"/>
      </font>
      <fill>
        <patternFill patternType="none">
          <fgColor indexed="64"/>
          <bgColor indexed="65"/>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bottom" textRotation="0" wrapText="0" indent="0" justifyLastLine="0" shrinkToFit="1" readingOrder="0"/>
      <protection locked="0" hidden="0"/>
    </dxf>
    <dxf>
      <font>
        <b val="0"/>
      </font>
      <fill>
        <patternFill patternType="none">
          <bgColor auto="1"/>
        </patternFill>
      </fill>
      <alignment horizontal="general" textRotation="0" wrapText="0" indent="0" justifyLastLine="0" readingOrder="0"/>
      <protection locked="0" hidden="0"/>
    </dxf>
    <dxf>
      <font>
        <b val="0"/>
      </font>
      <fill>
        <patternFill patternType="none">
          <bgColor auto="1"/>
        </patternFill>
      </fill>
      <alignment horizontal="general" textRotation="0" wrapText="0" indent="0" justifyLastLine="0" readingOrder="0"/>
      <protection locked="0" hidden="0"/>
    </dxf>
    <dxf>
      <font>
        <b val="0"/>
      </font>
      <fill>
        <patternFill patternType="none">
          <bgColor auto="1"/>
        </patternFill>
      </fill>
      <alignment horizontal="general" textRotation="0" wrapText="0" indent="0" justifyLastLine="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justify" textRotation="0" wrapText="0" indent="0" justifyLastLine="0" shrinkToFit="1" readingOrder="0"/>
      <protection locked="0" hidden="0"/>
    </dxf>
    <dxf>
      <font>
        <b val="0"/>
      </font>
      <fill>
        <patternFill patternType="none">
          <bgColor auto="1"/>
        </patternFill>
      </fill>
      <alignment horizontal="general" textRotation="0" wrapText="0" indent="0" justifyLastLine="0" readingOrder="0"/>
      <protection locked="0" hidden="0"/>
    </dxf>
    <dxf>
      <font>
        <b val="0"/>
      </font>
      <fill>
        <patternFill patternType="none">
          <bgColor auto="1"/>
        </patternFill>
      </fill>
      <alignment horizontal="general" textRotation="0" wrapText="0" indent="0" justifyLastLine="0" readingOrder="0"/>
      <protection locked="0" hidden="0"/>
    </dxf>
    <dxf>
      <font>
        <b val="0"/>
      </font>
      <fill>
        <patternFill patternType="none">
          <bgColor auto="1"/>
        </patternFill>
      </fill>
      <alignment horizontal="general" textRotation="0" wrapText="0" indent="0" justifyLastLine="0" readingOrder="0"/>
      <protection locked="0" hidden="0"/>
    </dxf>
    <dxf>
      <font>
        <b val="0"/>
      </font>
      <fill>
        <patternFill patternType="none">
          <bgColor auto="1"/>
        </patternFill>
      </fill>
      <alignment horizontal="general" textRotation="0" wrapText="0" indent="0" justifyLastLine="0" readingOrder="0"/>
      <protection locked="0" hidden="0"/>
    </dxf>
    <dxf>
      <font>
        <b val="0"/>
        <sz val="8"/>
        <color auto="1"/>
      </font>
      <fill>
        <patternFill patternType="none">
          <fgColor indexed="64"/>
          <bgColor indexed="65"/>
        </patternFill>
      </fill>
      <alignment horizontal="general" vertical="bottom" textRotation="0" wrapText="0" indent="0" justifyLastLine="0" shrinkToFit="1" readingOrder="0"/>
      <protection locked="0" hidden="0"/>
    </dxf>
    <dxf>
      <font>
        <b val="0"/>
        <sz val="8"/>
        <color auto="1"/>
      </font>
      <fill>
        <patternFill patternType="none">
          <fgColor indexed="64"/>
          <bgColor indexed="65"/>
        </patternFill>
      </fill>
      <alignment horizontal="general" vertical="bottom" textRotation="0" wrapText="0" indent="0" justifyLastLine="0" shrinkToFit="1" readingOrder="0"/>
      <protection locked="0" hidden="0"/>
    </dxf>
    <dxf>
      <font>
        <b val="0"/>
        <sz val="8"/>
        <color auto="1"/>
      </font>
      <fill>
        <patternFill patternType="none">
          <fgColor indexed="64"/>
          <bgColor indexed="65"/>
        </patternFill>
      </fill>
      <alignment horizontal="general" vertical="bottom" textRotation="0" wrapText="0" indent="0" justifyLastLine="0" shrinkToFit="1" readingOrder="0"/>
      <protection locked="0" hidden="0"/>
    </dxf>
    <dxf>
      <border outline="0">
        <top style="thin">
          <color indexed="64"/>
        </top>
      </border>
    </dxf>
    <dxf>
      <font>
        <b val="0"/>
        <family val="2"/>
      </font>
      <fill>
        <patternFill patternType="none">
          <bgColor auto="1"/>
        </patternFill>
      </fill>
      <alignment horizontal="general" textRotation="0" wrapText="0" indent="0" justifyLastLine="0" readingOrder="0"/>
      <protection locked="0" hidden="0"/>
    </dxf>
    <dxf>
      <border outline="0">
        <bottom style="thin">
          <color indexed="64"/>
        </bottom>
      </border>
    </dxf>
    <dxf>
      <font>
        <b/>
        <i val="0"/>
        <strike val="0"/>
        <condense val="0"/>
        <extend val="0"/>
        <outline val="0"/>
        <shadow val="0"/>
        <u val="none"/>
        <vertAlign val="baseline"/>
        <sz val="8"/>
        <color auto="1"/>
        <name val="Calibri"/>
        <family val="2"/>
        <scheme val="minor"/>
      </font>
      <fill>
        <patternFill patternType="solid">
          <fgColor indexed="64"/>
          <bgColor theme="6" tint="0.39997558519241921"/>
        </patternFill>
      </fill>
      <alignment horizontal="general" vertical="bottom" textRotation="0" wrapText="0" indent="0" justifyLastLine="0" shrinkToFit="1" readingOrder="0"/>
      <border diagonalUp="0" diagonalDown="0" outline="0">
        <left style="thin">
          <color indexed="64"/>
        </left>
        <right style="thin">
          <color indexed="64"/>
        </right>
        <top/>
        <bottom/>
      </border>
      <protection locked="1" hidden="1"/>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solid">
          <fgColor indexed="64"/>
          <bgColor theme="4" tint="0.79998168889431442"/>
        </patternFill>
      </fill>
      <border diagonalUp="0" diagonalDown="0" outline="0">
        <left/>
        <right/>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numFmt numFmtId="2" formatCode="0.00"/>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numFmt numFmtId="2" formatCode="0.00"/>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b val="0"/>
        <strike val="0"/>
        <outline val="0"/>
        <shadow val="0"/>
        <u val="none"/>
        <vertAlign val="baseline"/>
        <sz val="8"/>
        <color auto="1"/>
        <name val="Calibri"/>
        <family val="2"/>
        <scheme val="minor"/>
      </font>
      <fill>
        <patternFill patternType="none">
          <fgColor indexed="64"/>
          <bgColor auto="1"/>
        </patternFill>
      </fill>
      <alignment horizontal="general" vertical="justify" textRotation="0" wrapText="0" indent="0" justifyLastLine="0" shrinkToFit="1" readingOrder="0"/>
      <protection locked="0" hidden="0"/>
    </dxf>
    <dxf>
      <font>
        <strike val="0"/>
        <outline val="0"/>
        <shadow val="0"/>
        <vertAlign val="baseline"/>
        <sz val="8"/>
        <name val="Calibri"/>
        <family val="2"/>
        <scheme val="minor"/>
      </font>
      <fill>
        <patternFill>
          <fgColor indexed="64"/>
          <bgColor theme="0" tint="-0.14999847407452621"/>
        </patternFill>
      </fill>
      <protection locked="1" hidden="1"/>
    </dxf>
    <dxf>
      <fill>
        <patternFill>
          <bgColor theme="0" tint="-0.14996795556505021"/>
        </patternFill>
      </fill>
    </dxf>
  </dxfs>
  <tableStyles count="2" defaultTableStyle="TableStyleMedium2" defaultPivotStyle="PivotStyleLight16">
    <tableStyle name="Forms" pivot="0" count="1" xr9:uid="{00000000-0011-0000-FFFF-FFFF00000000}">
      <tableStyleElement type="firstColumnStripe" dxfId="80"/>
    </tableStyle>
    <tableStyle name="MySqlDefault" pivot="0" table="0" count="0" xr9:uid="{00000000-0011-0000-FFFF-FFFF01000000}"/>
  </tableStyles>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10/relationships/person" Target="persons/person.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worksheet" Target="worksheets/sheet7.xml"/><Relationship Id="rId12" Type="http://schemas.openxmlformats.org/officeDocument/2006/relationships/powerPivotData" Target="model/item.data"/><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styles" Target="style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8"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os Palma" id="{0BAC2789-86FE-4D41-9149-99D97DAC60EA}" userId="Carlos Palma"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ST09A" displayName="tblST09A" ref="A29:W40" totalsRowShown="0" headerRowDxfId="79" dataDxfId="78">
  <autoFilter ref="A29:W40" xr:uid="{00000000-0009-0000-0100-000001000000}"/>
  <tableColumns count="23">
    <tableColumn id="1" xr3:uid="{00000000-0010-0000-0000-000001000000}" name="FOpGrpCdA" dataDxfId="77"/>
    <tableColumn id="2" xr3:uid="{00000000-0010-0000-0000-000002000000}" name="FlagVesCd" dataDxfId="76"/>
    <tableColumn id="22" xr3:uid="{6D718FE2-BF95-4A83-BD71-594639B1E4FF}" name="FleetSuffix" dataDxfId="75"/>
    <tableColumn id="21" xr3:uid="{6E5704F5-A0E8-46E3-AFDA-F69E31693AB7}" name="LOAClassCd" dataDxfId="74"/>
    <tableColumn id="6" xr3:uid="{00000000-0010-0000-0000-000006000000}" name="YearC" dataDxfId="73"/>
    <tableColumn id="23" xr3:uid="{55B60898-5331-4F87-8D26-62A95A5211B4}" name="TPeriodID" dataDxfId="72"/>
    <tableColumn id="26" xr3:uid="{3E21A51E-2C00-48F9-B8F6-BFFB5D50B7EF}" name="SquareRes" dataDxfId="71"/>
    <tableColumn id="25" xr3:uid="{10D61F41-FECA-47BC-9AAD-20A4F254DCF6}" name="LatCtd" dataDxfId="70"/>
    <tableColumn id="24" xr3:uid="{B372AF9A-804E-4D74-AAB6-DEFD5516DA0A}" name="LonCtd" dataDxfId="69"/>
    <tableColumn id="7" xr3:uid="{00000000-0010-0000-0000-000007000000}" name="GearGrpCd" dataDxfId="68"/>
    <tableColumn id="8" xr3:uid="{00000000-0010-0000-0000-000008000000}" name="NoVessels" dataDxfId="67"/>
    <tableColumn id="9" xr3:uid="{00000000-0010-0000-0000-000009000000}" name="NoFishOpsObs" dataDxfId="66"/>
    <tableColumn id="3" xr3:uid="{B6D07677-7E62-4484-8C2E-CEFFE1F3565E}" name="FOpTypeCd" dataDxfId="65"/>
    <tableColumn id="16" xr3:uid="{00000000-0010-0000-0000-000010000000}" name="SchoolTypeCd" dataDxfId="64"/>
    <tableColumn id="10" xr3:uid="{00000000-0010-0000-0000-00000A000000}" name="LLTypeCd" dataDxfId="63"/>
    <tableColumn id="11" xr3:uid="{00000000-0010-0000-0000-00000B000000}" name="NoHooksTot" dataDxfId="62"/>
    <tableColumn id="14" xr3:uid="{00000000-0010-0000-0000-00000E000000}" name="NoHooksObs" dataDxfId="61"/>
    <tableColumn id="15" xr3:uid="{00000000-0010-0000-0000-00000F000000}" name="HookTypCd" dataDxfId="60"/>
    <tableColumn id="13" xr3:uid="{00000000-0010-0000-0000-00000D000000}" name="FOpDepthCd" dataDxfId="59"/>
    <tableColumn id="17" xr3:uid="{00000000-0010-0000-0000-000011000000}" name="MM1sb" dataDxfId="58"/>
    <tableColumn id="27" xr3:uid="{8FB4A22D-8098-4624-ACAD-B8147FA8B312}" name="MM2sb" dataDxfId="57"/>
    <tableColumn id="18" xr3:uid="{00000000-0010-0000-0000-000012000000}" name="MM3ot" dataDxfId="56"/>
    <tableColumn id="28" xr3:uid="{8303ED17-293F-4942-97ED-C6501DAE0D4A}" name="MMdescrip" dataDxfId="5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1000000}" name="tblST09B" displayName="tblST09B" ref="A17:J40" totalsRowShown="0" headerRowDxfId="54" dataDxfId="53">
  <autoFilter ref="A17:J40" xr:uid="{00000000-0009-0000-0100-00000A000000}"/>
  <tableColumns count="10">
    <tableColumn id="1" xr3:uid="{00000000-0010-0000-0100-000001000000}" name="FOpGrpCdB" dataDxfId="52"/>
    <tableColumn id="2" xr3:uid="{00000000-0010-0000-0100-000002000000}" name="SpcCdB" dataDxfId="51"/>
    <tableColumn id="8" xr3:uid="{13A4A629-6BCF-4FE6-AC77-72AF18E3B7EB}" name="TargetYN" dataDxfId="50"/>
    <tableColumn id="3" xr3:uid="{00000000-0010-0000-0100-000003000000}" name="CatchWkg" dataDxfId="49"/>
    <tableColumn id="9" xr3:uid="{9801A401-77DE-42A1-AA68-B5973D62FF49}" name="ProdTypCd" dataDxfId="48"/>
    <tableColumn id="4" xr3:uid="{00000000-0010-0000-0100-000004000000}" name="CatchNo" dataDxfId="47"/>
    <tableColumn id="5" xr3:uid="{00000000-0010-0000-0100-000005000000}" name="NoDD" dataDxfId="46"/>
    <tableColumn id="6" xr3:uid="{00000000-0010-0000-0100-000006000000}" name="NoDL" dataDxfId="45"/>
    <tableColumn id="18" xr3:uid="{61D381BD-8418-4428-A06C-ED97F859266F}" name="NoUkn" dataDxfId="44"/>
    <tableColumn id="7" xr3:uid="{00000000-0010-0000-0100-000007000000}" name="NoSampled" dataDxfId="43"/>
  </tableColumns>
  <tableStyleInfo name="TableStyleLight2" showFirstColumn="0"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8CD0DA-83FE-4816-B858-B7CD62A96B3D}" name="tblST09C" displayName="tblST09C" ref="A17:P40" totalsRowShown="0" headerRowDxfId="42" dataDxfId="40" headerRowBorderDxfId="41" tableBorderDxfId="39">
  <autoFilter ref="A17:P40" xr:uid="{8B5AC59E-95EA-4FBA-BDCC-15D7E0726964}"/>
  <tableColumns count="16">
    <tableColumn id="2" xr3:uid="{CEA4D8F2-84EE-49DB-9F19-4D16D2DBEACF}" name="SpecimenID" dataDxfId="38"/>
    <tableColumn id="1" xr3:uid="{CE0526A6-C172-4EA8-8551-968C97FFABA0}" name="FOpGrpCdC" dataDxfId="37"/>
    <tableColumn id="3" xr3:uid="{69997CA7-C690-4E5A-B7BF-DD490E0C6E13}" name="SpcCdC" dataDxfId="36"/>
    <tableColumn id="4" xr3:uid="{43AF3E4B-E710-4B6B-AB60-4A29663DBD34}" name="SexCd" dataDxfId="35"/>
    <tableColumn id="5" xr3:uid="{18355E71-2026-4452-B575-87DBCB829ECB}" name="SizeCM" dataDxfId="34"/>
    <tableColumn id="6" xr3:uid="{04DDB96F-E4DC-4F6C-9A31-59EF9988590B}" name="SzClassCd" dataDxfId="33"/>
    <tableColumn id="7" xr3:uid="{50946393-7CAE-4CAE-9DC2-BACAC127C3B8}" name="WgtKG" dataDxfId="32"/>
    <tableColumn id="16" xr3:uid="{3E04B358-8E7D-4919-9047-D5B8F00E0243}" name="WgtTypCd" dataDxfId="31"/>
    <tableColumn id="12" xr3:uid="{C7FF5182-A492-4EE4-B232-80827293CDF2}" name="GenetiYN" dataDxfId="30"/>
    <tableColumn id="13" xr3:uid="{3B7717FB-D537-4144-8548-33EC8C599EEA}" name="OtolitYN" dataDxfId="29"/>
    <tableColumn id="14" xr3:uid="{43EB9502-3B14-45D1-933A-9A9954CD73D1}" name="StomacYN" dataDxfId="28"/>
    <tableColumn id="11" xr3:uid="{70D8ED71-1376-4970-86CB-C2DFA3D22360}" name="GonadsYN" dataDxfId="27"/>
    <tableColumn id="8" xr3:uid="{3FABFB46-61E3-4394-80BD-D53946DA490C}" name="RelYN" dataDxfId="26"/>
    <tableColumn id="9" xr3:uid="{F51880E3-7E0E-4B61-B4AB-516747DE9D8C}" name="InjurScCd" dataDxfId="25"/>
    <tableColumn id="10" xr3:uid="{CD779216-9206-40A2-8CC6-7E5B88F73585}" name="TagNo" dataDxfId="24"/>
    <tableColumn id="15" xr3:uid="{66E0C607-2C36-4A90-B1FF-0671EC8F1CB4}" name="SampObs" dataDxfId="23"/>
  </tableColumns>
  <tableStyleInfo name="TableStyleLight4" showFirstColumn="0" showLastColumn="0" showRowStripes="0"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8C3170-081B-4B45-9032-419FC52C217B}" name="tblTranslation" displayName="tblTranslation" ref="A4:M151" totalsRowShown="0" headerRowDxfId="22" dataDxfId="21" tableBorderDxfId="20">
  <autoFilter ref="A4:M151" xr:uid="{B1192A54-E9E9-4ABF-B128-4D9716879B1C}">
    <filterColumn colId="3">
      <filters>
        <filter val="ST09A"/>
      </filters>
    </filterColumn>
    <filterColumn colId="4">
      <filters>
        <filter val="Header"/>
      </filters>
    </filterColumn>
  </autoFilter>
  <tableColumns count="13">
    <tableColumn id="1" xr3:uid="{760311DD-FD9A-4FB5-9BBE-70487CD29526}" name="FieldID" dataDxfId="19"/>
    <tableColumn id="13" xr3:uid="{F40AD588-CDD8-4F47-AF60-01331B78C86A}" name="OrderID" dataDxfId="18"/>
    <tableColumn id="5" xr3:uid="{5709CE6B-CF1B-4C76-9682-4417CCF75E15}" name="FormID" dataDxfId="17"/>
    <tableColumn id="14" xr3:uid="{0A86F833-114D-4076-9FCA-BCF70032934F}" name="SubFormID" dataDxfId="16"/>
    <tableColumn id="15" xr3:uid="{EF3AA102-B160-4611-BAD7-343D525DDB52}" name="Section" dataDxfId="15"/>
    <tableColumn id="17" xr3:uid="{5FAC4865-91CF-437D-92AD-2BD48CF79EC4}" name="Item" dataDxfId="14"/>
    <tableColumn id="16" xr3:uid="{25E10EC4-1CCC-4B2F-A964-D235DCE533E0}" name="FieldType" dataDxfId="13"/>
    <tableColumn id="2" xr3:uid="{73691664-4114-4344-A6D6-B2F055FC5FD3}" name="FldNameEN" dataDxfId="12"/>
    <tableColumn id="3" xr3:uid="{1B4EBF28-D60F-4D5F-A141-0D7AE565BF5C}" name="FldNameFR" dataDxfId="11"/>
    <tableColumn id="4" xr3:uid="{0E631671-A4E0-42C2-A672-930424F0C080}" name="FldNameES" dataDxfId="10"/>
    <tableColumn id="11" xr3:uid="{862FDDED-CD00-46AB-B5F7-0EDEA81ABA01}" name="FldInstructEN" dataDxfId="9"/>
    <tableColumn id="6" xr3:uid="{38AC4884-E337-4BE7-BF58-B31FE76715E6}" name="FldInstructFR" dataDxfId="8"/>
    <tableColumn id="7" xr3:uid="{7F16D92F-AD6F-42D6-AD68-9A19F9BC8A88}" name="FldInstructES" dataDxfId="7"/>
  </tableColumns>
  <tableStyleInfo name="TableStyleMedium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5" dT="2023-01-18T09:43:13.32" personId="{0BAC2789-86FE-4D41-9149-99D97DAC60EA}" id="{14494377-D765-49F5-8F0D-85612F20F4C2}">
    <text xml:space="preserve">NEXT (2024+)
SC-ECO should decide how to proceed
- proceed with the split of ST09 into two forms:
- PS(ETRO) only - vessels/trip/set/catch/samples
- remainder (current ST09 structure)
Deadline: April/30 should go to the generic deadline of July/31
(SCRS generic deadline for stats &amp; bio data)
</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iccat.int/Documents/Recs/compendiopdf-s/2016-14-s.pdf" TargetMode="External"/><Relationship Id="rId7" Type="http://schemas.microsoft.com/office/2017/10/relationships/threadedComment" Target="../threadedComments/threadedComment1.xml"/><Relationship Id="rId2" Type="http://schemas.openxmlformats.org/officeDocument/2006/relationships/hyperlink" Target="https://www.iccat.int/Documents/Recs/compendiopdf-f/2016-14-f.pdf" TargetMode="External"/><Relationship Id="rId1" Type="http://schemas.openxmlformats.org/officeDocument/2006/relationships/hyperlink" Target="https://www.iccat.int/Documents/Recs/compendiopdf-e/2016-14-e.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F0"/>
  </sheetPr>
  <dimension ref="A1:W40"/>
  <sheetViews>
    <sheetView tabSelected="1" zoomScaleNormal="100" workbookViewId="0">
      <selection activeCell="R2" sqref="R2"/>
    </sheetView>
  </sheetViews>
  <sheetFormatPr defaultColWidth="8.765625" defaultRowHeight="10.75" x14ac:dyDescent="0.3"/>
  <cols>
    <col min="1" max="1" width="11.07421875" style="50" bestFit="1" customWidth="1"/>
    <col min="2" max="2" width="10" style="50" bestFit="1" customWidth="1"/>
    <col min="3" max="3" width="13.4609375" style="50" bestFit="1" customWidth="1"/>
    <col min="4" max="4" width="10.765625" style="50" customWidth="1"/>
    <col min="5" max="5" width="8.07421875" style="50" bestFit="1" customWidth="1"/>
    <col min="6" max="6" width="8.84375" style="50" customWidth="1"/>
    <col min="7" max="7" width="8.3828125" style="50" customWidth="1"/>
    <col min="8" max="8" width="12.61328125" style="50" bestFit="1" customWidth="1"/>
    <col min="9" max="9" width="10.3828125" style="50" bestFit="1" customWidth="1"/>
    <col min="10" max="10" width="7.765625" style="50" customWidth="1"/>
    <col min="11" max="11" width="10" style="50" bestFit="1" customWidth="1"/>
    <col min="12" max="12" width="12.4609375" style="50" bestFit="1" customWidth="1"/>
    <col min="13" max="14" width="9.4609375" style="50" customWidth="1"/>
    <col min="15" max="15" width="9.4609375" style="50" bestFit="1" customWidth="1"/>
    <col min="16" max="16" width="9.765625" style="50" customWidth="1"/>
    <col min="17" max="17" width="11.4609375" style="50" bestFit="1" customWidth="1"/>
    <col min="18" max="18" width="8.765625" style="50" customWidth="1"/>
    <col min="19" max="19" width="10.07421875" style="50" customWidth="1"/>
    <col min="20" max="20" width="7.4609375" style="50" customWidth="1"/>
    <col min="21" max="21" width="8.4609375" style="50" bestFit="1" customWidth="1"/>
    <col min="22" max="22" width="10.4609375" style="50" bestFit="1" customWidth="1"/>
    <col min="23" max="23" width="27.765625" style="50" bestFit="1" customWidth="1"/>
    <col min="24" max="16384" width="8.765625" style="50"/>
  </cols>
  <sheetData>
    <row r="1" spans="1:20" s="25" customFormat="1" ht="19.75" x14ac:dyDescent="0.3">
      <c r="A1" s="315" t="str">
        <f>VLOOKUP("T00",tblTranslation[],LangFieldID,FALSE)</f>
        <v>ST09-DomObPrg</v>
      </c>
      <c r="B1" s="316"/>
      <c r="C1" s="323" t="str">
        <f>VLOOKUP("T00",tblTranslation[],LangNameID,FALSE)</f>
        <v>Task 3 - Domestic Observer's Programme</v>
      </c>
      <c r="D1" s="323"/>
      <c r="E1" s="323"/>
      <c r="F1" s="323"/>
      <c r="G1" s="323"/>
      <c r="H1" s="323"/>
      <c r="I1" s="323"/>
      <c r="J1" s="323"/>
      <c r="K1" s="323"/>
      <c r="L1" s="323"/>
      <c r="M1" s="323"/>
      <c r="N1" s="323"/>
      <c r="O1" s="323"/>
      <c r="P1" s="323"/>
      <c r="Q1" s="151" t="str">
        <f>VLOOKUP("tVersion",tblTranslation[],LangFieldID,FALSE)</f>
        <v>Version</v>
      </c>
      <c r="R1" s="152" t="str">
        <f>VLOOKUP("tLang",tblTranslation[],LangFieldID,FALSE)</f>
        <v>Language</v>
      </c>
    </row>
    <row r="2" spans="1:20" s="25" customFormat="1" ht="14.15" x14ac:dyDescent="0.3">
      <c r="A2" s="317"/>
      <c r="B2" s="318"/>
      <c r="C2" s="324" t="str">
        <f>VLOOKUP("T01",tblTranslation[],LangFieldID,FALSE)&amp;": "&amp;VLOOKUP("T01",tblTranslation[],LangNameID,FALSE)</f>
        <v>ICCAT: INTERNATIONAL COMMISSION FOR THE CONSERVATION OF ATLANTIC TUNAS</v>
      </c>
      <c r="D2" s="324"/>
      <c r="E2" s="324"/>
      <c r="F2" s="324"/>
      <c r="G2" s="324"/>
      <c r="H2" s="324"/>
      <c r="I2" s="324"/>
      <c r="J2" s="324"/>
      <c r="K2" s="324"/>
      <c r="L2" s="324"/>
      <c r="M2" s="324"/>
      <c r="N2" s="324"/>
      <c r="O2" s="324"/>
      <c r="P2" s="324"/>
      <c r="Q2" s="192" t="s">
        <v>2751</v>
      </c>
      <c r="R2" s="52" t="s">
        <v>2617</v>
      </c>
    </row>
    <row r="3" spans="1:20" s="7" customFormat="1" x14ac:dyDescent="0.3">
      <c r="A3" s="9"/>
      <c r="B3" s="10"/>
      <c r="C3" s="10"/>
      <c r="D3" s="10"/>
      <c r="E3" s="10"/>
      <c r="F3" s="10"/>
      <c r="G3" s="10"/>
      <c r="H3" s="10"/>
      <c r="I3" s="10"/>
      <c r="J3" s="10"/>
      <c r="K3" s="10"/>
      <c r="L3" s="10"/>
      <c r="M3" s="10"/>
      <c r="N3" s="10"/>
      <c r="O3" s="10"/>
      <c r="P3" s="10"/>
      <c r="Q3" s="10"/>
    </row>
    <row r="4" spans="1:20" s="7" customFormat="1" x14ac:dyDescent="0.3">
      <c r="A4" s="319" t="str">
        <f>VLOOKUP("H10",tblTranslation[],LangFieldID,FALSE)</f>
        <v>Statistical Correspondent</v>
      </c>
      <c r="B4" s="320"/>
      <c r="C4" s="320"/>
      <c r="D4" s="320"/>
      <c r="E4" s="320"/>
      <c r="F4" s="320"/>
      <c r="G4" s="320"/>
      <c r="H4" s="320"/>
      <c r="I4" s="320"/>
      <c r="J4" s="320"/>
      <c r="K4" s="29" t="str">
        <f>IF(AND(C5&gt;0,C6&gt;0,H6&gt;0,C7&gt;0,C8&gt;0,C9&gt;0, H9&gt;0),"ok","inc")</f>
        <v>inc</v>
      </c>
      <c r="L4" s="325" t="str">
        <f>VLOOKUP("H20",tblTranslation[],LangFieldID,FALSE)</f>
        <v>Secretariat use only</v>
      </c>
      <c r="M4" s="326"/>
      <c r="N4" s="326"/>
      <c r="O4" s="326"/>
      <c r="P4" s="329" t="str">
        <f>VLOOKUP("H21",tblTranslation[],LangFieldID,FALSE)</f>
        <v>Filtering criteria</v>
      </c>
      <c r="Q4" s="329"/>
      <c r="R4" s="330"/>
    </row>
    <row r="5" spans="1:20" s="7" customFormat="1" x14ac:dyDescent="0.3">
      <c r="A5" s="11" t="str">
        <f>VLOOKUP("H11",tblTranslation[],LangFieldID,FALSE)</f>
        <v>Identification</v>
      </c>
      <c r="B5" s="126" t="str">
        <f>VLOOKUP("hName",tblTranslation[],LangFieldID,FALSE)</f>
        <v>Name</v>
      </c>
      <c r="C5" s="321"/>
      <c r="D5" s="321"/>
      <c r="E5" s="321"/>
      <c r="F5" s="321"/>
      <c r="G5" s="321"/>
      <c r="H5" s="321"/>
      <c r="I5" s="321"/>
      <c r="J5" s="30"/>
      <c r="K5" s="12"/>
      <c r="L5" s="126" t="str">
        <f>VLOOKUP("hDaterep",tblTranslation[],LangFieldID,FALSE)</f>
        <v>Date reported</v>
      </c>
      <c r="M5" s="327"/>
      <c r="N5" s="327"/>
      <c r="O5" s="130"/>
      <c r="P5" s="14"/>
      <c r="Q5" s="94" t="str">
        <f>VLOOKUP("hFilter1",tblTranslation[],LangFieldID,FALSE)</f>
        <v>Filter 1</v>
      </c>
      <c r="R5" s="95" t="str">
        <f>VLOOKUP("hFilter2",tblTranslation[],LangFieldID,FALSE)</f>
        <v>Filter 2</v>
      </c>
    </row>
    <row r="6" spans="1:20" s="7" customFormat="1" x14ac:dyDescent="0.3">
      <c r="A6" s="15"/>
      <c r="B6" s="126" t="str">
        <f>VLOOKUP("hEmail",tblTranslation[],LangFieldID,FALSE)</f>
        <v>E-mail</v>
      </c>
      <c r="C6" s="331"/>
      <c r="D6" s="331"/>
      <c r="E6" s="331"/>
      <c r="F6" s="331"/>
      <c r="G6" s="126" t="str">
        <f>VLOOKUP("hPhone",tblTranslation[],LangFieldID,FALSE)</f>
        <v>Phone</v>
      </c>
      <c r="H6" s="332"/>
      <c r="I6" s="332"/>
      <c r="J6" s="30"/>
      <c r="K6" s="12"/>
      <c r="L6" s="126" t="str">
        <f>VLOOKUP("hRef",tblTranslation[],LangFieldID,FALSE)</f>
        <v>Reference Nº</v>
      </c>
      <c r="M6" s="328"/>
      <c r="N6" s="328"/>
      <c r="O6" s="14"/>
      <c r="P6" s="26" t="s">
        <v>607</v>
      </c>
      <c r="Q6" s="86">
        <v>0</v>
      </c>
      <c r="R6" s="340" t="s">
        <v>1397</v>
      </c>
    </row>
    <row r="7" spans="1:20" s="7" customFormat="1" x14ac:dyDescent="0.3">
      <c r="A7" s="16" t="str">
        <f>VLOOKUP("H12",tblTranslation[],LangFieldID,FALSE)</f>
        <v>Affiliation</v>
      </c>
      <c r="B7" s="14" t="str">
        <f>VLOOKUP("hInstit",tblTranslation[],LangFieldID,FALSE)</f>
        <v>Institution</v>
      </c>
      <c r="C7" s="321"/>
      <c r="D7" s="321"/>
      <c r="E7" s="321"/>
      <c r="F7" s="321"/>
      <c r="G7" s="321"/>
      <c r="H7" s="30"/>
      <c r="I7" s="30"/>
      <c r="J7" s="30"/>
      <c r="K7" s="12"/>
      <c r="L7" s="26" t="s">
        <v>1887</v>
      </c>
      <c r="M7" s="53"/>
      <c r="N7" s="6"/>
      <c r="O7" s="17"/>
      <c r="P7" s="26" t="s">
        <v>608</v>
      </c>
      <c r="Q7" s="87">
        <v>0</v>
      </c>
      <c r="R7" s="341"/>
    </row>
    <row r="8" spans="1:20" s="7" customFormat="1" x14ac:dyDescent="0.3">
      <c r="A8" s="18"/>
      <c r="B8" s="126" t="str">
        <f>VLOOKUP("hDepart",tblTranslation[],LangFieldID,FALSE)</f>
        <v>Department</v>
      </c>
      <c r="C8" s="321"/>
      <c r="D8" s="321"/>
      <c r="E8" s="321"/>
      <c r="F8" s="321"/>
      <c r="G8" s="321"/>
      <c r="H8" s="6"/>
      <c r="I8" s="6"/>
      <c r="J8" s="6"/>
      <c r="K8" s="12"/>
      <c r="L8" s="338" t="str">
        <f>VLOOKUP("hFName",tblTranslation[],LangFieldID,FALSE)</f>
        <v>File name (proposed)</v>
      </c>
      <c r="M8" s="339"/>
      <c r="N8" s="30"/>
      <c r="O8" s="19"/>
      <c r="P8" s="26" t="s">
        <v>609</v>
      </c>
      <c r="Q8" s="87">
        <v>0</v>
      </c>
      <c r="R8" s="341"/>
    </row>
    <row r="9" spans="1:20" s="7" customFormat="1" x14ac:dyDescent="0.3">
      <c r="A9" s="18"/>
      <c r="B9" s="126" t="str">
        <f>VLOOKUP("hAddress",tblTranslation[],LangFieldID,FALSE)</f>
        <v>Address</v>
      </c>
      <c r="C9" s="321"/>
      <c r="D9" s="321"/>
      <c r="E9" s="321"/>
      <c r="F9" s="321"/>
      <c r="G9" s="125" t="str">
        <f>VLOOKUP("hCountry",tblTranslation[],LangFieldID,FALSE)</f>
        <v>Country</v>
      </c>
      <c r="H9" s="322"/>
      <c r="I9" s="322"/>
      <c r="J9" s="322"/>
      <c r="K9" s="12"/>
      <c r="L9" s="336" t="str">
        <f>IF(AND(K4="ok",K11="ok"),"ST09_"&amp;E12&amp;C13&amp;"-"&amp;RIGHT(E13,2)&amp;LEFT(C17,1)&amp;"-"&amp;LEFT(B19,2)&amp;"#"&amp;M6&amp;".xlsx","")</f>
        <v/>
      </c>
      <c r="M9" s="337"/>
      <c r="N9" s="337"/>
      <c r="O9" s="337"/>
      <c r="P9" s="19"/>
      <c r="Q9" s="27"/>
      <c r="R9" s="27"/>
    </row>
    <row r="10" spans="1:20" s="7" customFormat="1" x14ac:dyDescent="0.3">
      <c r="A10" s="18"/>
      <c r="B10" s="14"/>
      <c r="C10" s="6"/>
      <c r="D10" s="6"/>
      <c r="E10" s="6"/>
      <c r="F10" s="6"/>
      <c r="G10" s="6"/>
      <c r="H10" s="6"/>
      <c r="I10" s="6"/>
      <c r="J10" s="14"/>
      <c r="K10" s="12"/>
      <c r="L10" s="13"/>
      <c r="M10" s="22"/>
      <c r="N10" s="14"/>
      <c r="O10" s="14"/>
      <c r="P10" s="14"/>
      <c r="Q10" s="14"/>
      <c r="R10" s="12"/>
    </row>
    <row r="11" spans="1:20" s="7" customFormat="1" x14ac:dyDescent="0.3">
      <c r="A11" s="305" t="str">
        <f>VLOOKUP("H30",tblTranslation[],LangFieldID,FALSE)</f>
        <v>Data set characteristics</v>
      </c>
      <c r="B11" s="306"/>
      <c r="C11" s="164"/>
      <c r="D11" s="164"/>
      <c r="E11" s="164"/>
      <c r="F11" s="164"/>
      <c r="G11" s="335" t="str">
        <f>VLOOKUP("H40",tblTranslation[],LangFieldID,FALSE)</f>
        <v>Domestic Observer Prog. (summary)</v>
      </c>
      <c r="H11" s="335"/>
      <c r="I11" s="335"/>
      <c r="J11" s="335"/>
      <c r="K11" s="165" t="str">
        <f>IF(E12="","inc",IF(AND(C13&gt;0,E13&gt;0,C15&gt;0,C17&gt;0,C18&gt;0,J12&gt;0,J13&gt;0),"ok","inc"))</f>
        <v>inc</v>
      </c>
      <c r="L11" s="166" t="str">
        <f>VLOOKUP("hNotes",tblTranslation[],LangFieldID,FALSE)</f>
        <v>Notes</v>
      </c>
      <c r="M11" s="333"/>
      <c r="N11" s="333"/>
      <c r="O11" s="333"/>
      <c r="P11" s="333"/>
      <c r="Q11" s="333"/>
      <c r="R11" s="334"/>
      <c r="S11" s="23"/>
    </row>
    <row r="12" spans="1:20" s="7" customFormat="1" x14ac:dyDescent="0.3">
      <c r="A12" s="312" t="str">
        <f>VLOOKUP("hFlagRep",tblTranslation[],LangFieldID,FALSE)</f>
        <v>Reporting Flag</v>
      </c>
      <c r="B12" s="313"/>
      <c r="C12" s="307"/>
      <c r="D12" s="307"/>
      <c r="E12" s="190" t="str">
        <f>IFERROR(IF(C12&gt;0,VLOOKUP(C12,Codes!A3:B175,2,FALSE),""),"")</f>
        <v/>
      </c>
      <c r="F12" s="124"/>
      <c r="G12" s="350" t="str">
        <f>VLOOKUP("hObProgYN",tblTranslation[],LangFieldID,FALSE)</f>
        <v>With Observer Program (Y/N)?</v>
      </c>
      <c r="H12" s="350"/>
      <c r="I12" s="350"/>
      <c r="J12" s="50"/>
      <c r="K12" s="14" t="str">
        <f>IF(J12="Y", "(yes/oui/si)","(no/non/no)")</f>
        <v>(no/non/no)</v>
      </c>
      <c r="L12" s="342"/>
      <c r="M12" s="342"/>
      <c r="N12" s="342"/>
      <c r="O12" s="342"/>
      <c r="P12" s="342"/>
      <c r="Q12" s="342"/>
      <c r="R12" s="343"/>
      <c r="T12" s="193"/>
    </row>
    <row r="13" spans="1:20" s="7" customFormat="1" x14ac:dyDescent="0.3">
      <c r="A13" s="308" t="str">
        <f>VLOOKUP("hYearFrom",tblTranslation[],LangFieldID,FALSE)</f>
        <v>Years covered (from)</v>
      </c>
      <c r="B13" s="309"/>
      <c r="C13" s="88"/>
      <c r="D13" s="89" t="str">
        <f>VLOOKUP("hYearTo",tblTranslation[],LangFieldID,FALSE)</f>
        <v>(to)</v>
      </c>
      <c r="E13" s="88"/>
      <c r="F13" s="6"/>
      <c r="G13" s="310" t="str">
        <f>VLOOKUP("hObProgYear1",tblTranslation[],LangFieldID,FALSE)</f>
        <v>Year (begin)</v>
      </c>
      <c r="H13" s="310"/>
      <c r="I13" s="310"/>
      <c r="J13" s="50"/>
      <c r="K13" s="14"/>
      <c r="L13" s="342"/>
      <c r="M13" s="342"/>
      <c r="N13" s="342"/>
      <c r="O13" s="342"/>
      <c r="P13" s="342"/>
      <c r="Q13" s="342"/>
      <c r="R13" s="343"/>
    </row>
    <row r="14" spans="1:20" s="7" customFormat="1" x14ac:dyDescent="0.3">
      <c r="A14" s="18"/>
      <c r="B14" s="6"/>
      <c r="C14" s="6"/>
      <c r="D14" s="6"/>
      <c r="E14" s="6"/>
      <c r="F14" s="6"/>
      <c r="G14" s="348" t="str">
        <f>VLOOKUP("H41",tblTranslation[],LangFieldID,FALSE)</f>
        <v>Fisheries monitored / coverage</v>
      </c>
      <c r="H14" s="348"/>
      <c r="I14" s="348"/>
      <c r="J14" s="348"/>
      <c r="K14" s="24"/>
      <c r="L14" s="342"/>
      <c r="M14" s="342"/>
      <c r="N14" s="342"/>
      <c r="O14" s="342"/>
      <c r="P14" s="342"/>
      <c r="Q14" s="342"/>
      <c r="R14" s="343"/>
    </row>
    <row r="15" spans="1:20" s="7" customFormat="1" ht="10.75" customHeight="1" x14ac:dyDescent="0.3">
      <c r="A15" s="455" t="str">
        <f>VLOOKUP("hDCollSource",tblTranslation[],LangFieldID,FALSE)</f>
        <v>Data collection based on</v>
      </c>
      <c r="B15" s="456"/>
      <c r="C15" s="454"/>
      <c r="D15" s="454"/>
      <c r="E15" s="6"/>
      <c r="F15" s="22"/>
      <c r="G15" s="6"/>
      <c r="H15" s="354" t="str">
        <f>VLOOKUP("H42",tblTranslation[],LangFieldID,FALSE)</f>
        <v>Coverage by gear (Rec 16-14(4a))</v>
      </c>
      <c r="I15" s="355"/>
      <c r="J15" s="356"/>
      <c r="K15" s="24"/>
      <c r="L15" s="342"/>
      <c r="M15" s="342"/>
      <c r="N15" s="342"/>
      <c r="O15" s="342"/>
      <c r="P15" s="342"/>
      <c r="Q15" s="342"/>
      <c r="R15" s="343"/>
      <c r="T15" s="210"/>
    </row>
    <row r="16" spans="1:20" s="7" customFormat="1" x14ac:dyDescent="0.3">
      <c r="A16" s="18"/>
      <c r="B16" s="6"/>
      <c r="C16" s="6"/>
      <c r="D16" s="6"/>
      <c r="E16" s="6"/>
      <c r="F16" s="22"/>
      <c r="G16" s="220" t="s">
        <v>2718</v>
      </c>
      <c r="H16" s="277" t="str">
        <f>VLOOKUP("hGearGCov",tblTranslation[],LangFieldID,FALSE)</f>
        <v>GearG+Cov. (cod)</v>
      </c>
      <c r="I16" s="279" t="str">
        <f>VLOOKUP("hCoverRatio",tblTranslation[],LangFieldID,FALSE)</f>
        <v>C. Rate (CR, %)</v>
      </c>
      <c r="J16" s="283" t="str">
        <f>VLOOKUP("hMinCovRatio",tblTranslation[],LangFieldID,FALSE)</f>
        <v>Min (CR, %)</v>
      </c>
      <c r="K16" s="278"/>
      <c r="L16" s="342"/>
      <c r="M16" s="342"/>
      <c r="N16" s="342"/>
      <c r="O16" s="342"/>
      <c r="P16" s="342"/>
      <c r="Q16" s="342"/>
      <c r="R16" s="343"/>
    </row>
    <row r="17" spans="1:23" s="7" customFormat="1" ht="10.75" customHeight="1" x14ac:dyDescent="0.3">
      <c r="A17" s="312" t="str">
        <f>VLOOKUP("hVersion",tblTranslation[],LangFieldID,FALSE)</f>
        <v>Version reported</v>
      </c>
      <c r="B17" s="313"/>
      <c r="C17" s="307"/>
      <c r="D17" s="307"/>
      <c r="E17" s="6"/>
      <c r="F17" s="22"/>
      <c r="G17" s="275" t="str">
        <f>VLOOKUP("hFishery1",tblTranslation[],LangFieldID,FALSE)</f>
        <v>Fishery 1</v>
      </c>
      <c r="H17" s="226"/>
      <c r="I17" s="45"/>
      <c r="J17" s="291" t="str">
        <f>IF(ISBLANK(H17),"",VLOOKUP(H17,Codes!$W$3:$AC$17,7,FALSE))</f>
        <v/>
      </c>
      <c r="K17" s="282"/>
      <c r="L17" s="342"/>
      <c r="M17" s="342"/>
      <c r="N17" s="342"/>
      <c r="O17" s="342"/>
      <c r="P17" s="342"/>
      <c r="Q17" s="342"/>
      <c r="R17" s="343"/>
    </row>
    <row r="18" spans="1:23" s="7" customFormat="1" x14ac:dyDescent="0.3">
      <c r="A18" s="352" t="str">
        <f>VLOOKUP("hContent",tblTranslation[],LangFieldID,FALSE)</f>
        <v>Content (data)</v>
      </c>
      <c r="B18" s="353"/>
      <c r="C18" s="314"/>
      <c r="D18" s="314"/>
      <c r="E18" s="6"/>
      <c r="F18" s="22"/>
      <c r="G18" s="211" t="str">
        <f>VLOOKUP("hFishery2",tblTranslation[],LangFieldID,FALSE)</f>
        <v>Fishery 2</v>
      </c>
      <c r="H18" s="227"/>
      <c r="I18" s="45"/>
      <c r="J18" s="292"/>
      <c r="K18" s="282"/>
      <c r="L18" s="342"/>
      <c r="M18" s="342"/>
      <c r="N18" s="342"/>
      <c r="O18" s="342"/>
      <c r="P18" s="342"/>
      <c r="Q18" s="342"/>
      <c r="R18" s="343"/>
    </row>
    <row r="19" spans="1:23" s="7" customFormat="1" x14ac:dyDescent="0.3">
      <c r="A19" s="13"/>
      <c r="B19" s="349" t="str">
        <f>IF(C18&gt;0, VLOOKUP(C18,Codes!T9:V12,3,FALSE)&amp; ": " &amp; VLOOKUP(C18,Codes!T9:V12,2,FALSE),"")</f>
        <v/>
      </c>
      <c r="C19" s="349"/>
      <c r="D19" s="349"/>
      <c r="E19" s="349"/>
      <c r="F19" s="349"/>
      <c r="G19" s="211" t="str">
        <f>VLOOKUP("hFishery3",tblTranslation[],LangFieldID,FALSE)</f>
        <v>Fishery 3</v>
      </c>
      <c r="H19" s="227"/>
      <c r="I19" s="45"/>
      <c r="J19" s="292"/>
      <c r="K19" s="282"/>
      <c r="L19" s="342"/>
      <c r="M19" s="342"/>
      <c r="N19" s="342"/>
      <c r="O19" s="342"/>
      <c r="P19" s="342"/>
      <c r="Q19" s="342"/>
      <c r="R19" s="343"/>
    </row>
    <row r="20" spans="1:23" s="7" customFormat="1" ht="11.15" thickBot="1" x14ac:dyDescent="0.35">
      <c r="A20" s="18"/>
      <c r="B20" s="123"/>
      <c r="C20" s="6"/>
      <c r="D20" s="6"/>
      <c r="E20" s="123"/>
      <c r="F20" s="104"/>
      <c r="G20" s="211" t="str">
        <f>VLOOKUP("hFishery4",tblTranslation[],LangFieldID,FALSE)</f>
        <v>Fishery 4</v>
      </c>
      <c r="H20" s="227"/>
      <c r="I20" s="45"/>
      <c r="J20" s="292" t="str">
        <f>IF(ISBLANK(H20),"",VLOOKUP(H20,Codes!$W$3:$AC$17,7,FALSE))</f>
        <v/>
      </c>
      <c r="K20" s="282" t="str">
        <f>IF(ISBLANK(H20),"",LEFT(H20,2) &amp;": "&amp; VLOOKUP(H20,Codes!$W$3:$Z$17,LangFieldID-6,FALSE))</f>
        <v/>
      </c>
      <c r="L20" s="342"/>
      <c r="M20" s="342"/>
      <c r="N20" s="342"/>
      <c r="O20" s="342"/>
      <c r="P20" s="342"/>
      <c r="Q20" s="342"/>
      <c r="R20" s="343"/>
    </row>
    <row r="21" spans="1:23" s="7" customFormat="1" ht="10.75" customHeight="1" x14ac:dyDescent="0.3">
      <c r="A21" s="18"/>
      <c r="B21" s="103"/>
      <c r="C21" s="344" t="str">
        <f>VLOOKUP("btnST09B",tblTranslation[],LangFieldID,FALSE)</f>
        <v>ST09B (move to)</v>
      </c>
      <c r="D21" s="346" t="str">
        <f>VLOOKUP("btnST09C",tblTranslation[],LangFieldID,FALSE)</f>
        <v>ST09C (move to)</v>
      </c>
      <c r="E21" s="6"/>
      <c r="F21" s="104"/>
      <c r="G21" s="212" t="str">
        <f>VLOOKUP("hFishery5",tblTranslation[],LangFieldID,FALSE)</f>
        <v>Fishery 5</v>
      </c>
      <c r="H21" s="281"/>
      <c r="I21" s="294"/>
      <c r="J21" s="293" t="str">
        <f>IF(ISBLANK(H21),"",VLOOKUP(H21,Codes!$W$3:$AC$17,7,FALSE))</f>
        <v/>
      </c>
      <c r="K21" s="282" t="str">
        <f>IF(ISBLANK(H21),"",LEFT(H21,2) &amp;": "&amp; VLOOKUP(H21,Codes!$W$3:$Z$17,LangFieldID-6,FALSE))</f>
        <v/>
      </c>
      <c r="L21" s="342"/>
      <c r="M21" s="342"/>
      <c r="N21" s="342"/>
      <c r="O21" s="342"/>
      <c r="P21" s="342"/>
      <c r="Q21" s="342"/>
      <c r="R21" s="343"/>
    </row>
    <row r="22" spans="1:23" s="7" customFormat="1" ht="11.15" thickBot="1" x14ac:dyDescent="0.35">
      <c r="A22" s="18"/>
      <c r="B22" s="103"/>
      <c r="C22" s="345"/>
      <c r="D22" s="347"/>
      <c r="E22" s="6"/>
      <c r="F22" s="104"/>
      <c r="G22" s="104"/>
      <c r="H22" s="104"/>
      <c r="I22" s="104"/>
      <c r="J22" s="104"/>
      <c r="K22" s="6"/>
      <c r="L22" s="342"/>
      <c r="M22" s="342"/>
      <c r="N22" s="342"/>
      <c r="O22" s="342"/>
      <c r="P22" s="342"/>
      <c r="Q22" s="342"/>
      <c r="R22" s="343"/>
    </row>
    <row r="23" spans="1:23" s="7" customFormat="1" x14ac:dyDescent="0.3">
      <c r="A23" s="21"/>
      <c r="B23" s="20"/>
      <c r="C23" s="8"/>
      <c r="D23" s="8"/>
      <c r="E23" s="8"/>
      <c r="F23" s="105"/>
      <c r="G23" s="8"/>
      <c r="H23" s="8"/>
      <c r="I23" s="8"/>
      <c r="J23" s="8"/>
      <c r="K23" s="20"/>
      <c r="L23" s="8"/>
      <c r="M23" s="8"/>
      <c r="N23" s="8"/>
      <c r="O23" s="8"/>
      <c r="P23" s="8"/>
      <c r="Q23" s="8"/>
      <c r="R23" s="90"/>
    </row>
    <row r="24" spans="1:23" s="7" customFormat="1" x14ac:dyDescent="0.3">
      <c r="A24" s="49"/>
      <c r="B24" s="49"/>
      <c r="C24" s="49"/>
      <c r="D24" s="49"/>
      <c r="E24" s="49"/>
      <c r="F24" s="49"/>
      <c r="G24" s="49"/>
      <c r="H24" s="49"/>
      <c r="I24" s="49"/>
      <c r="J24" s="49"/>
      <c r="K24" s="49"/>
      <c r="L24" s="62"/>
      <c r="M24" s="63"/>
      <c r="N24" s="63"/>
      <c r="O24" s="63"/>
      <c r="P24" s="63"/>
      <c r="Q24" s="63"/>
      <c r="R24" s="63"/>
      <c r="S24" s="63"/>
    </row>
    <row r="25" spans="1:23" s="97" customFormat="1" x14ac:dyDescent="0.3">
      <c r="A25" s="303" t="str">
        <f>VLOOKUP("D10",tblTranslation[],LangFieldID,FALSE)</f>
        <v>Fishing operations &amp; fleets</v>
      </c>
      <c r="B25" s="303"/>
      <c r="C25" s="303"/>
      <c r="D25" s="303"/>
      <c r="E25" s="303" t="str">
        <f>VLOOKUP("D20",tblTranslation[],LangFieldID,FALSE)</f>
        <v>Temporal attributes</v>
      </c>
      <c r="F25" s="303"/>
      <c r="G25" s="303" t="str">
        <f>VLOOKUP("D30",tblTranslation[],LangFieldID,FALSE)</f>
        <v>Geographical attributes</v>
      </c>
      <c r="H25" s="303"/>
      <c r="I25" s="303"/>
      <c r="J25" s="303" t="str">
        <f>VLOOKUP("D40",tblTranslation[],LangFieldID,FALSE)</f>
        <v>Effort attributes</v>
      </c>
      <c r="K25" s="303"/>
      <c r="L25" s="303"/>
      <c r="M25" s="303"/>
      <c r="N25" s="303"/>
      <c r="O25" s="303"/>
      <c r="P25" s="303"/>
      <c r="Q25" s="303"/>
      <c r="R25" s="303"/>
      <c r="S25" s="303"/>
      <c r="T25" s="303" t="str">
        <f>VLOOKUP("D50",tblTranslation[],LangFieldID,FALSE)</f>
        <v>Mitigation measures (MM) on bycatch species</v>
      </c>
      <c r="U25" s="303"/>
      <c r="V25" s="303"/>
      <c r="W25" s="303"/>
    </row>
    <row r="26" spans="1:23" s="97" customFormat="1" x14ac:dyDescent="0.3">
      <c r="A26" s="185" t="str">
        <f>VLOOKUP("D11",tblTranslation[],LangFieldID,FALSE)</f>
        <v>Fish. Oper. (FO)</v>
      </c>
      <c r="B26" s="351" t="str">
        <f>VLOOKUP("D12",tblTranslation[],LangFieldID,FALSE)</f>
        <v>Fleet attributes</v>
      </c>
      <c r="C26" s="351"/>
      <c r="D26" s="351"/>
      <c r="E26" s="351" t="str">
        <f>VLOOKUP("D21",tblTranslation[],LangFieldID,FALSE)</f>
        <v>Year, month/trimester</v>
      </c>
      <c r="F26" s="351"/>
      <c r="G26" s="351" t="str">
        <f>VLOOKUP("D31",tblTranslation[],LangFieldID,FALSE)</f>
        <v>Resolution and position (Lat, Lon)</v>
      </c>
      <c r="H26" s="351"/>
      <c r="I26" s="351"/>
      <c r="J26" s="311" t="str">
        <f>VLOOKUP("D41",tblTranslation[],LangFieldID,FALSE)</f>
        <v>All fishing gears</v>
      </c>
      <c r="K26" s="311"/>
      <c r="L26" s="311"/>
      <c r="M26" s="311"/>
      <c r="N26" s="311"/>
      <c r="O26" s="311" t="str">
        <f>VLOOKUP("D42",tblTranslation[],LangFieldID,FALSE)</f>
        <v>Longline (LL) only</v>
      </c>
      <c r="P26" s="311"/>
      <c r="Q26" s="311"/>
      <c r="R26" s="311"/>
      <c r="S26" s="311"/>
      <c r="T26" s="304" t="str">
        <f>VLOOKUP("D51",tblTranslation[],LangFieldID,FALSE)</f>
        <v>Seabirds</v>
      </c>
      <c r="U26" s="304"/>
      <c r="V26" s="46" t="str">
        <f>VLOOKUP("D52",tblTranslation[],LangFieldID,FALSE)</f>
        <v>Other bycatch</v>
      </c>
      <c r="W26" s="185" t="str">
        <f>VLOOKUP("D53",tblTranslation[],LangFieldID,FALSE)</f>
        <v>Additional notes</v>
      </c>
    </row>
    <row r="27" spans="1:23" s="97" customFormat="1" ht="32.15" x14ac:dyDescent="0.3">
      <c r="A27" s="185" t="str">
        <f>VLOOKUP(A29,tblTranslation[],LangFieldID,FALSE)</f>
        <v>FO group ID</v>
      </c>
      <c r="B27" s="46" t="str">
        <f>VLOOKUP(B29,tblTranslation[],LangFieldID,FALSE)</f>
        <v>Flag of Vessel (cod)</v>
      </c>
      <c r="C27" s="185" t="str">
        <f>VLOOKUP(C29,tblTranslation[],LangFieldID,FALSE)</f>
        <v xml:space="preserve">Fleet suffix </v>
      </c>
      <c r="D27" s="46" t="str">
        <f>VLOOKUP(D29,tblTranslation[],LangFieldID,FALSE)</f>
        <v>Vessel (size class)</v>
      </c>
      <c r="E27" s="185" t="str">
        <f>VLOOKUP(E29,tblTranslation[],LangFieldID,FALSE)</f>
        <v xml:space="preserve">Year </v>
      </c>
      <c r="F27" s="46" t="str">
        <f>VLOOKUP(F29,tblTranslation[],LangFieldID,FALSE)</f>
        <v>T. Period (ID)</v>
      </c>
      <c r="G27" s="46" t="str">
        <f>VLOOKUP(G29,tblTranslation[],LangFieldID,FALSE)</f>
        <v>Square type (cod)</v>
      </c>
      <c r="H27" s="185" t="str">
        <f>VLOOKUP(H29,tblTranslation[],LangFieldID,FALSE)</f>
        <v>Lat (centroid)
(± dd.ddd)</v>
      </c>
      <c r="I27" s="185" t="str">
        <f>VLOOKUP(I29,tblTranslation[],LangFieldID,FALSE)</f>
        <v>Lon (centroid)
(± dd.ddd)</v>
      </c>
      <c r="J27" s="46" t="str">
        <f>VLOOKUP(J29,tblTranslation[],LangFieldID,FALSE)</f>
        <v>Gear group (cod)</v>
      </c>
      <c r="K27" s="185" t="str">
        <f>VLOOKUP(K29,tblTranslation[],LangFieldID,FALSE)</f>
        <v>Nº vessels</v>
      </c>
      <c r="L27" s="185" t="str">
        <f>VLOOKUP(L29,tblTranslation[],LangFieldID,FALSE)</f>
        <v>Nº Fish. Oper. (observed)</v>
      </c>
      <c r="M27" s="46" t="str">
        <f>VLOOKUP(M29,tblTranslation[],LangFieldID,FALSE)</f>
        <v>Fish Oper. Type (cod)</v>
      </c>
      <c r="N27" s="46" t="str">
        <f>VLOOKUP(N29,tblTranslation[],LangFieldID,FALSE)</f>
        <v>School type (cod)</v>
      </c>
      <c r="O27" s="46" t="str">
        <f>VLOOKUP(O29,tblTranslation[],LangFieldID,FALSE)</f>
        <v>LL type</v>
      </c>
      <c r="P27" s="47" t="str">
        <f>VLOOKUP(P29,tblTranslation[],LangFieldID,FALSE)</f>
        <v>Nº hooks (total)</v>
      </c>
      <c r="Q27" s="47" t="str">
        <f>VLOOKUP(Q29,tblTranslation[],LangFieldID,FALSE)</f>
        <v>No. hooks (observed)</v>
      </c>
      <c r="R27" s="46" t="str">
        <f>VLOOKUP(R29,tblTranslation[],LangFieldID,FALSE)</f>
        <v>Hook type (main)</v>
      </c>
      <c r="S27" s="46" t="str">
        <f>VLOOKUP(S29,tblTranslation[],LangFieldID,FALSE)</f>
        <v>Set depth (hooks per basket)</v>
      </c>
      <c r="T27" s="148" t="str">
        <f>VLOOKUP(T29,tblTranslation[],LangFieldID,FALSE)</f>
        <v>MM 1</v>
      </c>
      <c r="U27" s="148" t="str">
        <f>VLOOKUP(U29,tblTranslation[],LangFieldID,FALSE)</f>
        <v>MM 2</v>
      </c>
      <c r="V27" s="148" t="str">
        <f>VLOOKUP(V29,tblTranslation[],LangFieldID,FALSE)</f>
        <v>MM 3</v>
      </c>
      <c r="W27" s="109" t="str">
        <f>VLOOKUP(W29,tblTranslation[],LangFieldID,FALSE)</f>
        <v>Description (MM)</v>
      </c>
    </row>
    <row r="28" spans="1:23" s="65" customFormat="1" ht="12.35" customHeight="1" x14ac:dyDescent="0.3">
      <c r="A28" s="60" t="str">
        <f>REPT("+",10)</f>
        <v>++++++++++</v>
      </c>
      <c r="B28" s="60" t="str">
        <f t="shared" ref="B28" si="0">REPT("+",8)</f>
        <v>++++++++</v>
      </c>
      <c r="C28" s="60" t="str">
        <f>REPT("+",17)</f>
        <v>+++++++++++++++++</v>
      </c>
      <c r="D28" s="60" t="str">
        <f t="shared" ref="D28:G28" si="1">REPT("+",10)</f>
        <v>++++++++++</v>
      </c>
      <c r="E28" s="60" t="str">
        <f t="shared" si="1"/>
        <v>++++++++++</v>
      </c>
      <c r="F28" s="60" t="str">
        <f t="shared" si="1"/>
        <v>++++++++++</v>
      </c>
      <c r="G28" s="60" t="str">
        <f t="shared" si="1"/>
        <v>++++++++++</v>
      </c>
      <c r="H28" s="60" t="str">
        <f>REPT("+",14)</f>
        <v>++++++++++++++</v>
      </c>
      <c r="I28" s="60" t="str">
        <f t="shared" ref="I28" si="2">REPT("+",14)</f>
        <v>++++++++++++++</v>
      </c>
      <c r="J28" s="60" t="str">
        <f>REPT("+",8)</f>
        <v>++++++++</v>
      </c>
      <c r="K28" s="60" t="str">
        <f t="shared" ref="K28:S28" si="3">REPT("+",10)</f>
        <v>++++++++++</v>
      </c>
      <c r="L28" s="60" t="str">
        <f>REPT("+",10)</f>
        <v>++++++++++</v>
      </c>
      <c r="M28" s="60" t="str">
        <f t="shared" si="3"/>
        <v>++++++++++</v>
      </c>
      <c r="N28" s="60" t="str">
        <f t="shared" si="3"/>
        <v>++++++++++</v>
      </c>
      <c r="O28" s="60" t="str">
        <f t="shared" si="3"/>
        <v>++++++++++</v>
      </c>
      <c r="P28" s="60" t="str">
        <f t="shared" si="3"/>
        <v>++++++++++</v>
      </c>
      <c r="Q28" s="60" t="str">
        <f t="shared" si="3"/>
        <v>++++++++++</v>
      </c>
      <c r="R28" s="60" t="str">
        <f t="shared" si="3"/>
        <v>++++++++++</v>
      </c>
      <c r="S28" s="60" t="str">
        <f t="shared" si="3"/>
        <v>++++++++++</v>
      </c>
      <c r="T28" s="60" t="str">
        <f>REPT("+",6)</f>
        <v>++++++</v>
      </c>
      <c r="U28" s="60" t="str">
        <f t="shared" ref="U28:V28" si="4">REPT("+",6)</f>
        <v>++++++</v>
      </c>
      <c r="V28" s="60" t="str">
        <f t="shared" si="4"/>
        <v>++++++</v>
      </c>
      <c r="W28" s="60" t="str">
        <f>REPT("+",40)</f>
        <v>++++++++++++++++++++++++++++++++++++++++</v>
      </c>
    </row>
    <row r="29" spans="1:23" s="7" customFormat="1" x14ac:dyDescent="0.3">
      <c r="A29" s="6" t="s">
        <v>2159</v>
      </c>
      <c r="B29" s="6" t="s">
        <v>1519</v>
      </c>
      <c r="C29" s="300" t="s">
        <v>2752</v>
      </c>
      <c r="D29" s="6" t="s">
        <v>2075</v>
      </c>
      <c r="E29" s="6" t="s">
        <v>2048</v>
      </c>
      <c r="F29" s="6" t="s">
        <v>614</v>
      </c>
      <c r="G29" s="127" t="s">
        <v>1933</v>
      </c>
      <c r="H29" s="127" t="s">
        <v>2052</v>
      </c>
      <c r="I29" s="127" t="s">
        <v>2053</v>
      </c>
      <c r="J29" s="58" t="s">
        <v>1523</v>
      </c>
      <c r="K29" s="58" t="s">
        <v>613</v>
      </c>
      <c r="L29" s="6" t="s">
        <v>2054</v>
      </c>
      <c r="M29" s="6" t="s">
        <v>2291</v>
      </c>
      <c r="N29" s="6" t="s">
        <v>1827</v>
      </c>
      <c r="O29" s="6" t="s">
        <v>2074</v>
      </c>
      <c r="P29" s="6" t="s">
        <v>2092</v>
      </c>
      <c r="Q29" s="6" t="s">
        <v>2093</v>
      </c>
      <c r="R29" s="6" t="s">
        <v>2175</v>
      </c>
      <c r="S29" s="128" t="s">
        <v>2288</v>
      </c>
      <c r="T29" s="6" t="s">
        <v>2136</v>
      </c>
      <c r="U29" s="54" t="s">
        <v>2137</v>
      </c>
      <c r="V29" s="129" t="s">
        <v>2138</v>
      </c>
      <c r="W29" s="59" t="s">
        <v>2147</v>
      </c>
    </row>
    <row r="30" spans="1:23" x14ac:dyDescent="0.3">
      <c r="A30" s="113">
        <v>1</v>
      </c>
      <c r="B30" s="113"/>
      <c r="C30" s="113"/>
      <c r="D30" s="113"/>
      <c r="E30" s="114"/>
      <c r="F30" s="113"/>
      <c r="G30" s="113"/>
      <c r="H30" s="115"/>
      <c r="I30" s="115"/>
      <c r="J30" s="114"/>
      <c r="K30" s="113"/>
      <c r="L30" s="113"/>
      <c r="M30" s="113"/>
      <c r="N30" s="113"/>
      <c r="O30" s="114"/>
      <c r="P30" s="113"/>
      <c r="Q30" s="113"/>
      <c r="R30" s="113"/>
      <c r="S30" s="113"/>
      <c r="T30" s="114"/>
      <c r="U30" s="113"/>
      <c r="V30" s="113"/>
      <c r="W30" s="113"/>
    </row>
    <row r="31" spans="1:23" x14ac:dyDescent="0.3">
      <c r="A31" s="113">
        <v>2</v>
      </c>
      <c r="B31" s="113"/>
      <c r="C31" s="113"/>
      <c r="D31" s="113"/>
      <c r="E31" s="114"/>
      <c r="F31" s="113"/>
      <c r="G31" s="113"/>
      <c r="H31" s="115"/>
      <c r="I31" s="115"/>
      <c r="J31" s="114"/>
      <c r="K31" s="113"/>
      <c r="L31" s="113"/>
      <c r="M31" s="113"/>
      <c r="N31" s="113"/>
      <c r="O31" s="114"/>
      <c r="P31" s="113"/>
      <c r="Q31" s="113"/>
      <c r="R31" s="113"/>
      <c r="S31" s="113"/>
      <c r="T31" s="114"/>
      <c r="U31" s="113"/>
      <c r="V31" s="113"/>
      <c r="W31" s="113"/>
    </row>
    <row r="32" spans="1:23" x14ac:dyDescent="0.3">
      <c r="A32" s="113">
        <v>3</v>
      </c>
      <c r="B32" s="113"/>
      <c r="C32" s="113"/>
      <c r="D32" s="113"/>
      <c r="E32" s="114"/>
      <c r="F32" s="113"/>
      <c r="G32" s="113"/>
      <c r="H32" s="115"/>
      <c r="I32" s="115"/>
      <c r="J32" s="114"/>
      <c r="K32" s="113"/>
      <c r="L32" s="113"/>
      <c r="M32" s="113"/>
      <c r="N32" s="113"/>
      <c r="O32" s="114"/>
      <c r="P32" s="113"/>
      <c r="Q32" s="113"/>
      <c r="R32" s="113"/>
      <c r="S32" s="113"/>
      <c r="T32" s="114"/>
      <c r="U32" s="113"/>
      <c r="V32" s="113"/>
      <c r="W32" s="113"/>
    </row>
    <row r="33" spans="1:23" x14ac:dyDescent="0.3">
      <c r="A33" s="113">
        <v>4</v>
      </c>
      <c r="B33" s="113"/>
      <c r="C33" s="113"/>
      <c r="D33" s="113"/>
      <c r="E33" s="114"/>
      <c r="F33" s="113"/>
      <c r="G33" s="113"/>
      <c r="H33" s="115"/>
      <c r="I33" s="115"/>
      <c r="J33" s="114"/>
      <c r="K33" s="113"/>
      <c r="L33" s="113"/>
      <c r="M33" s="113"/>
      <c r="N33" s="113"/>
      <c r="O33" s="114"/>
      <c r="P33" s="113"/>
      <c r="Q33" s="113"/>
      <c r="R33" s="113"/>
      <c r="S33" s="113"/>
      <c r="T33" s="114"/>
      <c r="U33" s="113"/>
      <c r="V33" s="113"/>
      <c r="W33" s="113"/>
    </row>
    <row r="34" spans="1:23" x14ac:dyDescent="0.3">
      <c r="A34" s="113">
        <v>5</v>
      </c>
      <c r="B34" s="113"/>
      <c r="C34" s="113"/>
      <c r="D34" s="113"/>
      <c r="E34" s="114"/>
      <c r="F34" s="113"/>
      <c r="G34" s="113"/>
      <c r="H34" s="115"/>
      <c r="I34" s="115"/>
      <c r="J34" s="114"/>
      <c r="K34" s="113"/>
      <c r="L34" s="113"/>
      <c r="M34" s="113"/>
      <c r="N34" s="113"/>
      <c r="O34" s="114"/>
      <c r="P34" s="113"/>
      <c r="Q34" s="113"/>
      <c r="R34" s="113"/>
      <c r="S34" s="113"/>
      <c r="T34" s="114"/>
      <c r="U34" s="113"/>
      <c r="V34" s="113"/>
      <c r="W34" s="113"/>
    </row>
    <row r="35" spans="1:23" x14ac:dyDescent="0.3">
      <c r="A35" s="113">
        <v>6</v>
      </c>
      <c r="B35" s="113"/>
      <c r="C35" s="113"/>
      <c r="D35" s="113"/>
      <c r="E35" s="114"/>
      <c r="F35" s="113"/>
      <c r="G35" s="113"/>
      <c r="H35" s="115"/>
      <c r="I35" s="115"/>
      <c r="J35" s="114"/>
      <c r="K35" s="113"/>
      <c r="L35" s="113"/>
      <c r="M35" s="113"/>
      <c r="N35" s="113"/>
      <c r="O35" s="114"/>
      <c r="P35" s="113"/>
      <c r="Q35" s="113"/>
      <c r="R35" s="113"/>
      <c r="S35" s="113"/>
      <c r="T35" s="114"/>
      <c r="U35" s="113"/>
      <c r="V35" s="113"/>
      <c r="W35" s="113"/>
    </row>
    <row r="36" spans="1:23" x14ac:dyDescent="0.3">
      <c r="A36" s="113">
        <v>7</v>
      </c>
      <c r="B36" s="113"/>
      <c r="C36" s="113"/>
      <c r="D36" s="113"/>
      <c r="E36" s="114"/>
      <c r="F36" s="113"/>
      <c r="G36" s="113"/>
      <c r="H36" s="115"/>
      <c r="I36" s="115"/>
      <c r="J36" s="114"/>
      <c r="K36" s="113"/>
      <c r="L36" s="113"/>
      <c r="M36" s="113"/>
      <c r="N36" s="113"/>
      <c r="O36" s="114"/>
      <c r="P36" s="113"/>
      <c r="Q36" s="113"/>
      <c r="R36" s="113"/>
      <c r="S36" s="113"/>
      <c r="T36" s="114"/>
      <c r="U36" s="113"/>
      <c r="V36" s="113"/>
      <c r="W36" s="113"/>
    </row>
    <row r="37" spans="1:23" x14ac:dyDescent="0.3">
      <c r="A37" s="113">
        <v>8</v>
      </c>
      <c r="B37" s="113"/>
      <c r="C37" s="113"/>
      <c r="D37" s="113"/>
      <c r="E37" s="114"/>
      <c r="F37" s="113"/>
      <c r="G37" s="113"/>
      <c r="H37" s="115"/>
      <c r="I37" s="115"/>
      <c r="J37" s="114"/>
      <c r="K37" s="113"/>
      <c r="L37" s="113"/>
      <c r="M37" s="113"/>
      <c r="N37" s="113"/>
      <c r="O37" s="114"/>
      <c r="P37" s="113"/>
      <c r="Q37" s="113"/>
      <c r="R37" s="113"/>
      <c r="S37" s="113"/>
      <c r="T37" s="114"/>
      <c r="U37" s="113"/>
      <c r="V37" s="113"/>
      <c r="W37" s="113"/>
    </row>
    <row r="38" spans="1:23" x14ac:dyDescent="0.3">
      <c r="A38" s="113">
        <v>9</v>
      </c>
      <c r="B38" s="113"/>
      <c r="C38" s="113"/>
      <c r="D38" s="113"/>
      <c r="E38" s="114"/>
      <c r="F38" s="113"/>
      <c r="G38" s="113"/>
      <c r="H38" s="115"/>
      <c r="I38" s="115"/>
      <c r="J38" s="114"/>
      <c r="K38" s="113"/>
      <c r="L38" s="113"/>
      <c r="M38" s="113"/>
      <c r="N38" s="113"/>
      <c r="O38" s="114"/>
      <c r="P38" s="113"/>
      <c r="Q38" s="113"/>
      <c r="R38" s="113"/>
      <c r="S38" s="113"/>
      <c r="T38" s="114"/>
      <c r="U38" s="113"/>
      <c r="V38" s="113"/>
      <c r="W38" s="113"/>
    </row>
    <row r="39" spans="1:23" x14ac:dyDescent="0.3">
      <c r="A39" s="113">
        <v>10</v>
      </c>
      <c r="B39" s="113"/>
      <c r="C39" s="113"/>
      <c r="D39" s="113"/>
      <c r="E39" s="114"/>
      <c r="F39" s="113"/>
      <c r="G39" s="113"/>
      <c r="H39" s="115"/>
      <c r="I39" s="115"/>
      <c r="J39" s="114"/>
      <c r="K39" s="113"/>
      <c r="L39" s="113"/>
      <c r="M39" s="113"/>
      <c r="N39" s="113"/>
      <c r="O39" s="114"/>
      <c r="P39" s="113"/>
      <c r="Q39" s="113"/>
      <c r="R39" s="113"/>
      <c r="S39" s="113"/>
      <c r="T39" s="114"/>
      <c r="U39" s="113"/>
      <c r="V39" s="113"/>
      <c r="W39" s="113"/>
    </row>
    <row r="40" spans="1:23" x14ac:dyDescent="0.3">
      <c r="A40" s="459"/>
      <c r="B40" s="459"/>
      <c r="C40" s="459"/>
      <c r="D40" s="459"/>
      <c r="E40" s="461"/>
      <c r="F40" s="459"/>
      <c r="G40" s="459"/>
      <c r="H40" s="462"/>
      <c r="I40" s="462"/>
      <c r="J40" s="459"/>
      <c r="K40" s="459"/>
      <c r="L40" s="459"/>
      <c r="M40" s="459"/>
      <c r="N40" s="459"/>
      <c r="O40" s="461"/>
      <c r="P40" s="459"/>
      <c r="Q40" s="459"/>
      <c r="R40" s="459"/>
      <c r="S40" s="459"/>
      <c r="T40" s="461"/>
      <c r="U40" s="459"/>
      <c r="V40" s="459"/>
      <c r="W40" s="459"/>
    </row>
  </sheetData>
  <sheetProtection algorithmName="SHA-512" hashValue="Wtjr6UOP/5ZV+O4RoZ/ae2pSFVRjp2DTM7Sp3elyFPs0/ZeYDGFym+C9RpJMBVBRg7Rwjz10MRueMmzjVOQDOg==" saltValue="2W2x+TaC77bIy4M4bOdqWA==" spinCount="100000" sheet="1" formatCells="0" formatRows="0" insertRows="0" deleteRows="0" autoFilter="0"/>
  <mergeCells count="49">
    <mergeCell ref="B26:D26"/>
    <mergeCell ref="E26:F26"/>
    <mergeCell ref="G26:I26"/>
    <mergeCell ref="A18:B18"/>
    <mergeCell ref="H15:J15"/>
    <mergeCell ref="L12:R22"/>
    <mergeCell ref="C21:C22"/>
    <mergeCell ref="D21:D22"/>
    <mergeCell ref="G14:J14"/>
    <mergeCell ref="B19:F19"/>
    <mergeCell ref="G12:I12"/>
    <mergeCell ref="A15:B15"/>
    <mergeCell ref="C15:D15"/>
    <mergeCell ref="M11:R11"/>
    <mergeCell ref="G11:J11"/>
    <mergeCell ref="L9:O9"/>
    <mergeCell ref="L8:M8"/>
    <mergeCell ref="R6:R8"/>
    <mergeCell ref="A1:B2"/>
    <mergeCell ref="A4:J4"/>
    <mergeCell ref="C9:F9"/>
    <mergeCell ref="C7:G7"/>
    <mergeCell ref="C8:G8"/>
    <mergeCell ref="H9:J9"/>
    <mergeCell ref="C5:I5"/>
    <mergeCell ref="C1:P1"/>
    <mergeCell ref="C2:P2"/>
    <mergeCell ref="L4:O4"/>
    <mergeCell ref="M5:N5"/>
    <mergeCell ref="M6:N6"/>
    <mergeCell ref="P4:R4"/>
    <mergeCell ref="C6:F6"/>
    <mergeCell ref="H6:I6"/>
    <mergeCell ref="T25:W25"/>
    <mergeCell ref="T26:U26"/>
    <mergeCell ref="A11:B11"/>
    <mergeCell ref="C12:D12"/>
    <mergeCell ref="A13:B13"/>
    <mergeCell ref="G13:I13"/>
    <mergeCell ref="A25:D25"/>
    <mergeCell ref="J26:N26"/>
    <mergeCell ref="J25:S25"/>
    <mergeCell ref="A12:B12"/>
    <mergeCell ref="A17:B17"/>
    <mergeCell ref="C17:D17"/>
    <mergeCell ref="C18:D18"/>
    <mergeCell ref="E25:F25"/>
    <mergeCell ref="G25:I25"/>
    <mergeCell ref="O26:S26"/>
  </mergeCells>
  <phoneticPr fontId="2" type="noConversion"/>
  <conditionalFormatting sqref="C5:I5 C6:F6 H6:I6 C7:G8 C9:F9 H9:J9 C12:D12 J12:J13 C13 E13 C15 C17:D18 H17:I21">
    <cfRule type="containsBlanks" dxfId="6" priority="17">
      <formula>LEN(TRIM(C5))=0</formula>
    </cfRule>
  </conditionalFormatting>
  <conditionalFormatting sqref="K4 K11">
    <cfRule type="containsText" dxfId="5" priority="16" operator="containsText" text="inc">
      <formula>NOT(ISERROR(SEARCH("inc",K4)))</formula>
    </cfRule>
  </conditionalFormatting>
  <conditionalFormatting sqref="K4 L9:O9 K11 C12">
    <cfRule type="containsErrors" dxfId="4" priority="41">
      <formula>ISERROR(C4)</formula>
    </cfRule>
  </conditionalFormatting>
  <conditionalFormatting sqref="L9:O9">
    <cfRule type="expression" dxfId="3" priority="14">
      <formula>LEN($C$12)=0</formula>
    </cfRule>
    <cfRule type="expression" dxfId="2" priority="15">
      <formula>LEN($L$9)=0</formula>
    </cfRule>
  </conditionalFormatting>
  <conditionalFormatting sqref="Q6:Q8">
    <cfRule type="cellIs" dxfId="1" priority="39" operator="equal">
      <formula>1</formula>
    </cfRule>
  </conditionalFormatting>
  <conditionalFormatting sqref="R6">
    <cfRule type="cellIs" dxfId="0" priority="40" operator="equal">
      <formula>1</formula>
    </cfRule>
  </conditionalFormatting>
  <dataValidations count="33">
    <dataValidation type="list" allowBlank="1" showInputMessage="1" showErrorMessage="1" errorTitle="Country name not defined" error="Select a valid Country name" promptTitle="Country names" prompt="Select from the list" sqref="H9:J9" xr:uid="{00000000-0002-0000-0000-000001000000}">
      <formula1>FlagName</formula1>
    </dataValidation>
    <dataValidation type="list" allowBlank="1" showInputMessage="1" showErrorMessage="1" errorTitle="Version reported" error="Select a valid option" promptTitle="Version reported" prompt="Final or preliminary" sqref="C17:D17" xr:uid="{00000000-0002-0000-0000-000002000000}">
      <formula1>Version</formula1>
    </dataValidation>
    <dataValidation type="list" allowBlank="1" showInputMessage="1" showErrorMessage="1" sqref="R2" xr:uid="{00000000-0002-0000-0000-00000E000000}">
      <formula1>"ENG,FRA,ESP"</formula1>
    </dataValidation>
    <dataValidation type="list" allowBlank="1" showInputMessage="1" showErrorMessage="1" sqref="C18:D18" xr:uid="{F544F5B8-D12D-4249-B85A-53FBDDFDBAC0}">
      <formula1>Content</formula1>
    </dataValidation>
    <dataValidation type="textLength" allowBlank="1" showInputMessage="1" showErrorMessage="1" sqref="M7" xr:uid="{622DAF45-AED3-4087-BD7A-9F0AD22245C1}">
      <formula1>2</formula1>
      <formula2>2</formula2>
    </dataValidation>
    <dataValidation type="list" allowBlank="1" showInputMessage="1" showErrorMessage="1" sqref="J30:J40" xr:uid="{00000000-0002-0000-0000-000000000000}">
      <formula1>GearGrpCode</formula1>
    </dataValidation>
    <dataValidation type="list" allowBlank="1" showInputMessage="1" showErrorMessage="1" errorTitle="Reporting Flag name not defined" error="Select a valid Reporting Flag name" promptTitle="Reporting Flag names" prompt="Select from the list" sqref="C12:D12" xr:uid="{00000000-0002-0000-0000-000003000000}">
      <formula1>FlagName</formula1>
    </dataValidation>
    <dataValidation type="whole" allowBlank="1" showErrorMessage="1" errorTitle="Invalid year" error="Not between 1950 and Current Year" promptTitle="Year (4 digits)" prompt="between 1950 and current Year" sqref="E13" xr:uid="{5F3F0B5E-2EC0-49CB-BF8D-A73084BF0992}">
      <formula1>$C$13</formula1>
      <formula2>YEAR(NOW())</formula2>
    </dataValidation>
    <dataValidation type="whole" operator="lessThan" allowBlank="1" showErrorMessage="1" errorTitle="Invalid year" error="Not between 1950 and Current Year" promptTitle="Year (4 digits)" prompt="between 1950 and current Year" sqref="C13" xr:uid="{345B234B-9276-44B3-8835-B1ADA7E7A84E}">
      <formula1>YEAR(NOW())</formula1>
    </dataValidation>
    <dataValidation type="whole" allowBlank="1" showInputMessage="1" showErrorMessage="1" sqref="Q6:Q8" xr:uid="{7D800424-B44C-4698-90D8-090A280C78BB}">
      <formula1>0</formula1>
      <formula2>1</formula2>
    </dataValidation>
    <dataValidation type="textLength" allowBlank="1" showInputMessage="1" showErrorMessage="1" sqref="M6:O6" xr:uid="{AF288DFC-4B1E-497C-8555-D5F5FB75A1BF}">
      <formula1>9</formula1>
      <formula2>9</formula2>
    </dataValidation>
    <dataValidation type="date" operator="greaterThanOrEqual" allowBlank="1" showInputMessage="1" showErrorMessage="1" sqref="O5" xr:uid="{3FF6B6EE-D5F6-41EF-86E7-978DDC3D1F5B}">
      <formula1>43496</formula1>
    </dataValidation>
    <dataValidation type="date" operator="greaterThanOrEqual" allowBlank="1" showInputMessage="1" showErrorMessage="1" sqref="M5:N5" xr:uid="{7E5A3725-5C72-4A10-B012-0A3D4B399AB1}">
      <formula1>DATE(YEAR(NOW()),1,1)</formula1>
    </dataValidation>
    <dataValidation type="whole" operator="lessThan" allowBlank="1" showInputMessage="1" showErrorMessage="1" sqref="J13" xr:uid="{3CC98A8A-FD30-48A3-A681-E1ADA609791A}">
      <formula1>YEAR(NOW())</formula1>
    </dataValidation>
    <dataValidation type="list" allowBlank="1" showInputMessage="1" showErrorMessage="1" sqref="B30:B40" xr:uid="{E9EF4111-E3C5-4651-B87E-064C7F637F11}">
      <formula1>FlagA3ISO</formula1>
    </dataValidation>
    <dataValidation type="list" allowBlank="1" showInputMessage="1" showErrorMessage="1" sqref="D30:D40" xr:uid="{30532B7E-6E33-4144-8428-5E67FD69897F}">
      <formula1>LOACLassCode</formula1>
    </dataValidation>
    <dataValidation type="whole" allowBlank="1" showInputMessage="1" showErrorMessage="1" sqref="E30:E40" xr:uid="{17C7D8C7-314E-414E-B4B8-0950AEAB5385}">
      <formula1>$C$13</formula1>
      <formula2>$E$13</formula2>
    </dataValidation>
    <dataValidation type="list" allowBlank="1" showInputMessage="1" showErrorMessage="1" sqref="F30:F40" xr:uid="{F334A56C-2148-460D-B3BC-0D4ACBC556FF}">
      <formula1>TPeriodID</formula1>
    </dataValidation>
    <dataValidation type="list" allowBlank="1" showInputMessage="1" showErrorMessage="1" sqref="G30:G40" xr:uid="{3AEE882D-5467-47A8-A8DE-3C0BB8D77723}">
      <formula1>GridResolCode</formula1>
    </dataValidation>
    <dataValidation type="decimal" allowBlank="1" showInputMessage="1" showErrorMessage="1" sqref="H30:H40" xr:uid="{EC7B7477-7B9A-4615-B0EE-8C29BB183E98}">
      <formula1>-70</formula1>
      <formula2>70</formula2>
    </dataValidation>
    <dataValidation type="decimal" allowBlank="1" showInputMessage="1" showErrorMessage="1" sqref="I30:I40" xr:uid="{0C1B66D2-72ED-40F6-8648-F19F449A3826}">
      <formula1>-99</formula1>
      <formula2>45</formula2>
    </dataValidation>
    <dataValidation type="whole" operator="greaterThan" allowBlank="1" showInputMessage="1" showErrorMessage="1" sqref="K30:L40 P30:Q40" xr:uid="{9D0C03B7-0B16-403C-B263-1CB4E0C9447D}">
      <formula1>0</formula1>
    </dataValidation>
    <dataValidation type="list" allowBlank="1" showInputMessage="1" showErrorMessage="1" sqref="M30:M40" xr:uid="{9A8AE854-B4A2-4A55-8A8E-88EAAE088270}">
      <formula1>FOperTypeCode</formula1>
    </dataValidation>
    <dataValidation type="list" allowBlank="1" showInputMessage="1" showErrorMessage="1" sqref="N30:N40" xr:uid="{43E45FCD-EBEE-4A2D-9F25-A675A5907C8F}">
      <formula1>SchoolTypeCode</formula1>
    </dataValidation>
    <dataValidation type="list" allowBlank="1" showInputMessage="1" showErrorMessage="1" sqref="R30:R40" xr:uid="{BFA76C15-0E10-4BC9-92DA-8A8D8AEE7B9D}">
      <formula1>HookTypeCode</formula1>
    </dataValidation>
    <dataValidation type="list" allowBlank="1" showInputMessage="1" showErrorMessage="1" sqref="S30:S40" xr:uid="{851290E8-0401-4001-A840-E9FFFBB7B87C}">
      <formula1>FOpDepthCode</formula1>
    </dataValidation>
    <dataValidation type="list" allowBlank="1" showInputMessage="1" showErrorMessage="1" sqref="T30:U40" xr:uid="{90CD9DE5-3221-4F63-8AD9-9E58AD9B5C1D}">
      <formula1>MitMeasCode</formula1>
    </dataValidation>
    <dataValidation type="list" allowBlank="1" showInputMessage="1" showErrorMessage="1" sqref="V30:V40" xr:uid="{87FF28CB-4C6E-43E4-9F65-1AA9FE320B1E}">
      <formula1>MitMeasCode2</formula1>
    </dataValidation>
    <dataValidation type="list" allowBlank="1" showInputMessage="1" showErrorMessage="1" sqref="O30:O40" xr:uid="{5D2A7761-C2A8-48EC-B26A-239810AD683D}">
      <formula1>LLType</formula1>
    </dataValidation>
    <dataValidation type="list" allowBlank="1" showInputMessage="1" showErrorMessage="1" errorTitle="ST09 ERROR!" error="Yes or No is required" promptTitle="ObsProgY/N" prompt="Choose yes or no" sqref="J12" xr:uid="{F720C818-E2F3-5143-8023-3C3E3DEA61F9}">
      <formula1>"Y,N"</formula1>
    </dataValidation>
    <dataValidation type="whole" allowBlank="1" showInputMessage="1" showErrorMessage="1" sqref="I17:I21" xr:uid="{76877DBD-D2A3-4EE0-99CD-7B79B986F78B}">
      <formula1>0</formula1>
      <formula2>100</formula2>
    </dataValidation>
    <dataValidation type="list" allowBlank="1" showInputMessage="1" showErrorMessage="1" sqref="H17:H21" xr:uid="{D703532D-C5DB-48DF-AD46-14D8AAAFA8D6}">
      <formula1>GearCovTypeCod</formula1>
    </dataValidation>
    <dataValidation type="list" allowBlank="1" showInputMessage="1" showErrorMessage="1" sqref="C15:D15" xr:uid="{024BE30A-8A86-4278-80CE-F1AABFB9FF4E}">
      <formula1>DataCollectionSource</formula1>
    </dataValidation>
  </dataValidations>
  <hyperlinks>
    <hyperlink ref="G9" location="FlagName" display="FlagName" xr:uid="{FD613C0F-3B9D-4E2A-BBFD-B6277B0636CC}"/>
    <hyperlink ref="C21" location="'ST09B-Catch_Sampling'!A16" display="move to ST09B" xr:uid="{D3D78D4C-D118-4491-A646-56B8E661C2B3}"/>
    <hyperlink ref="A12:B12" location="FlagName" display="FlagName" xr:uid="{24145C50-E4C6-4770-94BC-BCCA07855B31}"/>
    <hyperlink ref="A17:B17" location="Version" display="Version" xr:uid="{F6CE6C07-DF09-4023-9833-702167FAFCE7}"/>
    <hyperlink ref="A18" location="Content" display="Content" xr:uid="{55F8299A-DEDA-4135-8132-053D7F82B2BF}"/>
    <hyperlink ref="D21" location="'ST09B-Catch_Sampling'!A16" display="move to ST09B" xr:uid="{24303B6E-8556-427D-AB18-FB9BDD74B20C}"/>
    <hyperlink ref="C21:C22" location="'ST09B-Catch'!A18" display="'ST09B-Catch'!A18" xr:uid="{CE54EE74-1C51-4CF6-B9FB-6E8D08243F6E}"/>
    <hyperlink ref="D21:D22" location="'ST09C-Samples (Optional)'!A18" display="'ST09C-Samples (Optional)'!A18" xr:uid="{74562AC2-DD3C-48D2-BDB6-DE2CCDD9F4E0}"/>
    <hyperlink ref="B27" location="FlagA3ISO" display="FlagA3ISO" xr:uid="{76BB7F41-C089-4690-83CD-FC6DEC8501D8}"/>
    <hyperlink ref="D27" location="LOACLassCode" display="LOACLassCode" xr:uid="{94F0DBC6-88C2-4F3A-9E93-02273DB49601}"/>
    <hyperlink ref="F27" location="TPeriodID" display="TPeriodID" xr:uid="{BC1CBCF3-49B0-429B-9918-D40D93DF2C56}"/>
    <hyperlink ref="G27" location="GridResolCode" display="GridResolCode" xr:uid="{3036486B-C447-4222-93EA-272CEDC0998D}"/>
    <hyperlink ref="J27" location="GearGrpCode" display="GearGrpCode" xr:uid="{9B41E7A7-0B02-4F8C-B2DA-9A3776A03BA1}"/>
    <hyperlink ref="M27" location="FOperTypeCode" display="FOperTypeCode" xr:uid="{85011C27-5220-43BE-B112-59370A45F3F3}"/>
    <hyperlink ref="N27" location="SchoolTypeCode" display="SchoolTypeCode" xr:uid="{6B390DB2-90A0-481C-85E5-2B3227A50CE7}"/>
    <hyperlink ref="O27" location="GearCode" display="GearCode" xr:uid="{15495CD6-4232-4C28-8F51-C2201A6F4465}"/>
    <hyperlink ref="T26:U26" location="MitMeasCode" display="MitMeasCode" xr:uid="{7BA6ADD2-3EAC-47EC-BDB2-8D36044E14E2}"/>
    <hyperlink ref="V26" location="MitMeasCode2" display="MitMeasCode2" xr:uid="{B91EF07B-E380-4370-AB5D-8FC1A5C60F81}"/>
    <hyperlink ref="P4:R4" location="Filters!A1" display="Filters!A1" xr:uid="{CC96B52D-32E3-497A-B00B-1800A42F3A0C}"/>
    <hyperlink ref="R27" location="HookTypeCode" display="HookTypeCode" xr:uid="{D9A997B8-FA1A-4FEB-9616-E1067A5871C2}"/>
    <hyperlink ref="S27" location="FOpDepthCode" display="FOpDepthCode" xr:uid="{3279AE3B-EBC4-45D5-AF99-0D06899CA3F1}"/>
    <hyperlink ref="H16" location="GearCovTypeCod" display="GearCovTypeCod" xr:uid="{D1BABD33-5C42-4B3E-BFB7-196BB4E6551A}"/>
    <hyperlink ref="A15:B15" location="DCollSourceCode" display="DCollSourceCode" xr:uid="{A80FAB9B-C19B-45A2-A751-0E541639A39A}"/>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00B0F0"/>
  </sheetPr>
  <dimension ref="A1:K40"/>
  <sheetViews>
    <sheetView zoomScaleNormal="100" workbookViewId="0">
      <selection activeCell="G7" sqref="G7:G8"/>
    </sheetView>
  </sheetViews>
  <sheetFormatPr defaultColWidth="11" defaultRowHeight="10.75" x14ac:dyDescent="0.3"/>
  <cols>
    <col min="1" max="1" width="18.765625" style="45" bestFit="1" customWidth="1"/>
    <col min="2" max="2" width="9.765625" style="45" bestFit="1" customWidth="1"/>
    <col min="3" max="3" width="9.4609375" style="45" customWidth="1"/>
    <col min="4" max="4" width="9.765625" style="45" bestFit="1" customWidth="1"/>
    <col min="5" max="5" width="10.765625" style="45" customWidth="1"/>
    <col min="6" max="6" width="12.765625" style="45" bestFit="1" customWidth="1"/>
    <col min="7" max="7" width="11.4609375" style="45" bestFit="1" customWidth="1"/>
    <col min="8" max="9" width="9.765625" style="45" bestFit="1" customWidth="1"/>
    <col min="10" max="10" width="12.4609375" style="45" bestFit="1" customWidth="1"/>
    <col min="11" max="11" width="8.07421875" style="45" bestFit="1" customWidth="1"/>
    <col min="12" max="16384" width="11" style="45"/>
  </cols>
  <sheetData>
    <row r="1" spans="1:11" s="43" customFormat="1" ht="19.75" x14ac:dyDescent="0.25">
      <c r="A1" s="371" t="str">
        <f>'ST09A-FishingActivity'!A1</f>
        <v>ST09-DomObPrg</v>
      </c>
      <c r="B1" s="357" t="str">
        <f>'ST09A-FishingActivity'!C1</f>
        <v>Task 3 - Domestic Observer's Programme</v>
      </c>
      <c r="C1" s="323"/>
      <c r="D1" s="323"/>
      <c r="E1" s="323"/>
      <c r="F1" s="323"/>
      <c r="G1" s="323"/>
      <c r="H1" s="323"/>
      <c r="I1" s="323"/>
      <c r="J1" s="31" t="str">
        <f>'ST09A-FishingActivity'!Q1</f>
        <v>Version</v>
      </c>
      <c r="K1" s="32" t="str">
        <f>'ST09A-FishingActivity'!R1</f>
        <v>Language</v>
      </c>
    </row>
    <row r="2" spans="1:11" s="43" customFormat="1" ht="18" customHeight="1" x14ac:dyDescent="0.25">
      <c r="A2" s="372"/>
      <c r="B2" s="358" t="str">
        <f>'ST09A-FishingActivity'!C2</f>
        <v>ICCAT: INTERNATIONAL COMMISSION FOR THE CONSERVATION OF ATLANTIC TUNAS</v>
      </c>
      <c r="C2" s="359"/>
      <c r="D2" s="359"/>
      <c r="E2" s="359"/>
      <c r="F2" s="359"/>
      <c r="G2" s="359"/>
      <c r="H2" s="359"/>
      <c r="I2" s="359"/>
      <c r="J2" s="33" t="str">
        <f>'ST09A-FishingActivity'!Q2</f>
        <v>2024a</v>
      </c>
      <c r="K2" s="34" t="str">
        <f>+'ST09A-FishingActivity'!R2</f>
        <v>ENG</v>
      </c>
    </row>
    <row r="3" spans="1:11" s="7" customFormat="1" x14ac:dyDescent="0.3"/>
    <row r="4" spans="1:11" s="7" customFormat="1" x14ac:dyDescent="0.3">
      <c r="A4" s="365" t="str">
        <f>'ST09A-FishingActivity'!A11</f>
        <v>Data set characteristics</v>
      </c>
      <c r="B4" s="366"/>
      <c r="C4" s="366"/>
      <c r="D4" s="366"/>
      <c r="E4" s="366"/>
      <c r="F4" s="366"/>
      <c r="G4" s="366"/>
      <c r="H4" s="366"/>
      <c r="I4" s="107"/>
      <c r="J4" s="107"/>
      <c r="K4" s="108"/>
    </row>
    <row r="5" spans="1:11" s="7" customFormat="1" x14ac:dyDescent="0.3">
      <c r="A5" s="116" t="str">
        <f>'ST09A-FishingActivity'!A12</f>
        <v>Reporting Flag</v>
      </c>
      <c r="B5" s="133" t="str">
        <f>IF('ST09A-FishingActivity'!C12&gt;0, 'ST09A-FishingActivity'!C12, "")</f>
        <v/>
      </c>
      <c r="C5" s="133" t="str">
        <f>IF('ST09A-FishingActivity'!E12&gt;0, 'ST09A-FishingActivity'!E12,"")</f>
        <v/>
      </c>
      <c r="D5" s="133"/>
      <c r="E5" s="126"/>
      <c r="F5" s="126"/>
      <c r="G5" s="126"/>
      <c r="H5" s="6"/>
      <c r="I5" s="6"/>
      <c r="J5" s="6"/>
      <c r="K5" s="59"/>
    </row>
    <row r="6" spans="1:11" s="7" customFormat="1" ht="11.15" thickBot="1" x14ac:dyDescent="0.35">
      <c r="A6" s="116" t="str">
        <f>'ST09A-FishingActivity'!A13</f>
        <v>Years covered (from)</v>
      </c>
      <c r="B6" s="133" t="str">
        <f>IF('ST09A-FishingActivity'!C13&gt;0,'ST09A-FishingActivity'!C13, "")</f>
        <v/>
      </c>
      <c r="C6" s="133" t="str">
        <f>'ST09A-FishingActivity'!D13</f>
        <v>(to)</v>
      </c>
      <c r="D6" s="133" t="str">
        <f>IF('ST09A-FishingActivity'!E13&gt;0, 'ST09A-FishingActivity'!E13, "")</f>
        <v/>
      </c>
      <c r="E6" s="126"/>
      <c r="F6" s="126"/>
      <c r="G6" s="126"/>
      <c r="H6" s="6"/>
      <c r="I6" s="6"/>
      <c r="J6" s="6"/>
      <c r="K6" s="59"/>
    </row>
    <row r="7" spans="1:11" s="7" customFormat="1" x14ac:dyDescent="0.3">
      <c r="A7" s="116"/>
      <c r="B7" s="131"/>
      <c r="C7" s="131"/>
      <c r="D7" s="131"/>
      <c r="E7" s="126"/>
      <c r="F7" s="344" t="str">
        <f>VLOOKUP("btnST09A",tblTranslation[],LangFieldID,FALSE)</f>
        <v>ST09A (move to)</v>
      </c>
      <c r="G7" s="346" t="str">
        <f>VLOOKUP("btnST09C",tblTranslation[],LangFieldID,FALSE)</f>
        <v>ST09C (move to)</v>
      </c>
      <c r="H7" s="6"/>
      <c r="I7" s="6"/>
      <c r="J7" s="6"/>
      <c r="K7" s="59"/>
    </row>
    <row r="8" spans="1:11" s="7" customFormat="1" ht="11.15" thickBot="1" x14ac:dyDescent="0.35">
      <c r="A8" s="116"/>
      <c r="B8" s="131"/>
      <c r="C8" s="131"/>
      <c r="D8" s="131"/>
      <c r="E8" s="106"/>
      <c r="F8" s="345"/>
      <c r="G8" s="347"/>
      <c r="H8" s="14"/>
      <c r="I8" s="6"/>
      <c r="J8" s="6"/>
      <c r="K8" s="59"/>
    </row>
    <row r="9" spans="1:11" s="7" customFormat="1" x14ac:dyDescent="0.3">
      <c r="A9" s="116" t="str">
        <f>'ST09A-FishingActivity'!A17</f>
        <v>Version reported</v>
      </c>
      <c r="B9" s="370" t="str">
        <f>IF('ST09A-FishingActivity'!C17&gt;0,'ST09A-FishingActivity'!C17,"")</f>
        <v/>
      </c>
      <c r="C9" s="370"/>
      <c r="D9" s="131"/>
      <c r="E9" s="106"/>
      <c r="F9" s="14"/>
      <c r="G9" s="14"/>
      <c r="H9" s="14"/>
      <c r="I9" s="6"/>
      <c r="J9" s="6"/>
      <c r="K9" s="59"/>
    </row>
    <row r="10" spans="1:11" s="7" customFormat="1" x14ac:dyDescent="0.3">
      <c r="A10" s="116" t="str">
        <f>'ST09A-FishingActivity'!A18</f>
        <v>Content (data)</v>
      </c>
      <c r="B10" s="370" t="str">
        <f>IF('ST09A-FishingActivity'!C18&gt;0,'ST09A-FishingActivity'!C18, "")</f>
        <v/>
      </c>
      <c r="C10" s="370"/>
      <c r="D10" s="131"/>
      <c r="E10" s="106"/>
      <c r="F10" s="14"/>
      <c r="G10" s="14"/>
      <c r="H10" s="14"/>
      <c r="I10" s="6"/>
      <c r="J10" s="6"/>
      <c r="K10" s="59"/>
    </row>
    <row r="11" spans="1:11" s="7" customFormat="1" x14ac:dyDescent="0.3">
      <c r="A11" s="363"/>
      <c r="B11" s="364"/>
      <c r="C11" s="364"/>
      <c r="D11" s="364"/>
      <c r="E11" s="364"/>
      <c r="F11" s="364"/>
      <c r="G11" s="364"/>
      <c r="H11" s="364"/>
      <c r="I11" s="8"/>
      <c r="J11" s="8"/>
      <c r="K11" s="90"/>
    </row>
    <row r="12" spans="1:11" s="7" customFormat="1" x14ac:dyDescent="0.3">
      <c r="A12" s="48"/>
      <c r="B12" s="48"/>
      <c r="C12" s="48"/>
      <c r="D12" s="48"/>
      <c r="E12" s="48"/>
      <c r="F12" s="49"/>
      <c r="G12" s="48"/>
      <c r="H12" s="48"/>
    </row>
    <row r="13" spans="1:11" s="44" customFormat="1" x14ac:dyDescent="0.3">
      <c r="A13" s="367" t="str">
        <f>VLOOKUP("D60",tblTranslation[],LangFieldID,FALSE)</f>
        <v>Catch composition by fishing operation</v>
      </c>
      <c r="B13" s="368"/>
      <c r="C13" s="368"/>
      <c r="D13" s="368"/>
      <c r="E13" s="368"/>
      <c r="F13" s="368"/>
      <c r="G13" s="368"/>
      <c r="H13" s="368"/>
      <c r="I13" s="368"/>
      <c r="J13" s="369"/>
    </row>
    <row r="14" spans="1:11" s="44" customFormat="1" x14ac:dyDescent="0.3">
      <c r="A14" s="155" t="str">
        <f>VLOOKUP("D61",tblTranslation[],LangFieldID,FALSE)</f>
        <v>Fish. Oper. (FO)</v>
      </c>
      <c r="B14" s="360" t="str">
        <f>VLOOKUP("D62",tblTranslation[],LangFieldID,FALSE)</f>
        <v>Species (attributes)</v>
      </c>
      <c r="C14" s="362"/>
      <c r="D14" s="360" t="str">
        <f>VLOOKUP("D63",tblTranslation[],LangFieldID,FALSE)</f>
        <v>Catches (retained)</v>
      </c>
      <c r="E14" s="361"/>
      <c r="F14" s="362"/>
      <c r="G14" s="360" t="str">
        <f>VLOOKUP("D64",tblTranslation[],LangFieldID,FALSE)</f>
        <v>Discards (Number)</v>
      </c>
      <c r="H14" s="361"/>
      <c r="I14" s="362"/>
      <c r="J14" s="156" t="str">
        <f>VLOOKUP("D65",tblTranslation[],LangFieldID,FALSE)</f>
        <v>Sampling (data)</v>
      </c>
    </row>
    <row r="15" spans="1:11" s="44" customFormat="1" ht="21.45" x14ac:dyDescent="0.3">
      <c r="A15" s="121" t="str">
        <f>VLOOKUP(A17,tblTranslation[],LangFieldID,FALSE)</f>
        <v>FO group ID</v>
      </c>
      <c r="B15" s="121" t="str">
        <f>VLOOKUP(B17,tblTranslation[],LangFieldID,FALSE)</f>
        <v>Species (cod)</v>
      </c>
      <c r="C15" s="120" t="str">
        <f>VLOOKUP(C17,tblTranslation[],LangFieldID,FALSE)</f>
        <v>Targeted (Y/N)?</v>
      </c>
      <c r="D15" s="120" t="str">
        <f>VLOOKUP(D17,tblTranslation[],LangFieldID,FALSE)</f>
        <v>Weight (kg)</v>
      </c>
      <c r="E15" s="121" t="str">
        <f>VLOOKUP(E17,tblTranslation[],LangFieldID,FALSE)</f>
        <v>Product type (cod)</v>
      </c>
      <c r="F15" s="120" t="str">
        <f>VLOOKUP(F17,tblTranslation[],LangFieldID,FALSE)</f>
        <v>Number</v>
      </c>
      <c r="G15" s="120" t="str">
        <f>VLOOKUP(G17,tblTranslation[],LangFieldID,FALSE)</f>
        <v>Dead (DD)</v>
      </c>
      <c r="H15" s="120" t="str">
        <f>VLOOKUP(H17,tblTranslation[],LangFieldID,FALSE)</f>
        <v>Alive (DL)</v>
      </c>
      <c r="I15" s="120" t="str">
        <f>VLOOKUP(I17,tblTranslation[],LangFieldID,FALSE)</f>
        <v>Unknown</v>
      </c>
      <c r="J15" s="120" t="str">
        <f>VLOOKUP(J17,tblTranslation[],LangFieldID,FALSE)</f>
        <v>Nº sampled</v>
      </c>
    </row>
    <row r="16" spans="1:11" s="44" customFormat="1" x14ac:dyDescent="0.3">
      <c r="A16" s="60" t="str">
        <f>REPT("+",12)</f>
        <v>++++++++++++</v>
      </c>
      <c r="B16" s="60" t="str">
        <f t="shared" ref="B16:J16" si="0">REPT("+",12)</f>
        <v>++++++++++++</v>
      </c>
      <c r="C16" s="60" t="str">
        <f t="shared" si="0"/>
        <v>++++++++++++</v>
      </c>
      <c r="D16" s="60" t="str">
        <f t="shared" si="0"/>
        <v>++++++++++++</v>
      </c>
      <c r="E16" s="60" t="str">
        <f t="shared" si="0"/>
        <v>++++++++++++</v>
      </c>
      <c r="F16" s="60" t="str">
        <f t="shared" si="0"/>
        <v>++++++++++++</v>
      </c>
      <c r="G16" s="60" t="str">
        <f t="shared" si="0"/>
        <v>++++++++++++</v>
      </c>
      <c r="H16" s="60" t="str">
        <f t="shared" si="0"/>
        <v>++++++++++++</v>
      </c>
      <c r="I16" s="60" t="str">
        <f t="shared" si="0"/>
        <v>++++++++++++</v>
      </c>
      <c r="J16" s="60" t="str">
        <f t="shared" si="0"/>
        <v>++++++++++++</v>
      </c>
    </row>
    <row r="17" spans="1:10" s="44" customFormat="1" x14ac:dyDescent="0.3">
      <c r="A17" s="110" t="s">
        <v>2160</v>
      </c>
      <c r="B17" s="110" t="s">
        <v>2221</v>
      </c>
      <c r="C17" s="110" t="s">
        <v>2189</v>
      </c>
      <c r="D17" s="110" t="s">
        <v>2155</v>
      </c>
      <c r="E17" s="110" t="s">
        <v>2197</v>
      </c>
      <c r="F17" s="111" t="s">
        <v>616</v>
      </c>
      <c r="G17" s="110" t="s">
        <v>618</v>
      </c>
      <c r="H17" s="110" t="s">
        <v>617</v>
      </c>
      <c r="I17" s="112" t="s">
        <v>1892</v>
      </c>
      <c r="J17" s="110" t="s">
        <v>615</v>
      </c>
    </row>
    <row r="18" spans="1:10" x14ac:dyDescent="0.3">
      <c r="A18" s="153"/>
      <c r="B18" s="153"/>
      <c r="C18" s="153"/>
      <c r="D18" s="153"/>
      <c r="E18" s="153"/>
      <c r="F18" s="153"/>
      <c r="G18" s="153"/>
      <c r="H18" s="153"/>
      <c r="I18" s="153"/>
      <c r="J18" s="153"/>
    </row>
    <row r="19" spans="1:10" x14ac:dyDescent="0.3">
      <c r="A19" s="153"/>
      <c r="B19" s="153"/>
      <c r="C19" s="153"/>
      <c r="D19" s="153"/>
      <c r="E19" s="153"/>
      <c r="F19" s="153"/>
      <c r="G19" s="153"/>
      <c r="H19" s="153"/>
      <c r="I19" s="153"/>
      <c r="J19" s="153"/>
    </row>
    <row r="20" spans="1:10" x14ac:dyDescent="0.3">
      <c r="A20" s="153"/>
      <c r="B20" s="153"/>
      <c r="C20" s="153"/>
      <c r="D20" s="153"/>
      <c r="E20" s="153"/>
      <c r="F20" s="153"/>
      <c r="G20" s="153"/>
      <c r="H20" s="153"/>
      <c r="I20" s="153"/>
      <c r="J20" s="153"/>
    </row>
    <row r="21" spans="1:10" x14ac:dyDescent="0.3">
      <c r="A21" s="153"/>
      <c r="B21" s="153"/>
      <c r="C21" s="153"/>
      <c r="D21" s="153"/>
      <c r="E21" s="153"/>
      <c r="F21" s="153"/>
      <c r="G21" s="153"/>
      <c r="H21" s="153"/>
      <c r="I21" s="153"/>
      <c r="J21" s="153"/>
    </row>
    <row r="22" spans="1:10" x14ac:dyDescent="0.3">
      <c r="A22" s="153"/>
      <c r="B22" s="153"/>
      <c r="C22" s="153"/>
      <c r="D22" s="153"/>
      <c r="E22" s="153"/>
      <c r="F22" s="153"/>
      <c r="G22" s="153"/>
      <c r="H22" s="153"/>
      <c r="I22" s="153"/>
      <c r="J22" s="153"/>
    </row>
    <row r="23" spans="1:10" x14ac:dyDescent="0.3">
      <c r="A23" s="153"/>
      <c r="B23" s="153"/>
      <c r="C23" s="153"/>
      <c r="D23" s="153"/>
      <c r="E23" s="153"/>
      <c r="F23" s="153"/>
      <c r="G23" s="153"/>
      <c r="H23" s="153"/>
      <c r="I23" s="153"/>
      <c r="J23" s="153"/>
    </row>
    <row r="24" spans="1:10" x14ac:dyDescent="0.3">
      <c r="A24" s="153"/>
      <c r="B24" s="153"/>
      <c r="C24" s="153"/>
      <c r="D24" s="153"/>
      <c r="E24" s="153"/>
      <c r="F24" s="153"/>
      <c r="G24" s="153"/>
      <c r="H24" s="153"/>
      <c r="I24" s="153"/>
      <c r="J24" s="153"/>
    </row>
    <row r="25" spans="1:10" x14ac:dyDescent="0.3">
      <c r="A25" s="153"/>
      <c r="B25" s="153"/>
      <c r="C25" s="153"/>
      <c r="D25" s="153"/>
      <c r="E25" s="153"/>
      <c r="F25" s="153"/>
      <c r="G25" s="153"/>
      <c r="H25" s="153"/>
      <c r="I25" s="153"/>
      <c r="J25" s="153"/>
    </row>
    <row r="26" spans="1:10" x14ac:dyDescent="0.3">
      <c r="A26" s="153"/>
      <c r="B26" s="153"/>
      <c r="C26" s="153"/>
      <c r="D26" s="153"/>
      <c r="E26" s="153"/>
      <c r="F26" s="153"/>
      <c r="G26" s="153"/>
      <c r="H26" s="153"/>
      <c r="I26" s="153"/>
      <c r="J26" s="153"/>
    </row>
    <row r="27" spans="1:10" x14ac:dyDescent="0.3">
      <c r="A27" s="153"/>
      <c r="B27" s="153"/>
      <c r="C27" s="153"/>
      <c r="D27" s="153"/>
      <c r="E27" s="153"/>
      <c r="F27" s="153"/>
      <c r="G27" s="153"/>
      <c r="H27" s="153"/>
      <c r="I27" s="153"/>
      <c r="J27" s="153"/>
    </row>
    <row r="28" spans="1:10" x14ac:dyDescent="0.3">
      <c r="A28" s="153"/>
      <c r="B28" s="153"/>
      <c r="C28" s="153"/>
      <c r="D28" s="153"/>
      <c r="E28" s="153"/>
      <c r="F28" s="153"/>
      <c r="G28" s="153"/>
      <c r="H28" s="153"/>
      <c r="I28" s="153"/>
      <c r="J28" s="153"/>
    </row>
    <row r="29" spans="1:10" x14ac:dyDescent="0.3">
      <c r="A29" s="460"/>
      <c r="B29" s="460"/>
      <c r="C29" s="460"/>
      <c r="D29" s="460"/>
      <c r="E29" s="460"/>
      <c r="F29" s="460"/>
      <c r="G29" s="460"/>
      <c r="H29" s="460"/>
      <c r="I29" s="460"/>
      <c r="J29" s="460"/>
    </row>
    <row r="30" spans="1:10" x14ac:dyDescent="0.3">
      <c r="A30" s="460"/>
      <c r="B30" s="460"/>
      <c r="C30" s="460"/>
      <c r="D30" s="460"/>
      <c r="E30" s="460"/>
      <c r="F30" s="460"/>
      <c r="G30" s="460"/>
      <c r="H30" s="460"/>
      <c r="I30" s="460"/>
      <c r="J30" s="460"/>
    </row>
    <row r="31" spans="1:10" x14ac:dyDescent="0.3">
      <c r="A31" s="460"/>
      <c r="B31" s="460"/>
      <c r="C31" s="460"/>
      <c r="D31" s="460"/>
      <c r="E31" s="460"/>
      <c r="F31" s="460"/>
      <c r="G31" s="460"/>
      <c r="H31" s="460"/>
      <c r="I31" s="460"/>
      <c r="J31" s="460"/>
    </row>
    <row r="32" spans="1:10" x14ac:dyDescent="0.3">
      <c r="A32" s="460"/>
      <c r="B32" s="460"/>
      <c r="C32" s="460"/>
      <c r="D32" s="460"/>
      <c r="E32" s="460"/>
      <c r="F32" s="460"/>
      <c r="G32" s="460"/>
      <c r="H32" s="460"/>
      <c r="I32" s="460"/>
      <c r="J32" s="460"/>
    </row>
    <row r="33" spans="1:10" x14ac:dyDescent="0.3">
      <c r="A33" s="460"/>
      <c r="B33" s="460"/>
      <c r="C33" s="460"/>
      <c r="D33" s="460"/>
      <c r="E33" s="460"/>
      <c r="F33" s="460"/>
      <c r="G33" s="460"/>
      <c r="H33" s="460"/>
      <c r="I33" s="460"/>
      <c r="J33" s="460"/>
    </row>
    <row r="34" spans="1:10" x14ac:dyDescent="0.3">
      <c r="A34" s="460"/>
      <c r="B34" s="460"/>
      <c r="C34" s="460"/>
      <c r="D34" s="460"/>
      <c r="E34" s="460"/>
      <c r="F34" s="460"/>
      <c r="G34" s="460"/>
      <c r="H34" s="460"/>
      <c r="I34" s="460"/>
      <c r="J34" s="460"/>
    </row>
    <row r="35" spans="1:10" x14ac:dyDescent="0.3">
      <c r="A35" s="460"/>
      <c r="B35" s="460"/>
      <c r="C35" s="460"/>
      <c r="D35" s="460"/>
      <c r="E35" s="460"/>
      <c r="F35" s="460"/>
      <c r="G35" s="460"/>
      <c r="H35" s="460"/>
      <c r="I35" s="460"/>
      <c r="J35" s="460"/>
    </row>
    <row r="36" spans="1:10" x14ac:dyDescent="0.3">
      <c r="A36" s="460"/>
      <c r="B36" s="460"/>
      <c r="C36" s="460"/>
      <c r="D36" s="460"/>
      <c r="E36" s="460"/>
      <c r="F36" s="460"/>
      <c r="G36" s="460"/>
      <c r="H36" s="460"/>
      <c r="I36" s="460"/>
      <c r="J36" s="460"/>
    </row>
    <row r="37" spans="1:10" x14ac:dyDescent="0.3">
      <c r="A37" s="460"/>
      <c r="B37" s="460"/>
      <c r="C37" s="460"/>
      <c r="D37" s="460"/>
      <c r="E37" s="460"/>
      <c r="F37" s="460"/>
      <c r="G37" s="460"/>
      <c r="H37" s="460"/>
      <c r="I37" s="460"/>
      <c r="J37" s="460"/>
    </row>
    <row r="38" spans="1:10" x14ac:dyDescent="0.3">
      <c r="A38" s="460"/>
      <c r="B38" s="460"/>
      <c r="C38" s="460"/>
      <c r="D38" s="460"/>
      <c r="E38" s="460"/>
      <c r="F38" s="460"/>
      <c r="G38" s="460"/>
      <c r="H38" s="460"/>
      <c r="I38" s="460"/>
      <c r="J38" s="460"/>
    </row>
    <row r="39" spans="1:10" x14ac:dyDescent="0.3">
      <c r="A39" s="460"/>
      <c r="B39" s="460"/>
      <c r="C39" s="460"/>
      <c r="D39" s="460"/>
      <c r="E39" s="460"/>
      <c r="F39" s="460"/>
      <c r="G39" s="460"/>
      <c r="H39" s="460"/>
      <c r="I39" s="460"/>
      <c r="J39" s="460"/>
    </row>
    <row r="40" spans="1:10" x14ac:dyDescent="0.3">
      <c r="A40" s="460"/>
      <c r="B40" s="460"/>
      <c r="C40" s="460"/>
      <c r="D40" s="460"/>
      <c r="E40" s="460"/>
      <c r="F40" s="460"/>
      <c r="G40" s="460"/>
      <c r="H40" s="460"/>
      <c r="I40" s="460"/>
      <c r="J40" s="460"/>
    </row>
  </sheetData>
  <sheetProtection algorithmName="SHA-512" hashValue="W+kZIdfMzlFd9rTuTxpZ6pfnYAmm7cDrHVpZG0zvPf6eDwGPaYeYgYHyT6UlBXwlI3/x5JvW0SqbyWhTiYJHag==" saltValue="c8a1EmvCi6aGrQq17ZlY8g==" spinCount="100000" sheet="1" formatCells="0" formatRows="0" insertRows="0" deleteRows="0" autoFilter="0"/>
  <mergeCells count="13">
    <mergeCell ref="B1:I1"/>
    <mergeCell ref="B2:I2"/>
    <mergeCell ref="D14:F14"/>
    <mergeCell ref="A11:H11"/>
    <mergeCell ref="A4:H4"/>
    <mergeCell ref="B14:C14"/>
    <mergeCell ref="A13:J13"/>
    <mergeCell ref="G14:I14"/>
    <mergeCell ref="B9:C9"/>
    <mergeCell ref="B10:C10"/>
    <mergeCell ref="F7:F8"/>
    <mergeCell ref="G7:G8"/>
    <mergeCell ref="A1:A2"/>
  </mergeCells>
  <phoneticPr fontId="2" type="noConversion"/>
  <dataValidations count="6">
    <dataValidation type="list" allowBlank="1" showInputMessage="1" showErrorMessage="1" sqref="A18:A40" xr:uid="{0698DE86-F5D9-4AC1-8934-BBDAA45B444C}">
      <formula1>FOperGrpCdA</formula1>
    </dataValidation>
    <dataValidation type="list" allowBlank="1" showInputMessage="1" showErrorMessage="1" sqref="B18:B40" xr:uid="{2E7B85FB-E7DA-4A5C-A884-2C0BBC2084B5}">
      <formula1>SpeciesCode</formula1>
    </dataValidation>
    <dataValidation type="list" allowBlank="1" showInputMessage="1" showErrorMessage="1" sqref="C18:C40" xr:uid="{407B123D-B1BE-462A-A0AE-5051DAEA98D6}">
      <formula1>"Y,N"</formula1>
    </dataValidation>
    <dataValidation type="decimal" operator="greaterThan" allowBlank="1" showInputMessage="1" showErrorMessage="1" sqref="D18:D40" xr:uid="{C0E43D8D-C9F2-4BC7-A261-BD0CAE6E94A9}">
      <formula1>0</formula1>
    </dataValidation>
    <dataValidation type="list" allowBlank="1" showInputMessage="1" showErrorMessage="1" sqref="E18:E40" xr:uid="{87E957B5-BDBB-4660-B3A5-833A5C6AF7A5}">
      <formula1>ProdTypeCode</formula1>
    </dataValidation>
    <dataValidation type="whole" operator="greaterThanOrEqual" allowBlank="1" showInputMessage="1" showErrorMessage="1" sqref="F18:J40" xr:uid="{88172DE9-B0CC-43A4-AD3E-40ABA3E6E031}">
      <formula1>0</formula1>
    </dataValidation>
  </dataValidations>
  <hyperlinks>
    <hyperlink ref="B15" location="SpeciesCode" display="SpeciesCode" xr:uid="{7BA3E51B-A815-44D9-85B4-0F3EDF9E94FE}"/>
    <hyperlink ref="F7" location="'ST09B-Catch_Sampling'!A16" display="move to ST09B" xr:uid="{DD226578-C288-4CF0-8936-9EEE0CE443F7}"/>
    <hyperlink ref="G7" location="'ST09B-Catch_Sampling'!A16" display="move to ST09B" xr:uid="{CEEB47FA-1649-4C7E-8A0B-282880D4532D}"/>
    <hyperlink ref="F7:F8" location="'ST09A-FishingActivity'!A30" display="'ST09A-FishingActivity'!A30" xr:uid="{F29C0424-7B18-430F-884B-224C7A405C59}"/>
    <hyperlink ref="G7:G8" location="'ST09C-Samples (Optional)'!A18" display="'ST09C-Samples (Optional)'!A18" xr:uid="{BE437316-8CFB-4D9A-A151-18CF9D4E544C}"/>
    <hyperlink ref="A15" location="FOperGrpCdA" display="FOperGrpCdA" xr:uid="{0D3A2DDF-75E9-4129-B191-1CD598B53147}"/>
    <hyperlink ref="E15" location="ProdTypeCode" display="ProdTypeCode" xr:uid="{A830E764-9BD6-4F49-BC75-5692718C935E}"/>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0B0D7-BFD3-4CE5-859E-F3EAF5F3D882}">
  <sheetPr codeName="Sheet2">
    <tabColor rgb="FF00B0F0"/>
  </sheetPr>
  <dimension ref="A1:P40"/>
  <sheetViews>
    <sheetView zoomScaleNormal="100" workbookViewId="0">
      <selection activeCell="F7" sqref="F7:F8"/>
    </sheetView>
  </sheetViews>
  <sheetFormatPr defaultColWidth="8.765625" defaultRowHeight="10.75" x14ac:dyDescent="0.3"/>
  <cols>
    <col min="1" max="1" width="14.765625" style="45" bestFit="1" customWidth="1"/>
    <col min="2" max="2" width="10.765625" style="45" bestFit="1" customWidth="1"/>
    <col min="3" max="3" width="7.765625" style="45" customWidth="1"/>
    <col min="4" max="4" width="8.07421875" style="45" bestFit="1" customWidth="1"/>
    <col min="5" max="5" width="8.765625" style="45" bestFit="1" customWidth="1"/>
    <col min="6" max="7" width="11.4609375" style="45" customWidth="1"/>
    <col min="8" max="8" width="11" style="45" customWidth="1"/>
    <col min="9" max="9" width="9.765625" style="45" bestFit="1" customWidth="1"/>
    <col min="10" max="10" width="9" style="45" bestFit="1" customWidth="1"/>
    <col min="11" max="12" width="10" style="45" bestFit="1" customWidth="1"/>
    <col min="13" max="13" width="9.765625" style="45" bestFit="1" customWidth="1"/>
    <col min="14" max="14" width="8.4609375" style="45" customWidth="1"/>
    <col min="15" max="15" width="11.765625" style="45" bestFit="1" customWidth="1"/>
    <col min="16" max="16" width="30.07421875" style="45" bestFit="1" customWidth="1"/>
    <col min="17" max="16384" width="8.765625" style="45"/>
  </cols>
  <sheetData>
    <row r="1" spans="1:16" s="44" customFormat="1" ht="19.75" x14ac:dyDescent="0.3">
      <c r="A1" s="385" t="str">
        <f>'ST09A-FishingActivity'!A1</f>
        <v>ST09-DomObPrg</v>
      </c>
      <c r="B1" s="386"/>
      <c r="C1" s="357" t="str">
        <f>'ST09A-FishingActivity'!C1</f>
        <v>Task 3 - Domestic Observer's Programme</v>
      </c>
      <c r="D1" s="323"/>
      <c r="E1" s="323"/>
      <c r="F1" s="323"/>
      <c r="G1" s="323"/>
      <c r="H1" s="323"/>
      <c r="I1" s="323"/>
      <c r="J1" s="323"/>
      <c r="K1" s="323"/>
      <c r="L1" s="323"/>
      <c r="M1" s="91"/>
      <c r="N1" s="66" t="str">
        <f>'ST09A-FishingActivity'!Q1</f>
        <v>Version</v>
      </c>
      <c r="O1" s="67" t="str">
        <f>'ST09A-FishingActivity'!R1</f>
        <v>Language</v>
      </c>
    </row>
    <row r="2" spans="1:16" s="44" customFormat="1" ht="11.6" x14ac:dyDescent="0.3">
      <c r="A2" s="387"/>
      <c r="B2" s="388"/>
      <c r="C2" s="358" t="str">
        <f>'ST09A-FishingActivity'!C2</f>
        <v>ICCAT: INTERNATIONAL COMMISSION FOR THE CONSERVATION OF ATLANTIC TUNAS</v>
      </c>
      <c r="D2" s="359"/>
      <c r="E2" s="359"/>
      <c r="F2" s="359"/>
      <c r="G2" s="359"/>
      <c r="H2" s="359"/>
      <c r="I2" s="359"/>
      <c r="J2" s="359"/>
      <c r="K2" s="359"/>
      <c r="L2" s="359"/>
      <c r="M2" s="92"/>
      <c r="N2" s="68" t="str">
        <f>'ST09A-FishingActivity'!Q2</f>
        <v>2024a</v>
      </c>
      <c r="O2" s="69" t="str">
        <f>+'ST09A-FishingActivity'!R2</f>
        <v>ENG</v>
      </c>
    </row>
    <row r="3" spans="1:16" s="44" customFormat="1" x14ac:dyDescent="0.3">
      <c r="A3" s="134"/>
      <c r="B3" s="135"/>
      <c r="C3" s="135"/>
      <c r="D3" s="135"/>
      <c r="E3" s="135"/>
      <c r="F3" s="135"/>
      <c r="G3" s="135"/>
      <c r="H3" s="135"/>
      <c r="I3" s="135"/>
      <c r="J3" s="135"/>
      <c r="K3" s="135"/>
      <c r="L3" s="135"/>
      <c r="M3" s="135"/>
      <c r="N3" s="135"/>
      <c r="O3" s="136"/>
    </row>
    <row r="4" spans="1:16" s="44" customFormat="1" x14ac:dyDescent="0.3">
      <c r="A4" s="380" t="s">
        <v>605</v>
      </c>
      <c r="B4" s="381"/>
      <c r="C4" s="381"/>
      <c r="D4" s="137"/>
      <c r="E4" s="137"/>
      <c r="F4" s="137"/>
      <c r="G4" s="137"/>
      <c r="H4" s="137"/>
      <c r="I4" s="137"/>
      <c r="J4" s="137"/>
      <c r="K4" s="137"/>
      <c r="L4" s="137"/>
      <c r="M4" s="137"/>
      <c r="N4" s="137"/>
      <c r="O4" s="138"/>
    </row>
    <row r="5" spans="1:16" s="44" customFormat="1" x14ac:dyDescent="0.3">
      <c r="A5" s="116" t="str">
        <f>'ST09A-FishingActivity'!A12</f>
        <v>Reporting Flag</v>
      </c>
      <c r="B5" s="133" t="str">
        <f>IF('ST09A-FishingActivity'!C12&gt;0, 'ST09A-FishingActivity'!C12, "")</f>
        <v/>
      </c>
      <c r="C5" s="133" t="str">
        <f>IF('ST09A-FishingActivity'!E12&gt;0, 'ST09A-FishingActivity'!E12,"")</f>
        <v/>
      </c>
      <c r="D5" s="133"/>
      <c r="E5" s="131"/>
      <c r="F5" s="131" t="s">
        <v>600</v>
      </c>
      <c r="G5" s="131"/>
      <c r="H5" s="131"/>
      <c r="I5" s="131"/>
      <c r="J5" s="131"/>
      <c r="K5" s="131"/>
      <c r="L5" s="131"/>
      <c r="M5" s="131"/>
      <c r="N5" s="131"/>
      <c r="O5" s="139"/>
    </row>
    <row r="6" spans="1:16" s="44" customFormat="1" ht="11.15" thickBot="1" x14ac:dyDescent="0.35">
      <c r="A6" s="116" t="str">
        <f>'ST09A-FishingActivity'!A13</f>
        <v>Years covered (from)</v>
      </c>
      <c r="B6" s="133" t="str">
        <f>IF('ST09A-FishingActivity'!C13&gt;0,'ST09A-FishingActivity'!C13, "")</f>
        <v/>
      </c>
      <c r="C6" s="133" t="str">
        <f>'ST09A-FishingActivity'!D13</f>
        <v>(to)</v>
      </c>
      <c r="D6" s="133" t="str">
        <f>IF('ST09A-FishingActivity'!E13&gt;0, 'ST09A-FishingActivity'!E13, "")</f>
        <v/>
      </c>
      <c r="E6" s="131"/>
      <c r="F6" s="131"/>
      <c r="G6" s="131"/>
      <c r="H6" s="131"/>
      <c r="I6" s="131"/>
      <c r="J6" s="131"/>
      <c r="K6" s="131"/>
      <c r="L6" s="131"/>
      <c r="M6" s="131"/>
      <c r="N6" s="131"/>
      <c r="O6" s="139"/>
    </row>
    <row r="7" spans="1:16" s="44" customFormat="1" ht="10.199999999999999" customHeight="1" x14ac:dyDescent="0.3">
      <c r="A7" s="116"/>
      <c r="B7" s="131"/>
      <c r="C7" s="131"/>
      <c r="D7" s="131"/>
      <c r="E7" s="131"/>
      <c r="F7" s="344" t="str">
        <f>VLOOKUP("btnST09A",tblTranslation[],LangFieldID,FALSE)</f>
        <v>ST09A (move to)</v>
      </c>
      <c r="G7" s="346" t="str">
        <f>VLOOKUP("btnST09B",tblTranslation[],LangFieldID,FALSE)</f>
        <v>ST09B (move to)</v>
      </c>
      <c r="H7" s="131"/>
      <c r="I7" s="131"/>
      <c r="J7" s="131"/>
      <c r="K7" s="131"/>
      <c r="L7" s="131"/>
      <c r="M7" s="131"/>
      <c r="N7" s="131"/>
      <c r="O7" s="139"/>
    </row>
    <row r="8" spans="1:16" s="44" customFormat="1" ht="15" customHeight="1" thickBot="1" x14ac:dyDescent="0.35">
      <c r="A8" s="116"/>
      <c r="B8" s="131"/>
      <c r="C8" s="131"/>
      <c r="D8" s="131"/>
      <c r="E8" s="131"/>
      <c r="F8" s="345"/>
      <c r="G8" s="347"/>
      <c r="H8" s="131"/>
      <c r="I8" s="131"/>
      <c r="J8" s="131"/>
      <c r="K8" s="131"/>
      <c r="L8" s="131"/>
      <c r="M8" s="131"/>
      <c r="N8" s="131"/>
      <c r="O8" s="139"/>
    </row>
    <row r="9" spans="1:16" s="44" customFormat="1" x14ac:dyDescent="0.3">
      <c r="A9" s="116" t="str">
        <f>'ST09A-FishingActivity'!A17</f>
        <v>Version reported</v>
      </c>
      <c r="B9" s="370" t="str">
        <f>IF('ST09A-FishingActivity'!C17&gt;0,'ST09A-FishingActivity'!C17,"")</f>
        <v/>
      </c>
      <c r="C9" s="370"/>
      <c r="D9" s="131"/>
      <c r="E9" s="131"/>
      <c r="F9" s="131"/>
      <c r="G9" s="131"/>
      <c r="H9" s="131"/>
      <c r="I9" s="131"/>
      <c r="J9" s="131"/>
      <c r="K9" s="131"/>
      <c r="L9" s="131"/>
      <c r="M9" s="131"/>
      <c r="N9" s="131"/>
      <c r="O9" s="139"/>
    </row>
    <row r="10" spans="1:16" s="44" customFormat="1" x14ac:dyDescent="0.3">
      <c r="A10" s="116" t="str">
        <f>'ST09A-FishingActivity'!A18</f>
        <v>Content (data)</v>
      </c>
      <c r="B10" s="370" t="str">
        <f>IF('ST09A-FishingActivity'!C18&gt;0,'ST09A-FishingActivity'!C18, "")</f>
        <v/>
      </c>
      <c r="C10" s="370"/>
      <c r="D10" s="131"/>
      <c r="E10" s="131"/>
      <c r="F10" s="131"/>
      <c r="G10" s="131"/>
      <c r="H10" s="131"/>
      <c r="I10" s="131"/>
      <c r="J10" s="131"/>
      <c r="K10" s="131"/>
      <c r="L10" s="131"/>
      <c r="M10" s="131"/>
      <c r="N10" s="131"/>
      <c r="O10" s="139"/>
    </row>
    <row r="11" spans="1:16" s="44" customFormat="1" x14ac:dyDescent="0.3">
      <c r="A11" s="140"/>
      <c r="B11" s="132"/>
      <c r="C11" s="132"/>
      <c r="D11" s="132"/>
      <c r="E11" s="132"/>
      <c r="F11" s="132"/>
      <c r="G11" s="132"/>
      <c r="H11" s="132"/>
      <c r="I11" s="132"/>
      <c r="J11" s="132"/>
      <c r="K11" s="132"/>
      <c r="L11" s="132"/>
      <c r="M11" s="132"/>
      <c r="N11" s="132"/>
      <c r="O11" s="141"/>
    </row>
    <row r="12" spans="1:16" s="44" customFormat="1" x14ac:dyDescent="0.3"/>
    <row r="13" spans="1:16" s="154" customFormat="1" ht="10.199999999999999" customHeight="1" x14ac:dyDescent="0.4">
      <c r="A13" s="383" t="str">
        <f>VLOOKUP("D70",tblTranslation[],LangFieldID,FALSE)</f>
        <v>Specimens &amp; fishing operations (FO)</v>
      </c>
      <c r="B13" s="383"/>
      <c r="C13" s="383"/>
      <c r="D13" s="383" t="str">
        <f>VLOOKUP("D80",tblTranslation[],LangFieldID,FALSE)</f>
        <v>Biological data (observed)</v>
      </c>
      <c r="E13" s="383"/>
      <c r="F13" s="383"/>
      <c r="G13" s="383"/>
      <c r="H13" s="383"/>
      <c r="I13" s="383"/>
      <c r="J13" s="383"/>
      <c r="K13" s="383"/>
      <c r="L13" s="383"/>
      <c r="M13" s="375" t="str">
        <f>VLOOKUP("D90",tblTranslation[],LangFieldID,FALSE)</f>
        <v>Release attributes and others</v>
      </c>
      <c r="N13" s="376"/>
      <c r="O13" s="376"/>
      <c r="P13" s="377"/>
    </row>
    <row r="14" spans="1:16" s="154" customFormat="1" x14ac:dyDescent="0.4">
      <c r="A14" s="382" t="str">
        <f>VLOOKUP("D71",tblTranslation[],LangFieldID,FALSE)</f>
        <v>Specimen Identifier</v>
      </c>
      <c r="B14" s="382"/>
      <c r="C14" s="382"/>
      <c r="D14" s="186" t="str">
        <f>VLOOKUP("D81",tblTranslation[],LangFieldID,FALSE)</f>
        <v>Sex</v>
      </c>
      <c r="E14" s="382" t="str">
        <f>VLOOKUP("D82",tblTranslation[],LangFieldID,FALSE)</f>
        <v>Size</v>
      </c>
      <c r="F14" s="382"/>
      <c r="G14" s="382" t="str">
        <f>VLOOKUP("D83",tblTranslation[],LangFieldID,FALSE)</f>
        <v>Weight</v>
      </c>
      <c r="H14" s="382"/>
      <c r="I14" s="384" t="str">
        <f>VLOOKUP("D84",tblTranslation[],LangFieldID,FALSE)</f>
        <v>Samples obtained (Y/N)</v>
      </c>
      <c r="J14" s="384"/>
      <c r="K14" s="384"/>
      <c r="L14" s="384"/>
      <c r="M14" s="373" t="str">
        <f>VLOOKUP("D91",tblTranslation[],LangFieldID,FALSE)</f>
        <v>Condition (external injuries)</v>
      </c>
      <c r="N14" s="374"/>
      <c r="O14" s="378" t="str">
        <f>VLOOKUP("D92",tblTranslation[],LangFieldID,FALSE)</f>
        <v>Others</v>
      </c>
      <c r="P14" s="379"/>
    </row>
    <row r="15" spans="1:16" s="154" customFormat="1" ht="21.45" x14ac:dyDescent="0.4">
      <c r="A15" s="186" t="str">
        <f>VLOOKUP(A17,tblTranslation[],LangFieldID,FALSE)</f>
        <v>Unique specimen ID</v>
      </c>
      <c r="B15" s="186" t="str">
        <f>VLOOKUP(B17,tblTranslation[],LangFieldID,FALSE)</f>
        <v>FO group ID</v>
      </c>
      <c r="C15" s="157" t="str">
        <f>VLOOKUP(C17,tblTranslation[],LangFieldID,FALSE)</f>
        <v>Species (cod)</v>
      </c>
      <c r="D15" s="157" t="str">
        <f>VLOOKUP(D17,tblTranslation[],LangFieldID,FALSE)</f>
        <v>Sex (cod)</v>
      </c>
      <c r="E15" s="186" t="str">
        <f>VLOOKUP(E17,tblTranslation[],LangFieldID,FALSE)</f>
        <v>Length (cm)</v>
      </c>
      <c r="F15" s="157" t="str">
        <f>VLOOKUP(F17,tblTranslation[],LangFieldID,FALSE)</f>
        <v>Size class type (cod)</v>
      </c>
      <c r="G15" s="186" t="str">
        <f>VLOOKUP(G17,tblTranslation[],LangFieldID,FALSE)</f>
        <v>Weight (kg)</v>
      </c>
      <c r="H15" s="157" t="str">
        <f>VLOOKUP(H17,tblTranslation[],LangFieldID,FALSE)</f>
        <v>Product type (cod)</v>
      </c>
      <c r="I15" s="186" t="str">
        <f>VLOOKUP(I17,tblTranslation[],LangFieldID,FALSE)</f>
        <v>Genetics?</v>
      </c>
      <c r="J15" s="186" t="str">
        <f>VLOOKUP(J17,tblTranslation[],LangFieldID,FALSE)</f>
        <v>Otoliths?</v>
      </c>
      <c r="K15" s="186" t="str">
        <f>VLOOKUP(K17,tblTranslation[],LangFieldID,FALSE)</f>
        <v>Stomach?</v>
      </c>
      <c r="L15" s="186" t="str">
        <f>VLOOKUP(L17,tblTranslation[],LangFieldID,FALSE)</f>
        <v>Gonads?</v>
      </c>
      <c r="M15" s="186" t="str">
        <f>VLOOKUP(M17,tblTranslation[],LangFieldID,FALSE)</f>
        <v>Released?</v>
      </c>
      <c r="N15" s="157" t="str">
        <f>VLOOKUP(N17,tblTranslation[],LangFieldID,FALSE)</f>
        <v>Injuries (scale)</v>
      </c>
      <c r="O15" s="186" t="str">
        <f>VLOOKUP(O17,tblTranslation[],LangFieldID,FALSE)</f>
        <v>Tag number</v>
      </c>
      <c r="P15" s="186" t="str">
        <f>VLOOKUP(P17,tblTranslation[],LangFieldID,FALSE)</f>
        <v>Notes</v>
      </c>
    </row>
    <row r="16" spans="1:16" s="142" customFormat="1" x14ac:dyDescent="0.4">
      <c r="A16" s="122" t="str">
        <f t="shared" ref="A16:N16" si="0">REPT("+",10)</f>
        <v>++++++++++</v>
      </c>
      <c r="B16" s="122" t="str">
        <f t="shared" si="0"/>
        <v>++++++++++</v>
      </c>
      <c r="C16" s="122" t="str">
        <f t="shared" si="0"/>
        <v>++++++++++</v>
      </c>
      <c r="D16" s="122" t="str">
        <f t="shared" si="0"/>
        <v>++++++++++</v>
      </c>
      <c r="E16" s="122" t="str">
        <f t="shared" si="0"/>
        <v>++++++++++</v>
      </c>
      <c r="F16" s="122" t="str">
        <f t="shared" si="0"/>
        <v>++++++++++</v>
      </c>
      <c r="G16" s="122" t="str">
        <f t="shared" si="0"/>
        <v>++++++++++</v>
      </c>
      <c r="H16" s="122" t="str">
        <f t="shared" si="0"/>
        <v>++++++++++</v>
      </c>
      <c r="I16" s="122" t="str">
        <f>REPT("+",8)</f>
        <v>++++++++</v>
      </c>
      <c r="J16" s="122" t="str">
        <f t="shared" ref="J16:L16" si="1">REPT("+",8)</f>
        <v>++++++++</v>
      </c>
      <c r="K16" s="122" t="str">
        <f t="shared" si="1"/>
        <v>++++++++</v>
      </c>
      <c r="L16" s="122" t="str">
        <f t="shared" si="1"/>
        <v>++++++++</v>
      </c>
      <c r="M16" s="122" t="str">
        <f t="shared" si="0"/>
        <v>++++++++++</v>
      </c>
      <c r="N16" s="122" t="str">
        <f t="shared" si="0"/>
        <v>++++++++++</v>
      </c>
      <c r="O16" s="122" t="str">
        <f>REPT("+",15)</f>
        <v>+++++++++++++++</v>
      </c>
      <c r="P16" s="122" t="str">
        <f>REPT("+",40)</f>
        <v>++++++++++++++++++++++++++++++++++++++++</v>
      </c>
    </row>
    <row r="17" spans="1:16" s="44" customFormat="1" x14ac:dyDescent="0.3">
      <c r="A17" s="158" t="s">
        <v>1901</v>
      </c>
      <c r="B17" s="158" t="s">
        <v>2161</v>
      </c>
      <c r="C17" s="159" t="s">
        <v>2220</v>
      </c>
      <c r="D17" s="158" t="s">
        <v>2222</v>
      </c>
      <c r="E17" s="158" t="s">
        <v>1903</v>
      </c>
      <c r="F17" s="160" t="s">
        <v>2223</v>
      </c>
      <c r="G17" s="160" t="s">
        <v>1904</v>
      </c>
      <c r="H17" s="160" t="s">
        <v>2215</v>
      </c>
      <c r="I17" s="160" t="s">
        <v>2322</v>
      </c>
      <c r="J17" s="160" t="s">
        <v>2320</v>
      </c>
      <c r="K17" s="160" t="s">
        <v>2267</v>
      </c>
      <c r="L17" s="161" t="s">
        <v>2323</v>
      </c>
      <c r="M17" s="160" t="s">
        <v>2321</v>
      </c>
      <c r="N17" s="159" t="s">
        <v>2324</v>
      </c>
      <c r="O17" s="160" t="s">
        <v>1926</v>
      </c>
      <c r="P17" s="160" t="s">
        <v>2287</v>
      </c>
    </row>
    <row r="18" spans="1:16" x14ac:dyDescent="0.3">
      <c r="A18" s="149"/>
      <c r="B18" s="149"/>
      <c r="C18" s="150"/>
      <c r="D18" s="150"/>
      <c r="E18" s="149"/>
      <c r="F18" s="113"/>
      <c r="G18" s="113"/>
      <c r="H18" s="113"/>
      <c r="I18" s="149"/>
      <c r="J18" s="149"/>
      <c r="K18" s="149"/>
      <c r="L18" s="149"/>
      <c r="M18" s="113"/>
      <c r="N18" s="113"/>
      <c r="O18" s="113"/>
      <c r="P18" s="149"/>
    </row>
    <row r="19" spans="1:16" x14ac:dyDescent="0.3">
      <c r="A19" s="149"/>
      <c r="B19" s="149"/>
      <c r="C19" s="150"/>
      <c r="D19" s="149"/>
      <c r="E19" s="149"/>
      <c r="F19" s="113"/>
      <c r="G19" s="113"/>
      <c r="H19" s="113"/>
      <c r="I19" s="149"/>
      <c r="J19" s="149"/>
      <c r="K19" s="149"/>
      <c r="L19" s="149"/>
      <c r="M19" s="113"/>
      <c r="N19" s="113"/>
      <c r="O19" s="113"/>
      <c r="P19" s="149"/>
    </row>
    <row r="20" spans="1:16" x14ac:dyDescent="0.3">
      <c r="A20" s="149"/>
      <c r="B20" s="149"/>
      <c r="C20" s="149"/>
      <c r="D20" s="149"/>
      <c r="E20" s="149"/>
      <c r="F20" s="113"/>
      <c r="G20" s="113"/>
      <c r="H20" s="113"/>
      <c r="I20" s="149"/>
      <c r="J20" s="149"/>
      <c r="K20" s="149"/>
      <c r="L20" s="149"/>
      <c r="M20" s="113"/>
      <c r="N20" s="113"/>
      <c r="O20" s="113"/>
      <c r="P20" s="149"/>
    </row>
    <row r="21" spans="1:16" x14ac:dyDescent="0.3">
      <c r="A21" s="149"/>
      <c r="B21" s="149"/>
      <c r="C21" s="149"/>
      <c r="D21" s="149"/>
      <c r="E21" s="149"/>
      <c r="F21" s="113"/>
      <c r="G21" s="113"/>
      <c r="H21" s="113"/>
      <c r="I21" s="149"/>
      <c r="J21" s="149"/>
      <c r="K21" s="149"/>
      <c r="L21" s="149"/>
      <c r="M21" s="113"/>
      <c r="N21" s="113"/>
      <c r="O21" s="113"/>
      <c r="P21" s="149"/>
    </row>
    <row r="22" spans="1:16" x14ac:dyDescent="0.3">
      <c r="A22" s="149"/>
      <c r="B22" s="149"/>
      <c r="C22" s="149"/>
      <c r="D22" s="149"/>
      <c r="E22" s="149"/>
      <c r="F22" s="113"/>
      <c r="G22" s="113"/>
      <c r="H22" s="113"/>
      <c r="I22" s="149"/>
      <c r="J22" s="149"/>
      <c r="K22" s="149"/>
      <c r="L22" s="149"/>
      <c r="M22" s="113"/>
      <c r="N22" s="113"/>
      <c r="O22" s="113"/>
      <c r="P22" s="149"/>
    </row>
    <row r="23" spans="1:16" x14ac:dyDescent="0.3">
      <c r="A23" s="149"/>
      <c r="B23" s="149"/>
      <c r="C23" s="149"/>
      <c r="D23" s="149"/>
      <c r="E23" s="149"/>
      <c r="F23" s="113"/>
      <c r="G23" s="113"/>
      <c r="H23" s="113"/>
      <c r="I23" s="149"/>
      <c r="J23" s="149"/>
      <c r="K23" s="149"/>
      <c r="L23" s="149"/>
      <c r="M23" s="113"/>
      <c r="N23" s="113"/>
      <c r="O23" s="113"/>
      <c r="P23" s="149"/>
    </row>
    <row r="24" spans="1:16" x14ac:dyDescent="0.3">
      <c r="A24" s="149"/>
      <c r="B24" s="149"/>
      <c r="C24" s="149"/>
      <c r="D24" s="149"/>
      <c r="E24" s="149"/>
      <c r="F24" s="113"/>
      <c r="G24" s="113"/>
      <c r="H24" s="113"/>
      <c r="I24" s="149"/>
      <c r="J24" s="149"/>
      <c r="K24" s="149"/>
      <c r="L24" s="149"/>
      <c r="M24" s="113"/>
      <c r="N24" s="113"/>
      <c r="O24" s="113"/>
      <c r="P24" s="149"/>
    </row>
    <row r="25" spans="1:16" x14ac:dyDescent="0.3">
      <c r="A25" s="149"/>
      <c r="B25" s="149"/>
      <c r="C25" s="149"/>
      <c r="D25" s="149"/>
      <c r="E25" s="149"/>
      <c r="F25" s="113"/>
      <c r="G25" s="113"/>
      <c r="H25" s="113"/>
      <c r="I25" s="149"/>
      <c r="J25" s="149"/>
      <c r="K25" s="149"/>
      <c r="L25" s="149"/>
      <c r="M25" s="113"/>
      <c r="N25" s="113"/>
      <c r="O25" s="113"/>
      <c r="P25" s="149"/>
    </row>
    <row r="26" spans="1:16" x14ac:dyDescent="0.3">
      <c r="A26" s="149"/>
      <c r="B26" s="149"/>
      <c r="C26" s="149"/>
      <c r="D26" s="149"/>
      <c r="E26" s="149"/>
      <c r="F26" s="113"/>
      <c r="G26" s="113"/>
      <c r="H26" s="113"/>
      <c r="I26" s="149"/>
      <c r="J26" s="149"/>
      <c r="K26" s="149"/>
      <c r="L26" s="149"/>
      <c r="M26" s="113"/>
      <c r="N26" s="113"/>
      <c r="O26" s="113"/>
      <c r="P26" s="149"/>
    </row>
    <row r="27" spans="1:16" x14ac:dyDescent="0.3">
      <c r="A27" s="149"/>
      <c r="B27" s="149"/>
      <c r="C27" s="149"/>
      <c r="D27" s="149"/>
      <c r="E27" s="149"/>
      <c r="F27" s="113"/>
      <c r="G27" s="113"/>
      <c r="H27" s="113"/>
      <c r="I27" s="149"/>
      <c r="J27" s="149"/>
      <c r="K27" s="149"/>
      <c r="L27" s="149"/>
      <c r="M27" s="113"/>
      <c r="N27" s="113"/>
      <c r="O27" s="113"/>
      <c r="P27" s="149"/>
    </row>
    <row r="28" spans="1:16" x14ac:dyDescent="0.3">
      <c r="A28" s="149"/>
      <c r="B28" s="149"/>
      <c r="C28" s="149"/>
      <c r="D28" s="149"/>
      <c r="E28" s="149"/>
      <c r="F28" s="113"/>
      <c r="G28" s="113"/>
      <c r="H28" s="113"/>
      <c r="I28" s="149"/>
      <c r="J28" s="149"/>
      <c r="K28" s="149"/>
      <c r="L28" s="149"/>
      <c r="M28" s="113"/>
      <c r="N28" s="113"/>
      <c r="O28" s="113"/>
      <c r="P28" s="149"/>
    </row>
    <row r="29" spans="1:16" x14ac:dyDescent="0.3">
      <c r="A29" s="149"/>
      <c r="B29" s="149"/>
      <c r="C29" s="149"/>
      <c r="D29" s="149"/>
      <c r="E29" s="149"/>
      <c r="F29" s="113"/>
      <c r="G29" s="113"/>
      <c r="H29" s="113"/>
      <c r="I29" s="149"/>
      <c r="J29" s="149"/>
      <c r="K29" s="149"/>
      <c r="L29" s="149"/>
      <c r="M29" s="113"/>
      <c r="N29" s="113"/>
      <c r="O29" s="113"/>
      <c r="P29" s="149"/>
    </row>
    <row r="30" spans="1:16" x14ac:dyDescent="0.3">
      <c r="A30" s="149"/>
      <c r="B30" s="149"/>
      <c r="C30" s="149"/>
      <c r="D30" s="149"/>
      <c r="E30" s="149"/>
      <c r="F30" s="113"/>
      <c r="G30" s="113"/>
      <c r="H30" s="113"/>
      <c r="I30" s="149"/>
      <c r="J30" s="149"/>
      <c r="K30" s="149"/>
      <c r="L30" s="149"/>
      <c r="M30" s="113"/>
      <c r="N30" s="113"/>
      <c r="O30" s="113"/>
      <c r="P30" s="149"/>
    </row>
    <row r="31" spans="1:16" x14ac:dyDescent="0.3">
      <c r="A31" s="457"/>
      <c r="B31" s="457"/>
      <c r="C31" s="457"/>
      <c r="D31" s="458"/>
      <c r="E31" s="458"/>
      <c r="F31" s="458"/>
      <c r="G31" s="458"/>
      <c r="H31" s="459"/>
      <c r="I31" s="458"/>
      <c r="J31" s="458"/>
      <c r="K31" s="458"/>
      <c r="L31" s="457"/>
      <c r="M31" s="459"/>
      <c r="N31" s="459"/>
      <c r="O31" s="459"/>
      <c r="P31" s="458"/>
    </row>
    <row r="32" spans="1:16" x14ac:dyDescent="0.3">
      <c r="A32" s="457"/>
      <c r="B32" s="457"/>
      <c r="C32" s="457"/>
      <c r="D32" s="458"/>
      <c r="E32" s="458"/>
      <c r="F32" s="458"/>
      <c r="G32" s="458"/>
      <c r="H32" s="459"/>
      <c r="I32" s="458"/>
      <c r="J32" s="458"/>
      <c r="K32" s="458"/>
      <c r="L32" s="457"/>
      <c r="M32" s="459"/>
      <c r="N32" s="459"/>
      <c r="O32" s="459"/>
      <c r="P32" s="458"/>
    </row>
    <row r="33" spans="1:16" x14ac:dyDescent="0.3">
      <c r="A33" s="457"/>
      <c r="B33" s="457"/>
      <c r="C33" s="457"/>
      <c r="D33" s="458"/>
      <c r="E33" s="458"/>
      <c r="F33" s="458"/>
      <c r="G33" s="458"/>
      <c r="H33" s="459"/>
      <c r="I33" s="458"/>
      <c r="J33" s="458"/>
      <c r="K33" s="458"/>
      <c r="L33" s="457"/>
      <c r="M33" s="459"/>
      <c r="N33" s="459"/>
      <c r="O33" s="459"/>
      <c r="P33" s="458"/>
    </row>
    <row r="34" spans="1:16" x14ac:dyDescent="0.3">
      <c r="A34" s="457"/>
      <c r="B34" s="457"/>
      <c r="C34" s="457"/>
      <c r="D34" s="458"/>
      <c r="E34" s="458"/>
      <c r="F34" s="458"/>
      <c r="G34" s="458"/>
      <c r="H34" s="459"/>
      <c r="I34" s="458"/>
      <c r="J34" s="458"/>
      <c r="K34" s="458"/>
      <c r="L34" s="457"/>
      <c r="M34" s="459"/>
      <c r="N34" s="459"/>
      <c r="O34" s="459"/>
      <c r="P34" s="458"/>
    </row>
    <row r="35" spans="1:16" x14ac:dyDescent="0.3">
      <c r="A35" s="457"/>
      <c r="B35" s="457"/>
      <c r="C35" s="457"/>
      <c r="D35" s="458"/>
      <c r="E35" s="458"/>
      <c r="F35" s="458"/>
      <c r="G35" s="458"/>
      <c r="H35" s="459"/>
      <c r="I35" s="458"/>
      <c r="J35" s="458"/>
      <c r="K35" s="458"/>
      <c r="L35" s="457"/>
      <c r="M35" s="459"/>
      <c r="N35" s="459"/>
      <c r="O35" s="459"/>
      <c r="P35" s="458"/>
    </row>
    <row r="36" spans="1:16" x14ac:dyDescent="0.3">
      <c r="A36" s="457"/>
      <c r="B36" s="457"/>
      <c r="C36" s="457"/>
      <c r="D36" s="458"/>
      <c r="E36" s="458"/>
      <c r="F36" s="458"/>
      <c r="G36" s="458"/>
      <c r="H36" s="459"/>
      <c r="I36" s="458"/>
      <c r="J36" s="458"/>
      <c r="K36" s="458"/>
      <c r="L36" s="457"/>
      <c r="M36" s="459"/>
      <c r="N36" s="459"/>
      <c r="O36" s="459"/>
      <c r="P36" s="458"/>
    </row>
    <row r="37" spans="1:16" x14ac:dyDescent="0.3">
      <c r="A37" s="457"/>
      <c r="B37" s="457"/>
      <c r="C37" s="457"/>
      <c r="D37" s="458"/>
      <c r="E37" s="458"/>
      <c r="F37" s="458"/>
      <c r="G37" s="458"/>
      <c r="H37" s="459"/>
      <c r="I37" s="458"/>
      <c r="J37" s="458"/>
      <c r="K37" s="458"/>
      <c r="L37" s="457"/>
      <c r="M37" s="459"/>
      <c r="N37" s="459"/>
      <c r="O37" s="459"/>
      <c r="P37" s="458"/>
    </row>
    <row r="38" spans="1:16" x14ac:dyDescent="0.3">
      <c r="A38" s="457"/>
      <c r="B38" s="457"/>
      <c r="C38" s="457"/>
      <c r="D38" s="458"/>
      <c r="E38" s="458"/>
      <c r="F38" s="458"/>
      <c r="G38" s="458"/>
      <c r="H38" s="459"/>
      <c r="I38" s="458"/>
      <c r="J38" s="458"/>
      <c r="K38" s="458"/>
      <c r="L38" s="457"/>
      <c r="M38" s="459"/>
      <c r="N38" s="459"/>
      <c r="O38" s="459"/>
      <c r="P38" s="458"/>
    </row>
    <row r="39" spans="1:16" x14ac:dyDescent="0.3">
      <c r="A39" s="457"/>
      <c r="B39" s="457"/>
      <c r="C39" s="457"/>
      <c r="D39" s="458"/>
      <c r="E39" s="458"/>
      <c r="F39" s="458"/>
      <c r="G39" s="458"/>
      <c r="H39" s="459"/>
      <c r="I39" s="458"/>
      <c r="J39" s="458"/>
      <c r="K39" s="458"/>
      <c r="L39" s="457"/>
      <c r="M39" s="459"/>
      <c r="N39" s="459"/>
      <c r="O39" s="459"/>
      <c r="P39" s="458"/>
    </row>
    <row r="40" spans="1:16" x14ac:dyDescent="0.3">
      <c r="A40" s="457"/>
      <c r="B40" s="457"/>
      <c r="C40" s="457"/>
      <c r="D40" s="458"/>
      <c r="E40" s="458"/>
      <c r="F40" s="458"/>
      <c r="G40" s="458"/>
      <c r="H40" s="459"/>
      <c r="I40" s="458"/>
      <c r="J40" s="458"/>
      <c r="K40" s="458"/>
      <c r="L40" s="457"/>
      <c r="M40" s="459"/>
      <c r="N40" s="459"/>
      <c r="O40" s="459"/>
      <c r="P40" s="458"/>
    </row>
  </sheetData>
  <sheetProtection algorithmName="SHA-512" hashValue="fTCZLUCSa4kn5AJXZhJkkB4QATxYRvzu18hfog1MXOxoHyhWpI0/YVeQYRXkpWwgLj0Zte2kFalsWUsii8Z4Vw==" saltValue="+NGNOQXh6DGTg5tPKwgX1g==" spinCount="100000" sheet="1" formatCells="0" formatRows="0" insertRows="0" deleteRows="0" autoFilter="0"/>
  <mergeCells count="17">
    <mergeCell ref="C1:L1"/>
    <mergeCell ref="C2:L2"/>
    <mergeCell ref="I14:L14"/>
    <mergeCell ref="A1:B2"/>
    <mergeCell ref="A13:C13"/>
    <mergeCell ref="F7:F8"/>
    <mergeCell ref="G7:G8"/>
    <mergeCell ref="M14:N14"/>
    <mergeCell ref="M13:P13"/>
    <mergeCell ref="O14:P14"/>
    <mergeCell ref="A4:C4"/>
    <mergeCell ref="B9:C9"/>
    <mergeCell ref="B10:C10"/>
    <mergeCell ref="E14:F14"/>
    <mergeCell ref="G14:H14"/>
    <mergeCell ref="A14:C14"/>
    <mergeCell ref="D13:L13"/>
  </mergeCells>
  <dataValidations count="9">
    <dataValidation type="list" allowBlank="1" showInputMessage="1" showErrorMessage="1" sqref="C18:C40" xr:uid="{0B4898A4-A668-44BA-B167-08FBA58451FD}">
      <formula1>SpeciesCode</formula1>
    </dataValidation>
    <dataValidation type="list" allowBlank="1" showInputMessage="1" showErrorMessage="1" sqref="D18:D40" xr:uid="{29A63648-66D5-437B-B264-74017B0728A4}">
      <formula1>SexCode</formula1>
    </dataValidation>
    <dataValidation type="decimal" operator="greaterThan" allowBlank="1" showInputMessage="1" showErrorMessage="1" sqref="E18:E40 G18:G40" xr:uid="{B002D97E-0A0B-4B0B-ABD7-135C9854E98C}">
      <formula1>0</formula1>
    </dataValidation>
    <dataValidation type="list" allowBlank="1" showInputMessage="1" showErrorMessage="1" sqref="F18:F40" xr:uid="{F0FF8273-D8BE-4C5C-A0D8-9A786DE16BC3}">
      <formula1>LenTypeCode</formula1>
    </dataValidation>
    <dataValidation type="list" allowBlank="1" showInputMessage="1" showErrorMessage="1" sqref="H18:H40" xr:uid="{EC977859-C4D6-4E40-B0B1-FD9AF017B359}">
      <formula1>ProdTypeCode</formula1>
    </dataValidation>
    <dataValidation type="list" allowBlank="1" showInputMessage="1" showErrorMessage="1" sqref="N18:N30" xr:uid="{BFC3FF4C-3224-450E-95A2-D65DAB3E0A5D}">
      <formula1>InjurSclCode</formula1>
    </dataValidation>
    <dataValidation type="list" allowBlank="1" showInputMessage="1" showErrorMessage="1" sqref="B18:B40" xr:uid="{5A939918-EFE9-4C21-BB58-56CCE7F3C7AF}">
      <formula1>FOperGrpCdA</formula1>
    </dataValidation>
    <dataValidation type="list" allowBlank="1" showInputMessage="1" showErrorMessage="1" sqref="M18:N30" xr:uid="{F6CEF133-2DFD-4781-93DA-78D62BA8D0A2}">
      <formula1>"Y, N"</formula1>
    </dataValidation>
    <dataValidation type="list" allowBlank="1" showInputMessage="1" showErrorMessage="1" sqref="I18:N30" xr:uid="{00000000-0002-0000-0100-000002000000}">
      <formula1>"Y,N"</formula1>
    </dataValidation>
  </dataValidations>
  <hyperlinks>
    <hyperlink ref="F7" location="'ST09B-Catch_Sampling'!A16" display="move to ST09B" xr:uid="{E9F85388-D88C-49F5-A1CE-C6323BB412B3}"/>
    <hyperlink ref="G7" location="'ST09B-Catch_Sampling'!A16" display="move to ST09B" xr:uid="{6E9690B0-06ED-4069-9489-6505126C1D00}"/>
    <hyperlink ref="F7:F8" location="'ST09A-FishingActivity'!A30" display="'ST09A-FishingActivity'!A30" xr:uid="{ABD5BC24-452C-43C3-99E8-842D81026F96}"/>
    <hyperlink ref="G7:G8" location="'ST09B-Catch'!A18" display="'ST09B-Catch'!A18" xr:uid="{79BDA48E-A36F-454F-A57B-6753A1BA699C}"/>
    <hyperlink ref="C15" location="SpeciesCode" display="SpeciesCode" xr:uid="{0D48FFF4-3610-4FEF-BCE4-0DBB4D835322}"/>
    <hyperlink ref="D15" location="SexCode" display="SexCode" xr:uid="{B0928EBD-87E6-4356-A6C0-2FC538341497}"/>
    <hyperlink ref="F15" location="LenTypeCode" display="LenTypeCode" xr:uid="{581C2A8E-B568-4FE7-ADBF-BEE92D85DC25}"/>
    <hyperlink ref="H15" location="ProdTypeCode" display="ProdTypeCode" xr:uid="{8310579C-A4CD-406A-AECF-4D18ACA09262}"/>
    <hyperlink ref="N15" location="InjurSclCode" display="InjurSclCode" xr:uid="{BF83192F-80D3-42C9-ACFC-D4A336C7A801}"/>
  </hyperlink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AD204"/>
  <sheetViews>
    <sheetView topLeftCell="K3" zoomScaleNormal="100" workbookViewId="0">
      <selection activeCell="W3" sqref="W3:W17"/>
    </sheetView>
  </sheetViews>
  <sheetFormatPr defaultColWidth="9.07421875" defaultRowHeight="12" x14ac:dyDescent="0.35"/>
  <cols>
    <col min="1" max="1" width="18.15234375" style="200" bestFit="1" customWidth="1"/>
    <col min="2" max="2" width="6.69140625" style="200" bestFit="1" customWidth="1"/>
    <col min="3" max="3" width="7.3046875" style="200" bestFit="1" customWidth="1"/>
    <col min="4" max="4" width="51.61328125" style="200" bestFit="1" customWidth="1"/>
    <col min="5" max="6" width="7.3828125" style="200" bestFit="1" customWidth="1"/>
    <col min="7" max="7" width="2.765625" style="200" customWidth="1"/>
    <col min="8" max="8" width="8.84375" style="200" bestFit="1" customWidth="1"/>
    <col min="9" max="10" width="21.4609375" style="200" bestFit="1" customWidth="1"/>
    <col min="11" max="11" width="21.61328125" style="200" bestFit="1" customWidth="1"/>
    <col min="12" max="12" width="21.4609375" style="200" bestFit="1" customWidth="1"/>
    <col min="13" max="13" width="13.765625" style="200" bestFit="1" customWidth="1"/>
    <col min="14" max="14" width="9.3046875" style="200" bestFit="1" customWidth="1"/>
    <col min="15" max="15" width="2.765625" style="200" customWidth="1"/>
    <col min="16" max="16" width="7.07421875" style="200" bestFit="1" customWidth="1"/>
    <col min="17" max="17" width="41.921875" style="200" bestFit="1" customWidth="1"/>
    <col min="18" max="18" width="7.84375" style="200" bestFit="1" customWidth="1"/>
    <col min="19" max="19" width="2.765625" style="200" customWidth="1"/>
    <col min="20" max="20" width="12.84375" style="200" bestFit="1" customWidth="1"/>
    <col min="21" max="21" width="48.4609375" style="200" bestFit="1" customWidth="1"/>
    <col min="22" max="22" width="10.15234375" style="200" bestFit="1" customWidth="1"/>
    <col min="23" max="23" width="35.765625" style="200" bestFit="1" customWidth="1"/>
    <col min="24" max="24" width="29.4609375" style="200" bestFit="1" customWidth="1"/>
    <col min="25" max="25" width="21.15234375" style="200" bestFit="1" customWidth="1"/>
    <col min="26" max="26" width="18.765625" style="200" bestFit="1" customWidth="1"/>
    <col min="27" max="27" width="9.4609375" style="200" bestFit="1" customWidth="1"/>
    <col min="28" max="28" width="6.3828125" style="200" bestFit="1" customWidth="1"/>
    <col min="29" max="29" width="10.15234375" style="200" bestFit="1" customWidth="1"/>
    <col min="30" max="30" width="32.4609375" style="200" customWidth="1"/>
    <col min="31" max="31" width="18.765625" style="200" bestFit="1" customWidth="1"/>
    <col min="32" max="32" width="3.15234375" style="200" bestFit="1" customWidth="1"/>
    <col min="33" max="16384" width="9.07421875" style="200"/>
  </cols>
  <sheetData>
    <row r="1" spans="1:30" x14ac:dyDescent="0.35">
      <c r="A1" s="390" t="s">
        <v>2715</v>
      </c>
      <c r="B1" s="390"/>
      <c r="C1" s="390"/>
      <c r="D1" s="390"/>
      <c r="E1" s="390"/>
      <c r="F1" s="390"/>
      <c r="H1" s="390" t="s">
        <v>1004</v>
      </c>
      <c r="I1" s="390"/>
      <c r="J1" s="390"/>
      <c r="K1" s="390"/>
      <c r="L1" s="390"/>
      <c r="M1" s="390"/>
      <c r="N1" s="390"/>
      <c r="O1" s="230"/>
      <c r="P1" s="389" t="s">
        <v>2477</v>
      </c>
      <c r="Q1" s="389"/>
      <c r="R1" s="389"/>
      <c r="T1" s="391" t="s">
        <v>2650</v>
      </c>
      <c r="U1" s="391"/>
      <c r="W1" s="273" t="s">
        <v>2717</v>
      </c>
      <c r="X1" s="274" t="s">
        <v>2716</v>
      </c>
      <c r="Y1" s="274" t="s">
        <v>2676</v>
      </c>
      <c r="Z1" s="274" t="s">
        <v>2677</v>
      </c>
    </row>
    <row r="2" spans="1:30" x14ac:dyDescent="0.35">
      <c r="A2" s="203" t="s">
        <v>646</v>
      </c>
      <c r="B2" s="203" t="s">
        <v>1965</v>
      </c>
      <c r="C2" s="203" t="s">
        <v>1966</v>
      </c>
      <c r="D2" s="204" t="s">
        <v>2777</v>
      </c>
      <c r="E2" s="203" t="s">
        <v>647</v>
      </c>
      <c r="F2" s="203" t="s">
        <v>648</v>
      </c>
      <c r="H2" s="205" t="s">
        <v>1985</v>
      </c>
      <c r="I2" s="205" t="s">
        <v>1005</v>
      </c>
      <c r="J2" s="205" t="s">
        <v>1006</v>
      </c>
      <c r="K2" s="205" t="s">
        <v>1007</v>
      </c>
      <c r="L2" s="205" t="s">
        <v>1008</v>
      </c>
      <c r="M2" s="205" t="s">
        <v>1009</v>
      </c>
      <c r="N2" s="205" t="s">
        <v>1010</v>
      </c>
      <c r="O2" s="64"/>
      <c r="P2" s="257" t="s">
        <v>2167</v>
      </c>
      <c r="Q2" s="266" t="s">
        <v>577</v>
      </c>
      <c r="R2" s="258" t="s">
        <v>2478</v>
      </c>
      <c r="T2" s="232" t="s">
        <v>1398</v>
      </c>
      <c r="U2" s="233" t="s">
        <v>1753</v>
      </c>
      <c r="W2" s="234" t="s">
        <v>2685</v>
      </c>
      <c r="X2" s="235" t="s">
        <v>2686</v>
      </c>
      <c r="Y2" s="235" t="s">
        <v>2687</v>
      </c>
      <c r="Z2" s="236" t="s">
        <v>2688</v>
      </c>
      <c r="AA2" s="218" t="s">
        <v>2164</v>
      </c>
      <c r="AB2" s="218" t="s">
        <v>2184</v>
      </c>
      <c r="AC2" s="290" t="s">
        <v>2743</v>
      </c>
      <c r="AD2" s="289" t="s">
        <v>2745</v>
      </c>
    </row>
    <row r="3" spans="1:30" x14ac:dyDescent="0.35">
      <c r="A3" s="223" t="s">
        <v>649</v>
      </c>
      <c r="B3" s="194" t="s">
        <v>650</v>
      </c>
      <c r="C3" s="194" t="s">
        <v>651</v>
      </c>
      <c r="D3" s="201"/>
      <c r="E3" s="194" t="s">
        <v>650</v>
      </c>
      <c r="F3" s="194" t="s">
        <v>652</v>
      </c>
      <c r="H3" s="64" t="s">
        <v>1011</v>
      </c>
      <c r="I3" s="64" t="s">
        <v>1012</v>
      </c>
      <c r="J3" s="64" t="s">
        <v>1013</v>
      </c>
      <c r="K3" s="64" t="s">
        <v>1014</v>
      </c>
      <c r="L3" s="64" t="s">
        <v>1015</v>
      </c>
      <c r="M3" s="64" t="s">
        <v>1016</v>
      </c>
      <c r="N3" s="64" t="s">
        <v>1017</v>
      </c>
      <c r="O3" s="64"/>
      <c r="P3" s="267" t="s">
        <v>644</v>
      </c>
      <c r="Q3" s="194" t="s">
        <v>2479</v>
      </c>
      <c r="R3" s="268" t="s">
        <v>644</v>
      </c>
      <c r="T3" s="213" t="s">
        <v>1754</v>
      </c>
      <c r="U3" s="214" t="s">
        <v>1755</v>
      </c>
      <c r="W3" s="213" t="str">
        <f>AA3&amp;"-"&amp;AB3</f>
        <v>PS-Nset</v>
      </c>
      <c r="X3" s="200" t="s">
        <v>2663</v>
      </c>
      <c r="Y3" s="200" t="s">
        <v>2667</v>
      </c>
      <c r="Z3" s="200" t="s">
        <v>2672</v>
      </c>
      <c r="AA3" s="231" t="s">
        <v>645</v>
      </c>
      <c r="AB3" s="286" t="s">
        <v>2659</v>
      </c>
      <c r="AC3" s="287">
        <v>0.05</v>
      </c>
    </row>
    <row r="4" spans="1:30" x14ac:dyDescent="0.35">
      <c r="A4" s="223" t="s">
        <v>653</v>
      </c>
      <c r="B4" s="194" t="s">
        <v>654</v>
      </c>
      <c r="C4" s="194" t="s">
        <v>651</v>
      </c>
      <c r="D4" s="201"/>
      <c r="E4" s="194" t="s">
        <v>654</v>
      </c>
      <c r="F4" s="194" t="s">
        <v>655</v>
      </c>
      <c r="H4" s="64" t="s">
        <v>1018</v>
      </c>
      <c r="I4" s="64" t="s">
        <v>1019</v>
      </c>
      <c r="J4" s="64" t="s">
        <v>1020</v>
      </c>
      <c r="K4" s="64" t="s">
        <v>1021</v>
      </c>
      <c r="L4" s="64" t="s">
        <v>1022</v>
      </c>
      <c r="M4" s="64" t="s">
        <v>1016</v>
      </c>
      <c r="N4" s="64" t="s">
        <v>1017</v>
      </c>
      <c r="O4" s="64"/>
      <c r="P4" s="267" t="s">
        <v>578</v>
      </c>
      <c r="Q4" s="194" t="s">
        <v>2480</v>
      </c>
      <c r="R4" s="268" t="s">
        <v>644</v>
      </c>
      <c r="T4" s="215" t="s">
        <v>1581</v>
      </c>
      <c r="U4" s="216" t="s">
        <v>1756</v>
      </c>
      <c r="W4" s="213" t="str">
        <f t="shared" ref="W4" si="0">AA4&amp;"-"&amp;AB4</f>
        <v>PS-Ntrip</v>
      </c>
      <c r="X4" s="200" t="s">
        <v>2658</v>
      </c>
      <c r="Y4" s="200" t="s">
        <v>2668</v>
      </c>
      <c r="Z4" s="200" t="s">
        <v>2673</v>
      </c>
      <c r="AA4" s="231" t="s">
        <v>645</v>
      </c>
      <c r="AB4" s="228" t="s">
        <v>1888</v>
      </c>
      <c r="AC4" s="287">
        <v>0.05</v>
      </c>
    </row>
    <row r="5" spans="1:30" x14ac:dyDescent="0.35">
      <c r="A5" s="223" t="s">
        <v>656</v>
      </c>
      <c r="B5" s="194" t="s">
        <v>657</v>
      </c>
      <c r="C5" s="194" t="s">
        <v>651</v>
      </c>
      <c r="D5" s="201"/>
      <c r="E5" s="194" t="s">
        <v>657</v>
      </c>
      <c r="F5" s="194" t="s">
        <v>658</v>
      </c>
      <c r="H5" s="64" t="s">
        <v>650</v>
      </c>
      <c r="I5" s="64" t="s">
        <v>1023</v>
      </c>
      <c r="J5" s="64" t="s">
        <v>1021</v>
      </c>
      <c r="K5" s="64" t="s">
        <v>1024</v>
      </c>
      <c r="L5" s="64" t="s">
        <v>1025</v>
      </c>
      <c r="M5" s="64" t="s">
        <v>1016</v>
      </c>
      <c r="N5" s="64" t="s">
        <v>1017</v>
      </c>
      <c r="O5" s="64"/>
      <c r="P5" s="267" t="s">
        <v>580</v>
      </c>
      <c r="Q5" s="194" t="s">
        <v>2481</v>
      </c>
      <c r="R5" s="268" t="s">
        <v>644</v>
      </c>
      <c r="W5" s="284" t="s">
        <v>2742</v>
      </c>
      <c r="X5" s="284" t="s">
        <v>2663</v>
      </c>
      <c r="Y5" s="284" t="s">
        <v>2667</v>
      </c>
      <c r="Z5" s="284" t="s">
        <v>2672</v>
      </c>
      <c r="AA5" s="285" t="s">
        <v>645</v>
      </c>
      <c r="AB5" s="229" t="s">
        <v>2659</v>
      </c>
      <c r="AC5" s="287">
        <v>1</v>
      </c>
      <c r="AD5" s="284" t="s">
        <v>2747</v>
      </c>
    </row>
    <row r="6" spans="1:30" x14ac:dyDescent="0.35">
      <c r="A6" s="223" t="s">
        <v>659</v>
      </c>
      <c r="B6" s="194" t="s">
        <v>660</v>
      </c>
      <c r="C6" s="194" t="s">
        <v>651</v>
      </c>
      <c r="D6" s="201"/>
      <c r="E6" s="194" t="s">
        <v>660</v>
      </c>
      <c r="F6" s="194" t="s">
        <v>661</v>
      </c>
      <c r="H6" s="64" t="s">
        <v>1026</v>
      </c>
      <c r="I6" s="64" t="s">
        <v>1027</v>
      </c>
      <c r="J6" s="64" t="s">
        <v>1028</v>
      </c>
      <c r="K6" s="64" t="s">
        <v>1029</v>
      </c>
      <c r="L6" s="64" t="s">
        <v>1030</v>
      </c>
      <c r="M6" s="64" t="s">
        <v>1016</v>
      </c>
      <c r="N6" s="64" t="s">
        <v>1017</v>
      </c>
      <c r="O6" s="64"/>
      <c r="P6" s="267" t="s">
        <v>581</v>
      </c>
      <c r="Q6" s="194" t="s">
        <v>2482</v>
      </c>
      <c r="R6" s="268" t="s">
        <v>644</v>
      </c>
      <c r="W6" s="213" t="str">
        <f t="shared" ref="W6:W17" si="1">AA6&amp;"-"&amp;AB6</f>
        <v>LL-Nday</v>
      </c>
      <c r="X6" s="200" t="s">
        <v>2657</v>
      </c>
      <c r="Y6" s="200" t="s">
        <v>2666</v>
      </c>
      <c r="Z6" s="200" t="s">
        <v>2671</v>
      </c>
      <c r="AA6" s="214" t="s">
        <v>644</v>
      </c>
      <c r="AB6" s="228" t="s">
        <v>2660</v>
      </c>
      <c r="AC6" s="287">
        <v>0.05</v>
      </c>
    </row>
    <row r="7" spans="1:30" x14ac:dyDescent="0.35">
      <c r="A7" s="223" t="s">
        <v>662</v>
      </c>
      <c r="B7" s="194" t="s">
        <v>663</v>
      </c>
      <c r="C7" s="194" t="s">
        <v>651</v>
      </c>
      <c r="D7" s="201" t="s">
        <v>664</v>
      </c>
      <c r="E7" s="194" t="s">
        <v>663</v>
      </c>
      <c r="F7" s="194" t="s">
        <v>665</v>
      </c>
      <c r="H7" s="64" t="s">
        <v>1031</v>
      </c>
      <c r="I7" s="64" t="s">
        <v>1032</v>
      </c>
      <c r="J7" s="64" t="s">
        <v>1033</v>
      </c>
      <c r="K7" s="64" t="s">
        <v>1034</v>
      </c>
      <c r="L7" s="64" t="s">
        <v>1035</v>
      </c>
      <c r="M7" s="64" t="s">
        <v>1016</v>
      </c>
      <c r="N7" s="64" t="s">
        <v>1017</v>
      </c>
      <c r="O7" s="64"/>
      <c r="P7" s="267" t="s">
        <v>582</v>
      </c>
      <c r="Q7" s="194" t="s">
        <v>2483</v>
      </c>
      <c r="R7" s="268" t="s">
        <v>644</v>
      </c>
      <c r="T7" s="391" t="s">
        <v>1742</v>
      </c>
      <c r="U7" s="391"/>
      <c r="W7" s="213" t="str">
        <f t="shared" si="1"/>
        <v>LL-Nset</v>
      </c>
      <c r="X7" s="200" t="s">
        <v>2663</v>
      </c>
      <c r="Y7" s="200" t="s">
        <v>2667</v>
      </c>
      <c r="Z7" s="200" t="s">
        <v>2672</v>
      </c>
      <c r="AA7" s="214" t="s">
        <v>644</v>
      </c>
      <c r="AB7" s="228" t="s">
        <v>2659</v>
      </c>
      <c r="AC7" s="287">
        <v>0.05</v>
      </c>
    </row>
    <row r="8" spans="1:30" x14ac:dyDescent="0.35">
      <c r="A8" s="223" t="s">
        <v>666</v>
      </c>
      <c r="B8" s="194" t="s">
        <v>667</v>
      </c>
      <c r="C8" s="194" t="s">
        <v>651</v>
      </c>
      <c r="D8" s="201" t="s">
        <v>1582</v>
      </c>
      <c r="E8" s="194" t="s">
        <v>667</v>
      </c>
      <c r="F8" s="194" t="s">
        <v>668</v>
      </c>
      <c r="H8" s="64" t="s">
        <v>1036</v>
      </c>
      <c r="I8" s="64" t="s">
        <v>1037</v>
      </c>
      <c r="J8" s="64" t="s">
        <v>1038</v>
      </c>
      <c r="K8" s="64" t="s">
        <v>1039</v>
      </c>
      <c r="L8" s="64" t="s">
        <v>1040</v>
      </c>
      <c r="M8" s="64" t="s">
        <v>1016</v>
      </c>
      <c r="N8" s="64" t="s">
        <v>1017</v>
      </c>
      <c r="O8" s="64"/>
      <c r="P8" s="269" t="s">
        <v>2484</v>
      </c>
      <c r="Q8" s="247" t="s">
        <v>2485</v>
      </c>
      <c r="R8" s="268" t="s">
        <v>644</v>
      </c>
      <c r="T8" s="232" t="s">
        <v>1743</v>
      </c>
      <c r="U8" s="236" t="s">
        <v>1744</v>
      </c>
      <c r="V8" s="64" t="s">
        <v>2168</v>
      </c>
      <c r="W8" s="213" t="str">
        <f t="shared" si="1"/>
        <v>LL-Ntrip</v>
      </c>
      <c r="X8" s="200" t="s">
        <v>2658</v>
      </c>
      <c r="Y8" s="200" t="s">
        <v>2668</v>
      </c>
      <c r="Z8" s="200" t="s">
        <v>2673</v>
      </c>
      <c r="AA8" s="216" t="s">
        <v>644</v>
      </c>
      <c r="AB8" s="229" t="s">
        <v>1888</v>
      </c>
      <c r="AC8" s="287">
        <v>0.05</v>
      </c>
    </row>
    <row r="9" spans="1:30" x14ac:dyDescent="0.35">
      <c r="A9" s="223" t="s">
        <v>669</v>
      </c>
      <c r="B9" s="194" t="s">
        <v>670</v>
      </c>
      <c r="C9" s="194" t="s">
        <v>651</v>
      </c>
      <c r="D9" s="201"/>
      <c r="E9" s="194" t="s">
        <v>670</v>
      </c>
      <c r="F9" s="194" t="s">
        <v>671</v>
      </c>
      <c r="H9" s="64" t="s">
        <v>1041</v>
      </c>
      <c r="I9" s="64" t="s">
        <v>1042</v>
      </c>
      <c r="J9" s="64" t="s">
        <v>1043</v>
      </c>
      <c r="K9" s="64" t="s">
        <v>1044</v>
      </c>
      <c r="L9" s="64" t="s">
        <v>1045</v>
      </c>
      <c r="M9" s="64" t="s">
        <v>1016</v>
      </c>
      <c r="N9" s="64" t="s">
        <v>1017</v>
      </c>
      <c r="O9" s="64"/>
      <c r="P9" s="267" t="s">
        <v>583</v>
      </c>
      <c r="Q9" s="194" t="s">
        <v>2486</v>
      </c>
      <c r="R9" s="268" t="s">
        <v>644</v>
      </c>
      <c r="T9" s="213" t="s">
        <v>1745</v>
      </c>
      <c r="U9" s="214" t="s">
        <v>1746</v>
      </c>
      <c r="V9" s="64" t="s">
        <v>1945</v>
      </c>
      <c r="W9" s="213" t="str">
        <f t="shared" si="1"/>
        <v>GN-Nhour</v>
      </c>
      <c r="X9" s="200" t="s">
        <v>2664</v>
      </c>
      <c r="Y9" s="200" t="s">
        <v>2669</v>
      </c>
      <c r="Z9" s="200" t="s">
        <v>2674</v>
      </c>
      <c r="AA9" s="214" t="s">
        <v>746</v>
      </c>
      <c r="AB9" s="237" t="s">
        <v>2661</v>
      </c>
      <c r="AC9" s="287">
        <v>0.05</v>
      </c>
    </row>
    <row r="10" spans="1:30" x14ac:dyDescent="0.35">
      <c r="A10" s="223" t="s">
        <v>672</v>
      </c>
      <c r="B10" s="194" t="s">
        <v>673</v>
      </c>
      <c r="C10" s="194" t="s">
        <v>651</v>
      </c>
      <c r="D10" s="201" t="s">
        <v>674</v>
      </c>
      <c r="E10" s="194" t="s">
        <v>673</v>
      </c>
      <c r="F10" s="194" t="s">
        <v>675</v>
      </c>
      <c r="H10" s="64" t="s">
        <v>1046</v>
      </c>
      <c r="I10" s="64" t="s">
        <v>2044</v>
      </c>
      <c r="J10" s="64" t="s">
        <v>1047</v>
      </c>
      <c r="K10" s="64" t="s">
        <v>1048</v>
      </c>
      <c r="L10" s="64" t="s">
        <v>1049</v>
      </c>
      <c r="M10" s="64" t="s">
        <v>1016</v>
      </c>
      <c r="N10" s="64" t="s">
        <v>1017</v>
      </c>
      <c r="O10" s="64"/>
      <c r="P10" s="267" t="s">
        <v>579</v>
      </c>
      <c r="Q10" s="194" t="s">
        <v>2487</v>
      </c>
      <c r="R10" s="268" t="s">
        <v>644</v>
      </c>
      <c r="T10" s="213" t="s">
        <v>1747</v>
      </c>
      <c r="U10" s="214" t="s">
        <v>1748</v>
      </c>
      <c r="V10" s="64" t="s">
        <v>1946</v>
      </c>
      <c r="W10" s="213" t="str">
        <f t="shared" si="1"/>
        <v>GN-Nday</v>
      </c>
      <c r="X10" s="200" t="s">
        <v>2657</v>
      </c>
      <c r="Y10" s="200" t="s">
        <v>2666</v>
      </c>
      <c r="Z10" s="200" t="s">
        <v>2671</v>
      </c>
      <c r="AA10" s="216" t="s">
        <v>746</v>
      </c>
      <c r="AB10" s="229" t="s">
        <v>2660</v>
      </c>
      <c r="AC10" s="287">
        <v>0.05</v>
      </c>
    </row>
    <row r="11" spans="1:30" x14ac:dyDescent="0.35">
      <c r="A11" s="223" t="s">
        <v>676</v>
      </c>
      <c r="B11" s="194" t="s">
        <v>677</v>
      </c>
      <c r="C11" s="194" t="s">
        <v>651</v>
      </c>
      <c r="D11" s="201"/>
      <c r="E11" s="194" t="s">
        <v>677</v>
      </c>
      <c r="F11" s="194" t="s">
        <v>678</v>
      </c>
      <c r="H11" s="64" t="s">
        <v>1050</v>
      </c>
      <c r="I11" s="64" t="s">
        <v>1051</v>
      </c>
      <c r="J11" s="64" t="s">
        <v>1052</v>
      </c>
      <c r="K11" s="64" t="s">
        <v>1053</v>
      </c>
      <c r="L11" s="64" t="s">
        <v>1054</v>
      </c>
      <c r="M11" s="64" t="s">
        <v>1016</v>
      </c>
      <c r="N11" s="64" t="s">
        <v>1017</v>
      </c>
      <c r="O11" s="64"/>
      <c r="P11" s="267" t="s">
        <v>2488</v>
      </c>
      <c r="Q11" s="194" t="s">
        <v>2489</v>
      </c>
      <c r="R11" s="268" t="s">
        <v>644</v>
      </c>
      <c r="T11" s="213" t="s">
        <v>1749</v>
      </c>
      <c r="U11" s="214" t="s">
        <v>1750</v>
      </c>
      <c r="V11" s="64" t="s">
        <v>1947</v>
      </c>
      <c r="W11" s="213" t="str">
        <f t="shared" si="1"/>
        <v>TW-Nhauls</v>
      </c>
      <c r="X11" s="200" t="s">
        <v>2665</v>
      </c>
      <c r="Y11" s="200" t="s">
        <v>2670</v>
      </c>
      <c r="Z11" s="200" t="s">
        <v>2675</v>
      </c>
      <c r="AA11" s="214" t="s">
        <v>845</v>
      </c>
      <c r="AB11" s="228" t="s">
        <v>2662</v>
      </c>
      <c r="AC11" s="287">
        <v>0.05</v>
      </c>
    </row>
    <row r="12" spans="1:30" x14ac:dyDescent="0.35">
      <c r="A12" s="223" t="s">
        <v>846</v>
      </c>
      <c r="B12" s="194" t="s">
        <v>847</v>
      </c>
      <c r="C12" s="194" t="s">
        <v>651</v>
      </c>
      <c r="D12" s="201" t="s">
        <v>664</v>
      </c>
      <c r="E12" s="194" t="s">
        <v>847</v>
      </c>
      <c r="F12" s="194" t="s">
        <v>848</v>
      </c>
      <c r="H12" s="64" t="s">
        <v>1055</v>
      </c>
      <c r="I12" s="64" t="s">
        <v>1056</v>
      </c>
      <c r="J12" s="64" t="s">
        <v>1057</v>
      </c>
      <c r="K12" s="64" t="s">
        <v>1058</v>
      </c>
      <c r="L12" s="64" t="s">
        <v>1059</v>
      </c>
      <c r="M12" s="96" t="s">
        <v>1016</v>
      </c>
      <c r="N12" s="96" t="s">
        <v>1017</v>
      </c>
      <c r="O12" s="64"/>
      <c r="P12" s="269" t="s">
        <v>2490</v>
      </c>
      <c r="Q12" s="247" t="s">
        <v>2491</v>
      </c>
      <c r="R12" s="268" t="s">
        <v>644</v>
      </c>
      <c r="T12" s="215" t="s">
        <v>1751</v>
      </c>
      <c r="U12" s="216" t="s">
        <v>1752</v>
      </c>
      <c r="V12" s="64" t="s">
        <v>1948</v>
      </c>
      <c r="W12" s="215" t="str">
        <f t="shared" si="1"/>
        <v>TW-Nday</v>
      </c>
      <c r="X12" s="238" t="s">
        <v>2657</v>
      </c>
      <c r="Y12" s="238" t="s">
        <v>2666</v>
      </c>
      <c r="Z12" s="238" t="s">
        <v>2671</v>
      </c>
      <c r="AA12" s="216" t="s">
        <v>845</v>
      </c>
      <c r="AB12" s="229" t="s">
        <v>2660</v>
      </c>
      <c r="AC12" s="287">
        <v>0.05</v>
      </c>
    </row>
    <row r="13" spans="1:30" x14ac:dyDescent="0.35">
      <c r="A13" s="223" t="s">
        <v>1390</v>
      </c>
      <c r="B13" s="194" t="s">
        <v>679</v>
      </c>
      <c r="C13" s="194" t="s">
        <v>651</v>
      </c>
      <c r="D13" s="201" t="s">
        <v>680</v>
      </c>
      <c r="E13" s="194" t="s">
        <v>679</v>
      </c>
      <c r="F13" s="194" t="s">
        <v>681</v>
      </c>
      <c r="H13" s="64" t="s">
        <v>1102</v>
      </c>
      <c r="I13" s="64" t="s">
        <v>1103</v>
      </c>
      <c r="J13" s="64" t="s">
        <v>1104</v>
      </c>
      <c r="K13" s="64" t="s">
        <v>1105</v>
      </c>
      <c r="L13" s="64" t="s">
        <v>1106</v>
      </c>
      <c r="M13" s="64" t="s">
        <v>1689</v>
      </c>
      <c r="N13" s="64" t="s">
        <v>1017</v>
      </c>
      <c r="O13" s="64"/>
      <c r="P13" s="267" t="s">
        <v>2492</v>
      </c>
      <c r="Q13" s="194" t="s">
        <v>2493</v>
      </c>
      <c r="R13" s="268" t="s">
        <v>644</v>
      </c>
      <c r="W13" s="213" t="str">
        <f t="shared" si="1"/>
        <v>BB-Nday</v>
      </c>
      <c r="X13" s="200" t="s">
        <v>2657</v>
      </c>
      <c r="Y13" s="200" t="s">
        <v>2666</v>
      </c>
      <c r="Z13" s="200" t="s">
        <v>2671</v>
      </c>
      <c r="AA13" s="200" t="s">
        <v>661</v>
      </c>
      <c r="AB13" s="214" t="s">
        <v>2660</v>
      </c>
      <c r="AC13" s="287">
        <v>0.05</v>
      </c>
    </row>
    <row r="14" spans="1:30" x14ac:dyDescent="0.35">
      <c r="A14" s="223" t="s">
        <v>2561</v>
      </c>
      <c r="B14" s="194" t="s">
        <v>2562</v>
      </c>
      <c r="C14" s="194" t="s">
        <v>651</v>
      </c>
      <c r="D14" s="194"/>
      <c r="E14" s="194" t="s">
        <v>1583</v>
      </c>
      <c r="F14" s="194" t="s">
        <v>1584</v>
      </c>
      <c r="H14" s="64" t="s">
        <v>1107</v>
      </c>
      <c r="I14" s="64" t="s">
        <v>1108</v>
      </c>
      <c r="J14" s="64" t="s">
        <v>1109</v>
      </c>
      <c r="K14" s="64" t="s">
        <v>1110</v>
      </c>
      <c r="L14" s="64" t="s">
        <v>1111</v>
      </c>
      <c r="M14" s="64" t="s">
        <v>1689</v>
      </c>
      <c r="N14" s="64" t="s">
        <v>1017</v>
      </c>
      <c r="O14" s="64"/>
      <c r="P14" s="267" t="s">
        <v>584</v>
      </c>
      <c r="Q14" s="194" t="s">
        <v>2494</v>
      </c>
      <c r="R14" s="268" t="s">
        <v>644</v>
      </c>
      <c r="W14" s="213" t="str">
        <f t="shared" si="1"/>
        <v>TP-Nday</v>
      </c>
      <c r="X14" s="200" t="s">
        <v>2657</v>
      </c>
      <c r="Y14" s="200" t="s">
        <v>2666</v>
      </c>
      <c r="Z14" s="200" t="s">
        <v>2671</v>
      </c>
      <c r="AA14" s="64" t="s">
        <v>1000</v>
      </c>
      <c r="AB14" s="214" t="s">
        <v>2660</v>
      </c>
      <c r="AC14" s="287">
        <v>0.05</v>
      </c>
    </row>
    <row r="15" spans="1:30" x14ac:dyDescent="0.35">
      <c r="A15" s="223" t="s">
        <v>2563</v>
      </c>
      <c r="B15" s="194" t="s">
        <v>2564</v>
      </c>
      <c r="C15" s="194" t="s">
        <v>651</v>
      </c>
      <c r="D15" s="201"/>
      <c r="E15" s="194" t="s">
        <v>685</v>
      </c>
      <c r="F15" s="194" t="s">
        <v>686</v>
      </c>
      <c r="H15" s="64" t="s">
        <v>1112</v>
      </c>
      <c r="I15" s="64" t="s">
        <v>1113</v>
      </c>
      <c r="J15" s="64" t="s">
        <v>1114</v>
      </c>
      <c r="K15" s="64" t="s">
        <v>1115</v>
      </c>
      <c r="L15" s="64" t="s">
        <v>1116</v>
      </c>
      <c r="M15" s="64" t="s">
        <v>1689</v>
      </c>
      <c r="N15" s="64" t="s">
        <v>1017</v>
      </c>
      <c r="O15" s="64"/>
      <c r="P15" s="267" t="s">
        <v>645</v>
      </c>
      <c r="Q15" s="194" t="s">
        <v>2495</v>
      </c>
      <c r="R15" s="268" t="s">
        <v>645</v>
      </c>
      <c r="T15" s="393" t="s">
        <v>2163</v>
      </c>
      <c r="U15" s="393"/>
      <c r="W15" s="213" t="str">
        <f t="shared" si="1"/>
        <v>TR-Nday</v>
      </c>
      <c r="X15" s="200" t="s">
        <v>2657</v>
      </c>
      <c r="Y15" s="200" t="s">
        <v>2666</v>
      </c>
      <c r="Z15" s="200" t="s">
        <v>2671</v>
      </c>
      <c r="AA15" s="200" t="s">
        <v>817</v>
      </c>
      <c r="AB15" s="214" t="s">
        <v>2660</v>
      </c>
      <c r="AC15" s="287">
        <v>0.05</v>
      </c>
    </row>
    <row r="16" spans="1:30" x14ac:dyDescent="0.35">
      <c r="A16" s="223" t="s">
        <v>2565</v>
      </c>
      <c r="B16" s="194" t="s">
        <v>2566</v>
      </c>
      <c r="C16" s="194" t="s">
        <v>651</v>
      </c>
      <c r="D16" s="201"/>
      <c r="E16" s="194" t="s">
        <v>687</v>
      </c>
      <c r="F16" s="194" t="s">
        <v>688</v>
      </c>
      <c r="H16" s="64" t="s">
        <v>1117</v>
      </c>
      <c r="I16" s="64" t="s">
        <v>1118</v>
      </c>
      <c r="J16" s="64" t="s">
        <v>1119</v>
      </c>
      <c r="K16" s="64" t="s">
        <v>1120</v>
      </c>
      <c r="L16" s="64" t="s">
        <v>1121</v>
      </c>
      <c r="M16" s="64" t="s">
        <v>1689</v>
      </c>
      <c r="N16" s="64" t="s">
        <v>1017</v>
      </c>
      <c r="O16" s="64"/>
      <c r="P16" s="267" t="s">
        <v>2496</v>
      </c>
      <c r="Q16" s="194" t="s">
        <v>2497</v>
      </c>
      <c r="R16" s="268" t="s">
        <v>645</v>
      </c>
      <c r="T16" s="232" t="s">
        <v>2164</v>
      </c>
      <c r="U16" s="236" t="s">
        <v>1757</v>
      </c>
      <c r="W16" s="213" t="str">
        <f t="shared" si="1"/>
        <v>RR-Nday</v>
      </c>
      <c r="X16" s="200" t="s">
        <v>2657</v>
      </c>
      <c r="Y16" s="200" t="s">
        <v>2666</v>
      </c>
      <c r="Z16" s="200" t="s">
        <v>2671</v>
      </c>
      <c r="AA16" s="200" t="s">
        <v>998</v>
      </c>
      <c r="AB16" s="214" t="s">
        <v>2660</v>
      </c>
      <c r="AC16" s="287">
        <v>0.05</v>
      </c>
    </row>
    <row r="17" spans="1:29" x14ac:dyDescent="0.35">
      <c r="A17" s="223" t="s">
        <v>2567</v>
      </c>
      <c r="B17" s="194" t="s">
        <v>2568</v>
      </c>
      <c r="C17" s="194" t="s">
        <v>651</v>
      </c>
      <c r="D17" s="201" t="s">
        <v>1585</v>
      </c>
      <c r="E17" s="194" t="s">
        <v>689</v>
      </c>
      <c r="F17" s="194" t="s">
        <v>690</v>
      </c>
      <c r="H17" s="64" t="s">
        <v>1122</v>
      </c>
      <c r="I17" s="64" t="s">
        <v>1123</v>
      </c>
      <c r="J17" s="64" t="s">
        <v>1124</v>
      </c>
      <c r="K17" s="64" t="s">
        <v>1125</v>
      </c>
      <c r="L17" s="64" t="s">
        <v>1126</v>
      </c>
      <c r="M17" s="64" t="s">
        <v>1689</v>
      </c>
      <c r="N17" s="64" t="s">
        <v>1017</v>
      </c>
      <c r="O17" s="64"/>
      <c r="P17" s="267" t="s">
        <v>2498</v>
      </c>
      <c r="Q17" s="194" t="s">
        <v>2499</v>
      </c>
      <c r="R17" s="268" t="s">
        <v>645</v>
      </c>
      <c r="T17" s="199" t="s">
        <v>644</v>
      </c>
      <c r="U17" s="239" t="s">
        <v>1762</v>
      </c>
      <c r="W17" s="215" t="str">
        <f t="shared" si="1"/>
        <v>HP-Nday</v>
      </c>
      <c r="X17" s="238" t="s">
        <v>2657</v>
      </c>
      <c r="Y17" s="238" t="s">
        <v>2666</v>
      </c>
      <c r="Z17" s="238" t="s">
        <v>2671</v>
      </c>
      <c r="AA17" s="238" t="s">
        <v>996</v>
      </c>
      <c r="AB17" s="216" t="s">
        <v>2660</v>
      </c>
      <c r="AC17" s="288">
        <v>0.05</v>
      </c>
    </row>
    <row r="18" spans="1:29" x14ac:dyDescent="0.35">
      <c r="A18" s="223" t="s">
        <v>2569</v>
      </c>
      <c r="B18" s="194" t="s">
        <v>2570</v>
      </c>
      <c r="C18" s="194" t="s">
        <v>651</v>
      </c>
      <c r="D18" s="201" t="s">
        <v>1585</v>
      </c>
      <c r="E18" s="194" t="s">
        <v>691</v>
      </c>
      <c r="F18" s="194" t="s">
        <v>692</v>
      </c>
      <c r="H18" s="64" t="s">
        <v>1127</v>
      </c>
      <c r="I18" s="64" t="s">
        <v>1128</v>
      </c>
      <c r="J18" s="64" t="s">
        <v>1129</v>
      </c>
      <c r="K18" s="64" t="s">
        <v>1130</v>
      </c>
      <c r="L18" s="64" t="s">
        <v>1131</v>
      </c>
      <c r="M18" s="64" t="s">
        <v>1689</v>
      </c>
      <c r="N18" s="64" t="s">
        <v>1017</v>
      </c>
      <c r="O18" s="64"/>
      <c r="P18" s="267" t="s">
        <v>2500</v>
      </c>
      <c r="Q18" s="194" t="s">
        <v>2501</v>
      </c>
      <c r="R18" s="268" t="s">
        <v>645</v>
      </c>
      <c r="T18" s="199" t="s">
        <v>645</v>
      </c>
      <c r="U18" s="239" t="s">
        <v>2165</v>
      </c>
    </row>
    <row r="19" spans="1:29" x14ac:dyDescent="0.35">
      <c r="A19" s="223" t="s">
        <v>2571</v>
      </c>
      <c r="B19" s="194" t="s">
        <v>2572</v>
      </c>
      <c r="C19" s="194" t="s">
        <v>651</v>
      </c>
      <c r="D19" s="224"/>
      <c r="E19" s="194" t="s">
        <v>1362</v>
      </c>
      <c r="F19" s="194" t="s">
        <v>1967</v>
      </c>
      <c r="H19" s="64" t="s">
        <v>1132</v>
      </c>
      <c r="I19" s="64" t="s">
        <v>1133</v>
      </c>
      <c r="J19" s="64" t="s">
        <v>1134</v>
      </c>
      <c r="K19" s="64" t="s">
        <v>1135</v>
      </c>
      <c r="L19" s="64" t="s">
        <v>1136</v>
      </c>
      <c r="M19" s="64" t="s">
        <v>1689</v>
      </c>
      <c r="N19" s="64" t="s">
        <v>1017</v>
      </c>
      <c r="O19" s="64"/>
      <c r="P19" s="267" t="s">
        <v>2502</v>
      </c>
      <c r="Q19" s="194" t="s">
        <v>2503</v>
      </c>
      <c r="R19" s="268" t="s">
        <v>645</v>
      </c>
      <c r="T19" s="199" t="s">
        <v>1000</v>
      </c>
      <c r="U19" s="239" t="s">
        <v>1759</v>
      </c>
      <c r="W19" s="231"/>
      <c r="Y19" s="231"/>
    </row>
    <row r="20" spans="1:29" x14ac:dyDescent="0.35">
      <c r="A20" s="223" t="s">
        <v>2573</v>
      </c>
      <c r="B20" s="194" t="s">
        <v>2574</v>
      </c>
      <c r="C20" s="194" t="s">
        <v>651</v>
      </c>
      <c r="D20" s="201"/>
      <c r="E20" s="194" t="s">
        <v>693</v>
      </c>
      <c r="F20" s="194" t="s">
        <v>694</v>
      </c>
      <c r="H20" s="64" t="s">
        <v>1137</v>
      </c>
      <c r="I20" s="64" t="s">
        <v>1138</v>
      </c>
      <c r="J20" s="64" t="s">
        <v>1139</v>
      </c>
      <c r="K20" s="64" t="s">
        <v>1140</v>
      </c>
      <c r="L20" s="64" t="s">
        <v>1141</v>
      </c>
      <c r="M20" s="64" t="s">
        <v>1689</v>
      </c>
      <c r="N20" s="64" t="s">
        <v>1017</v>
      </c>
      <c r="O20" s="64"/>
      <c r="P20" s="267" t="s">
        <v>2504</v>
      </c>
      <c r="Q20" s="194" t="s">
        <v>2505</v>
      </c>
      <c r="R20" s="268" t="s">
        <v>645</v>
      </c>
      <c r="T20" s="199" t="s">
        <v>661</v>
      </c>
      <c r="U20" s="239" t="s">
        <v>1761</v>
      </c>
    </row>
    <row r="21" spans="1:29" x14ac:dyDescent="0.35">
      <c r="A21" s="223" t="s">
        <v>2575</v>
      </c>
      <c r="B21" s="194" t="s">
        <v>2576</v>
      </c>
      <c r="C21" s="194" t="s">
        <v>651</v>
      </c>
      <c r="D21" s="201" t="s">
        <v>1586</v>
      </c>
      <c r="E21" s="194" t="s">
        <v>695</v>
      </c>
      <c r="F21" s="194" t="s">
        <v>696</v>
      </c>
      <c r="H21" s="64" t="s">
        <v>1147</v>
      </c>
      <c r="I21" s="64" t="s">
        <v>1148</v>
      </c>
      <c r="J21" s="64" t="s">
        <v>1149</v>
      </c>
      <c r="K21" s="64" t="s">
        <v>1150</v>
      </c>
      <c r="L21" s="64" t="s">
        <v>1151</v>
      </c>
      <c r="M21" s="64" t="s">
        <v>1689</v>
      </c>
      <c r="N21" s="64" t="s">
        <v>1017</v>
      </c>
      <c r="O21" s="64"/>
      <c r="P21" s="267" t="s">
        <v>2506</v>
      </c>
      <c r="Q21" s="194" t="s">
        <v>2507</v>
      </c>
      <c r="R21" s="268" t="s">
        <v>645</v>
      </c>
      <c r="T21" s="199" t="s">
        <v>845</v>
      </c>
      <c r="U21" s="239" t="s">
        <v>2166</v>
      </c>
    </row>
    <row r="22" spans="1:29" x14ac:dyDescent="0.35">
      <c r="A22" s="223" t="s">
        <v>2577</v>
      </c>
      <c r="B22" s="194" t="s">
        <v>2578</v>
      </c>
      <c r="C22" s="194" t="s">
        <v>651</v>
      </c>
      <c r="D22" s="201"/>
      <c r="E22" s="194" t="s">
        <v>697</v>
      </c>
      <c r="F22" s="194" t="s">
        <v>698</v>
      </c>
      <c r="H22" s="64" t="s">
        <v>1152</v>
      </c>
      <c r="I22" s="64" t="s">
        <v>1153</v>
      </c>
      <c r="J22" s="64" t="s">
        <v>1154</v>
      </c>
      <c r="K22" s="64" t="s">
        <v>1155</v>
      </c>
      <c r="L22" s="64" t="s">
        <v>1156</v>
      </c>
      <c r="M22" s="64" t="s">
        <v>1689</v>
      </c>
      <c r="N22" s="64" t="s">
        <v>1017</v>
      </c>
      <c r="O22" s="64"/>
      <c r="P22" s="267" t="s">
        <v>2508</v>
      </c>
      <c r="Q22" s="194" t="s">
        <v>2509</v>
      </c>
      <c r="R22" s="268" t="s">
        <v>645</v>
      </c>
      <c r="T22" s="199" t="s">
        <v>817</v>
      </c>
      <c r="U22" s="239" t="s">
        <v>1001</v>
      </c>
      <c r="W22" s="389" t="s">
        <v>1882</v>
      </c>
      <c r="X22" s="389"/>
      <c r="Y22" s="389"/>
    </row>
    <row r="23" spans="1:29" x14ac:dyDescent="0.35">
      <c r="A23" s="223" t="s">
        <v>2579</v>
      </c>
      <c r="B23" s="194" t="s">
        <v>2580</v>
      </c>
      <c r="C23" s="194" t="s">
        <v>651</v>
      </c>
      <c r="D23" s="224"/>
      <c r="E23" s="194" t="s">
        <v>1968</v>
      </c>
      <c r="F23" s="194" t="s">
        <v>1969</v>
      </c>
      <c r="H23" s="64" t="s">
        <v>1157</v>
      </c>
      <c r="I23" s="64" t="s">
        <v>1158</v>
      </c>
      <c r="J23" s="64" t="s">
        <v>1159</v>
      </c>
      <c r="K23" s="64" t="s">
        <v>1160</v>
      </c>
      <c r="L23" s="64" t="s">
        <v>1161</v>
      </c>
      <c r="M23" s="64" t="s">
        <v>1689</v>
      </c>
      <c r="N23" s="64" t="s">
        <v>1017</v>
      </c>
      <c r="O23" s="64"/>
      <c r="P23" s="267" t="s">
        <v>2510</v>
      </c>
      <c r="Q23" s="194" t="s">
        <v>2511</v>
      </c>
      <c r="R23" s="268" t="s">
        <v>1000</v>
      </c>
      <c r="T23" s="199" t="s">
        <v>746</v>
      </c>
      <c r="U23" s="239" t="s">
        <v>1758</v>
      </c>
      <c r="W23" s="234" t="s">
        <v>614</v>
      </c>
      <c r="X23" s="240" t="s">
        <v>1874</v>
      </c>
      <c r="Y23" s="241" t="s">
        <v>1875</v>
      </c>
    </row>
    <row r="24" spans="1:29" x14ac:dyDescent="0.35">
      <c r="A24" s="223" t="s">
        <v>2581</v>
      </c>
      <c r="B24" s="194" t="s">
        <v>2582</v>
      </c>
      <c r="C24" s="194" t="s">
        <v>651</v>
      </c>
      <c r="D24" s="201" t="s">
        <v>1587</v>
      </c>
      <c r="E24" s="194" t="s">
        <v>699</v>
      </c>
      <c r="F24" s="194" t="s">
        <v>700</v>
      </c>
      <c r="H24" s="64" t="s">
        <v>1162</v>
      </c>
      <c r="I24" s="64" t="s">
        <v>1163</v>
      </c>
      <c r="J24" s="64" t="s">
        <v>1164</v>
      </c>
      <c r="K24" s="64" t="s">
        <v>1165</v>
      </c>
      <c r="L24" s="64" t="s">
        <v>1166</v>
      </c>
      <c r="M24" s="64" t="s">
        <v>1689</v>
      </c>
      <c r="N24" s="64" t="s">
        <v>1017</v>
      </c>
      <c r="O24" s="64"/>
      <c r="P24" s="267" t="s">
        <v>2512</v>
      </c>
      <c r="Q24" s="194" t="s">
        <v>2513</v>
      </c>
      <c r="R24" s="268" t="s">
        <v>1000</v>
      </c>
      <c r="T24" s="199" t="s">
        <v>998</v>
      </c>
      <c r="U24" s="239" t="s">
        <v>999</v>
      </c>
      <c r="W24" s="199">
        <v>1</v>
      </c>
      <c r="X24" s="200" t="s">
        <v>565</v>
      </c>
      <c r="Y24" s="239" t="s">
        <v>1876</v>
      </c>
    </row>
    <row r="25" spans="1:29" x14ac:dyDescent="0.35">
      <c r="A25" s="223" t="s">
        <v>2583</v>
      </c>
      <c r="B25" s="194" t="s">
        <v>2584</v>
      </c>
      <c r="C25" s="194" t="s">
        <v>651</v>
      </c>
      <c r="D25" s="201"/>
      <c r="E25" s="194" t="s">
        <v>701</v>
      </c>
      <c r="F25" s="194" t="s">
        <v>702</v>
      </c>
      <c r="H25" s="64" t="s">
        <v>1167</v>
      </c>
      <c r="I25" s="64" t="s">
        <v>1168</v>
      </c>
      <c r="J25" s="64" t="s">
        <v>1169</v>
      </c>
      <c r="K25" s="64" t="s">
        <v>1170</v>
      </c>
      <c r="L25" s="64" t="s">
        <v>1171</v>
      </c>
      <c r="M25" s="96" t="s">
        <v>1689</v>
      </c>
      <c r="N25" s="96" t="s">
        <v>1017</v>
      </c>
      <c r="O25" s="64"/>
      <c r="P25" s="267" t="s">
        <v>2514</v>
      </c>
      <c r="Q25" s="194" t="s">
        <v>2515</v>
      </c>
      <c r="R25" s="268" t="s">
        <v>1000</v>
      </c>
      <c r="T25" s="199" t="s">
        <v>996</v>
      </c>
      <c r="U25" s="239" t="s">
        <v>997</v>
      </c>
      <c r="W25" s="199">
        <v>2</v>
      </c>
      <c r="X25" s="200" t="s">
        <v>566</v>
      </c>
      <c r="Y25" s="239" t="s">
        <v>1876</v>
      </c>
    </row>
    <row r="26" spans="1:29" x14ac:dyDescent="0.35">
      <c r="A26" s="223" t="s">
        <v>2585</v>
      </c>
      <c r="B26" s="194" t="s">
        <v>2586</v>
      </c>
      <c r="C26" s="194" t="s">
        <v>651</v>
      </c>
      <c r="D26" s="201" t="s">
        <v>1585</v>
      </c>
      <c r="E26" s="194" t="s">
        <v>703</v>
      </c>
      <c r="F26" s="194" t="s">
        <v>704</v>
      </c>
      <c r="H26" s="64" t="s">
        <v>1060</v>
      </c>
      <c r="I26" s="64" t="s">
        <v>1061</v>
      </c>
      <c r="J26" s="64" t="s">
        <v>1062</v>
      </c>
      <c r="K26" s="64" t="s">
        <v>1063</v>
      </c>
      <c r="L26" s="64" t="s">
        <v>1064</v>
      </c>
      <c r="M26" s="64" t="s">
        <v>1690</v>
      </c>
      <c r="N26" s="64" t="s">
        <v>1017</v>
      </c>
      <c r="O26" s="64"/>
      <c r="P26" s="267" t="s">
        <v>661</v>
      </c>
      <c r="Q26" s="194" t="s">
        <v>2516</v>
      </c>
      <c r="R26" s="268" t="s">
        <v>661</v>
      </c>
      <c r="T26" s="199" t="s">
        <v>995</v>
      </c>
      <c r="U26" s="239" t="s">
        <v>1760</v>
      </c>
      <c r="W26" s="199">
        <v>3</v>
      </c>
      <c r="X26" s="200" t="s">
        <v>567</v>
      </c>
      <c r="Y26" s="239" t="s">
        <v>1876</v>
      </c>
    </row>
    <row r="27" spans="1:29" x14ac:dyDescent="0.35">
      <c r="A27" s="223" t="s">
        <v>2587</v>
      </c>
      <c r="B27" s="194" t="s">
        <v>2588</v>
      </c>
      <c r="C27" s="194" t="s">
        <v>651</v>
      </c>
      <c r="D27" s="64"/>
      <c r="E27" s="194" t="s">
        <v>705</v>
      </c>
      <c r="F27" s="194" t="s">
        <v>706</v>
      </c>
      <c r="H27" s="64" t="s">
        <v>1277</v>
      </c>
      <c r="I27" s="64" t="s">
        <v>25</v>
      </c>
      <c r="J27" s="64" t="s">
        <v>162</v>
      </c>
      <c r="K27" s="64" t="s">
        <v>163</v>
      </c>
      <c r="L27" s="64" t="s">
        <v>164</v>
      </c>
      <c r="M27" s="64" t="s">
        <v>1690</v>
      </c>
      <c r="N27" s="64" t="s">
        <v>1017</v>
      </c>
      <c r="O27" s="64"/>
      <c r="P27" s="267" t="s">
        <v>2517</v>
      </c>
      <c r="Q27" s="194" t="s">
        <v>2518</v>
      </c>
      <c r="R27" s="268" t="s">
        <v>661</v>
      </c>
      <c r="T27" s="199" t="s">
        <v>1002</v>
      </c>
      <c r="U27" s="239" t="s">
        <v>1763</v>
      </c>
      <c r="W27" s="199">
        <v>4</v>
      </c>
      <c r="X27" s="200" t="s">
        <v>568</v>
      </c>
      <c r="Y27" s="239" t="s">
        <v>1876</v>
      </c>
    </row>
    <row r="28" spans="1:29" x14ac:dyDescent="0.35">
      <c r="A28" s="223" t="s">
        <v>2589</v>
      </c>
      <c r="B28" s="194" t="s">
        <v>2590</v>
      </c>
      <c r="C28" s="194" t="s">
        <v>651</v>
      </c>
      <c r="D28" s="201"/>
      <c r="E28" s="194" t="s">
        <v>707</v>
      </c>
      <c r="F28" s="194" t="s">
        <v>708</v>
      </c>
      <c r="H28" s="64" t="s">
        <v>1142</v>
      </c>
      <c r="I28" s="64" t="s">
        <v>1143</v>
      </c>
      <c r="J28" s="64" t="s">
        <v>1144</v>
      </c>
      <c r="K28" s="64" t="s">
        <v>1145</v>
      </c>
      <c r="L28" s="64" t="s">
        <v>1146</v>
      </c>
      <c r="M28" s="64" t="s">
        <v>1690</v>
      </c>
      <c r="N28" s="64" t="s">
        <v>1017</v>
      </c>
      <c r="O28" s="64"/>
      <c r="P28" s="267" t="s">
        <v>2519</v>
      </c>
      <c r="Q28" s="194" t="s">
        <v>2520</v>
      </c>
      <c r="R28" s="268" t="s">
        <v>661</v>
      </c>
      <c r="T28" s="242" t="s">
        <v>1003</v>
      </c>
      <c r="U28" s="243" t="s">
        <v>1764</v>
      </c>
      <c r="W28" s="199">
        <v>5</v>
      </c>
      <c r="X28" s="200" t="s">
        <v>569</v>
      </c>
      <c r="Y28" s="239" t="s">
        <v>1876</v>
      </c>
    </row>
    <row r="29" spans="1:29" x14ac:dyDescent="0.35">
      <c r="A29" s="223" t="s">
        <v>2591</v>
      </c>
      <c r="B29" s="194" t="s">
        <v>2592</v>
      </c>
      <c r="C29" s="194" t="s">
        <v>651</v>
      </c>
      <c r="D29" s="201" t="s">
        <v>709</v>
      </c>
      <c r="E29" s="194" t="s">
        <v>710</v>
      </c>
      <c r="F29" s="194" t="s">
        <v>711</v>
      </c>
      <c r="H29" s="64" t="s">
        <v>1280</v>
      </c>
      <c r="I29" s="64" t="s">
        <v>29</v>
      </c>
      <c r="J29" s="64" t="s">
        <v>174</v>
      </c>
      <c r="K29" s="64" t="s">
        <v>175</v>
      </c>
      <c r="L29" s="64" t="s">
        <v>176</v>
      </c>
      <c r="M29" s="64" t="s">
        <v>1690</v>
      </c>
      <c r="N29" s="64" t="s">
        <v>1017</v>
      </c>
      <c r="O29" s="64"/>
      <c r="P29" s="267" t="s">
        <v>2521</v>
      </c>
      <c r="Q29" s="194" t="s">
        <v>2522</v>
      </c>
      <c r="R29" s="268" t="s">
        <v>661</v>
      </c>
      <c r="W29" s="199">
        <v>6</v>
      </c>
      <c r="X29" s="200" t="s">
        <v>570</v>
      </c>
      <c r="Y29" s="239" t="s">
        <v>1876</v>
      </c>
    </row>
    <row r="30" spans="1:29" x14ac:dyDescent="0.35">
      <c r="A30" s="223" t="s">
        <v>2593</v>
      </c>
      <c r="B30" s="194" t="s">
        <v>2594</v>
      </c>
      <c r="C30" s="194" t="s">
        <v>651</v>
      </c>
      <c r="D30" s="201"/>
      <c r="E30" s="194" t="s">
        <v>712</v>
      </c>
      <c r="F30" s="194" t="s">
        <v>713</v>
      </c>
      <c r="H30" s="64" t="s">
        <v>1282</v>
      </c>
      <c r="I30" s="64" t="s">
        <v>31</v>
      </c>
      <c r="J30" s="64" t="s">
        <v>180</v>
      </c>
      <c r="K30" s="64" t="s">
        <v>181</v>
      </c>
      <c r="L30" s="64" t="s">
        <v>182</v>
      </c>
      <c r="M30" s="64" t="s">
        <v>1690</v>
      </c>
      <c r="N30" s="64" t="s">
        <v>1017</v>
      </c>
      <c r="O30" s="64"/>
      <c r="P30" s="267" t="s">
        <v>2523</v>
      </c>
      <c r="Q30" s="194" t="s">
        <v>2524</v>
      </c>
      <c r="R30" s="268" t="s">
        <v>845</v>
      </c>
      <c r="W30" s="199">
        <v>7</v>
      </c>
      <c r="X30" s="200" t="s">
        <v>571</v>
      </c>
      <c r="Y30" s="239" t="s">
        <v>1876</v>
      </c>
    </row>
    <row r="31" spans="1:29" x14ac:dyDescent="0.35">
      <c r="A31" s="223" t="s">
        <v>2595</v>
      </c>
      <c r="B31" s="194" t="s">
        <v>2596</v>
      </c>
      <c r="C31" s="194" t="s">
        <v>651</v>
      </c>
      <c r="D31" s="201"/>
      <c r="E31" s="194" t="s">
        <v>714</v>
      </c>
      <c r="F31" s="194" t="s">
        <v>715</v>
      </c>
      <c r="H31" s="64" t="s">
        <v>1071</v>
      </c>
      <c r="I31" s="64" t="s">
        <v>1072</v>
      </c>
      <c r="J31" s="64" t="s">
        <v>1073</v>
      </c>
      <c r="K31" s="64" t="s">
        <v>1074</v>
      </c>
      <c r="L31" s="64" t="s">
        <v>1075</v>
      </c>
      <c r="M31" s="64" t="s">
        <v>1690</v>
      </c>
      <c r="N31" s="64" t="s">
        <v>1017</v>
      </c>
      <c r="O31" s="64"/>
      <c r="P31" s="267" t="s">
        <v>2525</v>
      </c>
      <c r="Q31" s="194" t="s">
        <v>2526</v>
      </c>
      <c r="R31" s="268" t="s">
        <v>845</v>
      </c>
      <c r="T31" s="392" t="s">
        <v>1873</v>
      </c>
      <c r="U31" s="392"/>
      <c r="V31" s="244"/>
      <c r="W31" s="199">
        <v>8</v>
      </c>
      <c r="X31" s="200" t="s">
        <v>572</v>
      </c>
      <c r="Y31" s="239" t="s">
        <v>1876</v>
      </c>
    </row>
    <row r="32" spans="1:29" x14ac:dyDescent="0.35">
      <c r="A32" s="223" t="s">
        <v>2597</v>
      </c>
      <c r="B32" s="194" t="s">
        <v>2598</v>
      </c>
      <c r="C32" s="194" t="s">
        <v>651</v>
      </c>
      <c r="D32" s="223"/>
      <c r="E32" s="194" t="s">
        <v>1970</v>
      </c>
      <c r="F32" s="194" t="s">
        <v>1971</v>
      </c>
      <c r="H32" s="64" t="s">
        <v>1278</v>
      </c>
      <c r="I32" s="64" t="s">
        <v>27</v>
      </c>
      <c r="J32" s="64" t="s">
        <v>168</v>
      </c>
      <c r="K32" s="64" t="s">
        <v>169</v>
      </c>
      <c r="L32" s="64" t="s">
        <v>170</v>
      </c>
      <c r="M32" s="64" t="s">
        <v>1690</v>
      </c>
      <c r="N32" s="64" t="s">
        <v>1017</v>
      </c>
      <c r="O32" s="64"/>
      <c r="P32" s="267" t="s">
        <v>2527</v>
      </c>
      <c r="Q32" s="194" t="s">
        <v>2528</v>
      </c>
      <c r="R32" s="268" t="s">
        <v>845</v>
      </c>
      <c r="T32" s="245" t="s">
        <v>2167</v>
      </c>
      <c r="U32" s="245" t="s">
        <v>577</v>
      </c>
      <c r="V32" s="246"/>
      <c r="W32" s="199">
        <v>9</v>
      </c>
      <c r="X32" s="200" t="s">
        <v>573</v>
      </c>
      <c r="Y32" s="239" t="s">
        <v>1876</v>
      </c>
    </row>
    <row r="33" spans="1:25" x14ac:dyDescent="0.35">
      <c r="A33" s="223" t="s">
        <v>2599</v>
      </c>
      <c r="B33" s="194" t="s">
        <v>2600</v>
      </c>
      <c r="C33" s="194" t="s">
        <v>651</v>
      </c>
      <c r="D33" s="201" t="s">
        <v>1585</v>
      </c>
      <c r="E33" s="194" t="s">
        <v>716</v>
      </c>
      <c r="F33" s="194" t="s">
        <v>717</v>
      </c>
      <c r="H33" s="64" t="s">
        <v>1283</v>
      </c>
      <c r="I33" s="64" t="s">
        <v>32</v>
      </c>
      <c r="J33" s="64" t="s">
        <v>183</v>
      </c>
      <c r="K33" s="64" t="s">
        <v>184</v>
      </c>
      <c r="L33" s="64" t="s">
        <v>185</v>
      </c>
      <c r="M33" s="64" t="s">
        <v>1690</v>
      </c>
      <c r="N33" s="64" t="s">
        <v>1017</v>
      </c>
      <c r="O33" s="64"/>
      <c r="P33" s="267" t="s">
        <v>2529</v>
      </c>
      <c r="Q33" s="194" t="s">
        <v>2530</v>
      </c>
      <c r="R33" s="268" t="s">
        <v>845</v>
      </c>
      <c r="T33" s="194" t="s">
        <v>578</v>
      </c>
      <c r="U33" s="194" t="s">
        <v>2480</v>
      </c>
      <c r="V33" s="64"/>
      <c r="W33" s="199">
        <v>10</v>
      </c>
      <c r="X33" s="200" t="s">
        <v>574</v>
      </c>
      <c r="Y33" s="239" t="s">
        <v>1876</v>
      </c>
    </row>
    <row r="34" spans="1:25" x14ac:dyDescent="0.35">
      <c r="A34" s="223" t="s">
        <v>2601</v>
      </c>
      <c r="B34" s="194" t="s">
        <v>2602</v>
      </c>
      <c r="C34" s="194" t="s">
        <v>651</v>
      </c>
      <c r="D34" s="201"/>
      <c r="E34" s="194" t="s">
        <v>718</v>
      </c>
      <c r="F34" s="194" t="s">
        <v>719</v>
      </c>
      <c r="H34" s="64" t="s">
        <v>1284</v>
      </c>
      <c r="I34" s="64" t="s">
        <v>33</v>
      </c>
      <c r="J34" s="64" t="s">
        <v>186</v>
      </c>
      <c r="K34" s="64" t="s">
        <v>187</v>
      </c>
      <c r="L34" s="64" t="s">
        <v>188</v>
      </c>
      <c r="M34" s="64" t="s">
        <v>1690</v>
      </c>
      <c r="N34" s="64" t="s">
        <v>1017</v>
      </c>
      <c r="O34" s="64"/>
      <c r="P34" s="267" t="s">
        <v>2531</v>
      </c>
      <c r="Q34" s="194" t="s">
        <v>2532</v>
      </c>
      <c r="R34" s="268" t="s">
        <v>817</v>
      </c>
      <c r="T34" s="194" t="s">
        <v>580</v>
      </c>
      <c r="U34" s="194" t="s">
        <v>2481</v>
      </c>
      <c r="V34" s="64"/>
      <c r="W34" s="199">
        <v>11</v>
      </c>
      <c r="X34" s="200" t="s">
        <v>575</v>
      </c>
      <c r="Y34" s="239" t="s">
        <v>1876</v>
      </c>
    </row>
    <row r="35" spans="1:25" x14ac:dyDescent="0.35">
      <c r="A35" s="223" t="s">
        <v>2603</v>
      </c>
      <c r="B35" s="194" t="s">
        <v>2604</v>
      </c>
      <c r="C35" s="194" t="s">
        <v>651</v>
      </c>
      <c r="D35" s="201"/>
      <c r="E35" s="194" t="s">
        <v>720</v>
      </c>
      <c r="F35" s="194" t="s">
        <v>721</v>
      </c>
      <c r="H35" s="64" t="s">
        <v>1082</v>
      </c>
      <c r="I35" s="64" t="s">
        <v>1083</v>
      </c>
      <c r="J35" s="64" t="s">
        <v>1084</v>
      </c>
      <c r="K35" s="64" t="s">
        <v>1085</v>
      </c>
      <c r="L35" s="64" t="s">
        <v>1086</v>
      </c>
      <c r="M35" s="64" t="s">
        <v>1690</v>
      </c>
      <c r="N35" s="64" t="s">
        <v>1017</v>
      </c>
      <c r="O35" s="64"/>
      <c r="P35" s="267" t="s">
        <v>2533</v>
      </c>
      <c r="Q35" s="194" t="s">
        <v>2534</v>
      </c>
      <c r="R35" s="268" t="s">
        <v>746</v>
      </c>
      <c r="T35" s="194" t="s">
        <v>581</v>
      </c>
      <c r="U35" s="194" t="s">
        <v>2482</v>
      </c>
      <c r="V35" s="246"/>
      <c r="W35" s="199">
        <v>12</v>
      </c>
      <c r="X35" s="200" t="s">
        <v>576</v>
      </c>
      <c r="Y35" s="239" t="s">
        <v>1876</v>
      </c>
    </row>
    <row r="36" spans="1:25" x14ac:dyDescent="0.35">
      <c r="A36" s="223" t="s">
        <v>2605</v>
      </c>
      <c r="B36" s="194" t="s">
        <v>2606</v>
      </c>
      <c r="C36" s="194" t="s">
        <v>651</v>
      </c>
      <c r="D36" s="201" t="s">
        <v>1588</v>
      </c>
      <c r="E36" s="194" t="s">
        <v>722</v>
      </c>
      <c r="F36" s="194" t="s">
        <v>723</v>
      </c>
      <c r="H36" s="64" t="s">
        <v>1097</v>
      </c>
      <c r="I36" s="64" t="s">
        <v>1098</v>
      </c>
      <c r="J36" s="64" t="s">
        <v>1099</v>
      </c>
      <c r="K36" s="64" t="s">
        <v>1100</v>
      </c>
      <c r="L36" s="64" t="s">
        <v>1101</v>
      </c>
      <c r="M36" s="64" t="s">
        <v>1690</v>
      </c>
      <c r="N36" s="64" t="s">
        <v>1017</v>
      </c>
      <c r="O36" s="64"/>
      <c r="P36" s="267" t="s">
        <v>2535</v>
      </c>
      <c r="Q36" s="194" t="s">
        <v>2536</v>
      </c>
      <c r="R36" s="268" t="s">
        <v>746</v>
      </c>
      <c r="T36" s="194" t="s">
        <v>582</v>
      </c>
      <c r="U36" s="194" t="s">
        <v>2483</v>
      </c>
      <c r="V36" s="64"/>
      <c r="W36" s="199">
        <v>13</v>
      </c>
      <c r="X36" s="200" t="s">
        <v>1877</v>
      </c>
      <c r="Y36" s="239" t="s">
        <v>1878</v>
      </c>
    </row>
    <row r="37" spans="1:25" x14ac:dyDescent="0.35">
      <c r="A37" s="223" t="s">
        <v>2607</v>
      </c>
      <c r="B37" s="194" t="s">
        <v>2608</v>
      </c>
      <c r="C37" s="194" t="s">
        <v>651</v>
      </c>
      <c r="D37" s="194"/>
      <c r="E37" s="194" t="s">
        <v>963</v>
      </c>
      <c r="F37" s="194" t="s">
        <v>964</v>
      </c>
      <c r="H37" s="64" t="s">
        <v>1087</v>
      </c>
      <c r="I37" s="64" t="s">
        <v>1088</v>
      </c>
      <c r="J37" s="64" t="s">
        <v>1089</v>
      </c>
      <c r="K37" s="64" t="s">
        <v>1090</v>
      </c>
      <c r="L37" s="64" t="s">
        <v>1091</v>
      </c>
      <c r="M37" s="64" t="s">
        <v>1690</v>
      </c>
      <c r="N37" s="64" t="s">
        <v>1017</v>
      </c>
      <c r="O37" s="64"/>
      <c r="P37" s="267" t="s">
        <v>2537</v>
      </c>
      <c r="Q37" s="194" t="s">
        <v>2538</v>
      </c>
      <c r="R37" s="268" t="s">
        <v>746</v>
      </c>
      <c r="T37" s="209" t="s">
        <v>2484</v>
      </c>
      <c r="U37" s="247" t="s">
        <v>2485</v>
      </c>
      <c r="V37" s="64"/>
      <c r="W37" s="199">
        <v>14</v>
      </c>
      <c r="X37" s="200" t="s">
        <v>1879</v>
      </c>
      <c r="Y37" s="239" t="s">
        <v>1878</v>
      </c>
    </row>
    <row r="38" spans="1:25" x14ac:dyDescent="0.35">
      <c r="A38" s="223" t="s">
        <v>2609</v>
      </c>
      <c r="B38" s="194" t="s">
        <v>2610</v>
      </c>
      <c r="C38" s="194" t="s">
        <v>651</v>
      </c>
      <c r="D38" s="223"/>
      <c r="E38" s="194" t="s">
        <v>1972</v>
      </c>
      <c r="F38" s="194" t="s">
        <v>1973</v>
      </c>
      <c r="H38" s="64" t="s">
        <v>1092</v>
      </c>
      <c r="I38" s="64" t="s">
        <v>1093</v>
      </c>
      <c r="J38" s="64" t="s">
        <v>1094</v>
      </c>
      <c r="K38" s="64" t="s">
        <v>1095</v>
      </c>
      <c r="L38" s="64" t="s">
        <v>1096</v>
      </c>
      <c r="M38" s="64" t="s">
        <v>1690</v>
      </c>
      <c r="N38" s="64" t="s">
        <v>1017</v>
      </c>
      <c r="O38" s="64"/>
      <c r="P38" s="269" t="s">
        <v>2539</v>
      </c>
      <c r="Q38" s="194" t="s">
        <v>2540</v>
      </c>
      <c r="R38" s="268" t="s">
        <v>746</v>
      </c>
      <c r="T38" s="194" t="s">
        <v>583</v>
      </c>
      <c r="U38" s="194" t="s">
        <v>2486</v>
      </c>
      <c r="V38" s="246"/>
      <c r="W38" s="199">
        <v>15</v>
      </c>
      <c r="X38" s="200" t="s">
        <v>1880</v>
      </c>
      <c r="Y38" s="239" t="s">
        <v>1878</v>
      </c>
    </row>
    <row r="39" spans="1:25" x14ac:dyDescent="0.35">
      <c r="A39" s="223" t="s">
        <v>2611</v>
      </c>
      <c r="B39" s="194" t="s">
        <v>2612</v>
      </c>
      <c r="C39" s="194" t="s">
        <v>651</v>
      </c>
      <c r="D39" s="201"/>
      <c r="E39" s="194" t="s">
        <v>724</v>
      </c>
      <c r="F39" s="194" t="s">
        <v>725</v>
      </c>
      <c r="H39" s="64" t="s">
        <v>1076</v>
      </c>
      <c r="I39" s="64" t="s">
        <v>1077</v>
      </c>
      <c r="J39" s="64" t="s">
        <v>1078</v>
      </c>
      <c r="K39" s="64" t="s">
        <v>1079</v>
      </c>
      <c r="L39" s="64" t="s">
        <v>1080</v>
      </c>
      <c r="M39" s="64" t="s">
        <v>1690</v>
      </c>
      <c r="N39" s="206" t="s">
        <v>1081</v>
      </c>
      <c r="O39" s="64"/>
      <c r="P39" s="267" t="s">
        <v>998</v>
      </c>
      <c r="Q39" s="194" t="s">
        <v>2541</v>
      </c>
      <c r="R39" s="268" t="s">
        <v>998</v>
      </c>
      <c r="T39" s="194" t="s">
        <v>579</v>
      </c>
      <c r="U39" s="194" t="s">
        <v>2487</v>
      </c>
      <c r="V39" s="246"/>
      <c r="W39" s="248">
        <v>16</v>
      </c>
      <c r="X39" s="238" t="s">
        <v>1881</v>
      </c>
      <c r="Y39" s="249" t="s">
        <v>1878</v>
      </c>
    </row>
    <row r="40" spans="1:25" x14ac:dyDescent="0.35">
      <c r="A40" s="223" t="s">
        <v>2613</v>
      </c>
      <c r="B40" s="194" t="s">
        <v>2614</v>
      </c>
      <c r="C40" s="194" t="s">
        <v>651</v>
      </c>
      <c r="D40" s="201"/>
      <c r="E40" s="194" t="s">
        <v>726</v>
      </c>
      <c r="F40" s="194" t="s">
        <v>727</v>
      </c>
      <c r="H40" s="64" t="s">
        <v>813</v>
      </c>
      <c r="I40" s="64" t="s">
        <v>26</v>
      </c>
      <c r="J40" s="64" t="s">
        <v>165</v>
      </c>
      <c r="K40" s="64" t="s">
        <v>166</v>
      </c>
      <c r="L40" s="64" t="s">
        <v>167</v>
      </c>
      <c r="M40" s="64" t="s">
        <v>1690</v>
      </c>
      <c r="N40" s="206" t="s">
        <v>562</v>
      </c>
      <c r="O40" s="64"/>
      <c r="P40" s="267" t="s">
        <v>2542</v>
      </c>
      <c r="Q40" s="194" t="s">
        <v>2543</v>
      </c>
      <c r="R40" s="268" t="s">
        <v>998</v>
      </c>
      <c r="T40" s="194" t="s">
        <v>2488</v>
      </c>
      <c r="U40" s="194" t="s">
        <v>2489</v>
      </c>
      <c r="V40" s="246"/>
    </row>
    <row r="41" spans="1:25" x14ac:dyDescent="0.35">
      <c r="A41" s="223" t="s">
        <v>682</v>
      </c>
      <c r="B41" s="194" t="s">
        <v>683</v>
      </c>
      <c r="C41" s="194" t="s">
        <v>651</v>
      </c>
      <c r="D41" s="201"/>
      <c r="E41" s="194" t="s">
        <v>683</v>
      </c>
      <c r="F41" s="194" t="s">
        <v>684</v>
      </c>
      <c r="H41" s="64" t="s">
        <v>1065</v>
      </c>
      <c r="I41" s="64" t="s">
        <v>1066</v>
      </c>
      <c r="J41" s="64" t="s">
        <v>1067</v>
      </c>
      <c r="K41" s="64" t="s">
        <v>1068</v>
      </c>
      <c r="L41" s="64" t="s">
        <v>1069</v>
      </c>
      <c r="M41" s="96" t="s">
        <v>1690</v>
      </c>
      <c r="N41" s="207" t="s">
        <v>1070</v>
      </c>
      <c r="O41" s="64"/>
      <c r="P41" s="267" t="s">
        <v>2544</v>
      </c>
      <c r="Q41" s="194" t="s">
        <v>2545</v>
      </c>
      <c r="R41" s="268" t="s">
        <v>998</v>
      </c>
      <c r="T41" s="209" t="s">
        <v>2490</v>
      </c>
      <c r="U41" s="247" t="s">
        <v>2491</v>
      </c>
    </row>
    <row r="42" spans="1:25" x14ac:dyDescent="0.35">
      <c r="A42" s="223" t="s">
        <v>849</v>
      </c>
      <c r="B42" s="194" t="s">
        <v>850</v>
      </c>
      <c r="C42" s="194" t="s">
        <v>651</v>
      </c>
      <c r="D42" s="201"/>
      <c r="E42" s="194" t="s">
        <v>850</v>
      </c>
      <c r="F42" s="194" t="s">
        <v>851</v>
      </c>
      <c r="H42" s="64" t="s">
        <v>1172</v>
      </c>
      <c r="I42" s="64" t="s">
        <v>1173</v>
      </c>
      <c r="J42" s="64" t="s">
        <v>1174</v>
      </c>
      <c r="K42" s="64" t="s">
        <v>1175</v>
      </c>
      <c r="L42" s="64" t="s">
        <v>1176</v>
      </c>
      <c r="M42" s="64" t="s">
        <v>1691</v>
      </c>
      <c r="N42" s="64" t="s">
        <v>1017</v>
      </c>
      <c r="O42" s="64"/>
      <c r="P42" s="267" t="s">
        <v>814</v>
      </c>
      <c r="Q42" s="194" t="s">
        <v>2546</v>
      </c>
      <c r="R42" s="268" t="s">
        <v>814</v>
      </c>
      <c r="T42" s="194" t="s">
        <v>2492</v>
      </c>
      <c r="U42" s="194" t="s">
        <v>2493</v>
      </c>
      <c r="W42" s="393" t="s">
        <v>2253</v>
      </c>
      <c r="X42" s="393"/>
    </row>
    <row r="43" spans="1:25" x14ac:dyDescent="0.35">
      <c r="A43" s="223" t="s">
        <v>2615</v>
      </c>
      <c r="B43" s="194" t="s">
        <v>2616</v>
      </c>
      <c r="C43" s="194" t="s">
        <v>651</v>
      </c>
      <c r="D43" s="194"/>
      <c r="E43" s="194" t="s">
        <v>2617</v>
      </c>
      <c r="F43" s="194" t="s">
        <v>729</v>
      </c>
      <c r="H43" s="64" t="s">
        <v>1177</v>
      </c>
      <c r="I43" s="64" t="s">
        <v>1178</v>
      </c>
      <c r="J43" s="64" t="s">
        <v>1179</v>
      </c>
      <c r="K43" s="64" t="s">
        <v>1180</v>
      </c>
      <c r="L43" s="64" t="s">
        <v>1181</v>
      </c>
      <c r="M43" s="64" t="s">
        <v>1691</v>
      </c>
      <c r="N43" s="64" t="s">
        <v>1017</v>
      </c>
      <c r="O43" s="64"/>
      <c r="P43" s="267" t="s">
        <v>2547</v>
      </c>
      <c r="Q43" s="194" t="s">
        <v>2548</v>
      </c>
      <c r="R43" s="268" t="s">
        <v>2547</v>
      </c>
      <c r="T43" s="194" t="s">
        <v>584</v>
      </c>
      <c r="U43" s="194" t="s">
        <v>2494</v>
      </c>
      <c r="W43" s="234" t="s">
        <v>2249</v>
      </c>
      <c r="X43" s="241" t="s">
        <v>1902</v>
      </c>
    </row>
    <row r="44" spans="1:25" x14ac:dyDescent="0.35">
      <c r="A44" s="223" t="s">
        <v>2618</v>
      </c>
      <c r="B44" s="194" t="s">
        <v>2619</v>
      </c>
      <c r="C44" s="194" t="s">
        <v>651</v>
      </c>
      <c r="D44" s="201"/>
      <c r="E44" s="194" t="s">
        <v>730</v>
      </c>
      <c r="F44" s="194" t="s">
        <v>731</v>
      </c>
      <c r="H44" s="64" t="s">
        <v>1182</v>
      </c>
      <c r="I44" s="64" t="s">
        <v>1183</v>
      </c>
      <c r="J44" s="64" t="s">
        <v>1184</v>
      </c>
      <c r="K44" s="64" t="s">
        <v>1185</v>
      </c>
      <c r="L44" s="64" t="s">
        <v>1186</v>
      </c>
      <c r="M44" s="96" t="s">
        <v>1691</v>
      </c>
      <c r="N44" s="96" t="s">
        <v>1017</v>
      </c>
      <c r="O44" s="64"/>
      <c r="P44" s="267" t="s">
        <v>2549</v>
      </c>
      <c r="Q44" s="194" t="s">
        <v>997</v>
      </c>
      <c r="R44" s="268" t="s">
        <v>996</v>
      </c>
      <c r="T44" s="209"/>
      <c r="U44" s="247"/>
      <c r="W44" s="199" t="s">
        <v>2180</v>
      </c>
      <c r="X44" s="239" t="s">
        <v>2250</v>
      </c>
    </row>
    <row r="45" spans="1:25" x14ac:dyDescent="0.35">
      <c r="A45" s="223" t="s">
        <v>732</v>
      </c>
      <c r="B45" s="194" t="s">
        <v>733</v>
      </c>
      <c r="C45" s="194" t="s">
        <v>651</v>
      </c>
      <c r="D45" s="201"/>
      <c r="E45" s="194" t="s">
        <v>733</v>
      </c>
      <c r="F45" s="194" t="s">
        <v>734</v>
      </c>
      <c r="H45" s="64" t="s">
        <v>1192</v>
      </c>
      <c r="I45" s="64" t="s">
        <v>1193</v>
      </c>
      <c r="J45" s="64" t="s">
        <v>1194</v>
      </c>
      <c r="K45" s="64" t="s">
        <v>1195</v>
      </c>
      <c r="L45" s="64" t="s">
        <v>1196</v>
      </c>
      <c r="M45" s="64" t="s">
        <v>1692</v>
      </c>
      <c r="N45" s="64" t="s">
        <v>1017</v>
      </c>
      <c r="O45" s="64"/>
      <c r="P45" s="267" t="s">
        <v>2550</v>
      </c>
      <c r="Q45" s="194" t="s">
        <v>2551</v>
      </c>
      <c r="R45" s="268" t="s">
        <v>996</v>
      </c>
      <c r="W45" s="199" t="s">
        <v>2247</v>
      </c>
      <c r="X45" s="239" t="s">
        <v>2251</v>
      </c>
    </row>
    <row r="46" spans="1:25" x14ac:dyDescent="0.35">
      <c r="A46" s="223" t="s">
        <v>916</v>
      </c>
      <c r="B46" s="194" t="s">
        <v>917</v>
      </c>
      <c r="C46" s="194" t="s">
        <v>651</v>
      </c>
      <c r="D46" s="201"/>
      <c r="E46" s="194" t="s">
        <v>917</v>
      </c>
      <c r="F46" s="194" t="s">
        <v>918</v>
      </c>
      <c r="H46" s="64" t="s">
        <v>1187</v>
      </c>
      <c r="I46" s="64" t="s">
        <v>1188</v>
      </c>
      <c r="J46" s="64" t="s">
        <v>1189</v>
      </c>
      <c r="K46" s="64" t="s">
        <v>1190</v>
      </c>
      <c r="L46" s="64" t="s">
        <v>1191</v>
      </c>
      <c r="M46" s="64" t="s">
        <v>1692</v>
      </c>
      <c r="N46" s="64" t="s">
        <v>1017</v>
      </c>
      <c r="O46" s="64"/>
      <c r="P46" s="267" t="s">
        <v>2552</v>
      </c>
      <c r="Q46" s="194" t="s">
        <v>2553</v>
      </c>
      <c r="R46" s="268" t="s">
        <v>2552</v>
      </c>
      <c r="T46" s="393" t="s">
        <v>2017</v>
      </c>
      <c r="U46" s="393"/>
      <c r="W46" s="199" t="s">
        <v>2248</v>
      </c>
      <c r="X46" s="239" t="s">
        <v>2252</v>
      </c>
    </row>
    <row r="47" spans="1:25" x14ac:dyDescent="0.35">
      <c r="A47" s="223" t="s">
        <v>735</v>
      </c>
      <c r="B47" s="194" t="s">
        <v>736</v>
      </c>
      <c r="C47" s="194" t="s">
        <v>651</v>
      </c>
      <c r="D47" s="201" t="s">
        <v>664</v>
      </c>
      <c r="E47" s="194" t="s">
        <v>736</v>
      </c>
      <c r="F47" s="194" t="s">
        <v>737</v>
      </c>
      <c r="H47" s="64" t="s">
        <v>1197</v>
      </c>
      <c r="I47" s="64" t="s">
        <v>1198</v>
      </c>
      <c r="J47" s="64" t="s">
        <v>1199</v>
      </c>
      <c r="K47" s="64" t="s">
        <v>1200</v>
      </c>
      <c r="L47" s="64" t="s">
        <v>1201</v>
      </c>
      <c r="M47" s="64" t="s">
        <v>1692</v>
      </c>
      <c r="N47" s="64" t="s">
        <v>1017</v>
      </c>
      <c r="O47" s="64"/>
      <c r="P47" s="267" t="s">
        <v>2554</v>
      </c>
      <c r="Q47" s="194" t="s">
        <v>2555</v>
      </c>
      <c r="R47" s="268" t="s">
        <v>995</v>
      </c>
      <c r="T47" s="234" t="s">
        <v>2001</v>
      </c>
      <c r="U47" s="241" t="s">
        <v>2002</v>
      </c>
      <c r="W47" s="248" t="s">
        <v>2190</v>
      </c>
      <c r="X47" s="249" t="s">
        <v>1394</v>
      </c>
    </row>
    <row r="48" spans="1:25" x14ac:dyDescent="0.35">
      <c r="A48" s="223" t="s">
        <v>2620</v>
      </c>
      <c r="B48" s="194" t="s">
        <v>728</v>
      </c>
      <c r="C48" s="194" t="s">
        <v>651</v>
      </c>
      <c r="D48" s="194"/>
      <c r="E48" s="194" t="s">
        <v>728</v>
      </c>
      <c r="F48" s="194" t="s">
        <v>729</v>
      </c>
      <c r="H48" s="64" t="s">
        <v>1286</v>
      </c>
      <c r="I48" s="64" t="s">
        <v>35</v>
      </c>
      <c r="J48" s="64" t="s">
        <v>192</v>
      </c>
      <c r="K48" s="64" t="s">
        <v>193</v>
      </c>
      <c r="L48" s="64" t="s">
        <v>194</v>
      </c>
      <c r="M48" s="64" t="s">
        <v>1692</v>
      </c>
      <c r="N48" s="64" t="s">
        <v>1017</v>
      </c>
      <c r="O48" s="64"/>
      <c r="P48" s="269" t="s">
        <v>2556</v>
      </c>
      <c r="Q48" s="194" t="s">
        <v>2557</v>
      </c>
      <c r="R48" s="268" t="s">
        <v>2558</v>
      </c>
      <c r="T48" s="199" t="s">
        <v>2003</v>
      </c>
      <c r="U48" s="239" t="s">
        <v>2008</v>
      </c>
    </row>
    <row r="49" spans="1:25" x14ac:dyDescent="0.35">
      <c r="A49" s="223" t="s">
        <v>922</v>
      </c>
      <c r="B49" s="194" t="s">
        <v>923</v>
      </c>
      <c r="C49" s="194" t="s">
        <v>651</v>
      </c>
      <c r="D49" s="201"/>
      <c r="E49" s="194" t="s">
        <v>923</v>
      </c>
      <c r="F49" s="194" t="s">
        <v>924</v>
      </c>
      <c r="H49" s="64" t="s">
        <v>1693</v>
      </c>
      <c r="I49" s="64" t="s">
        <v>1694</v>
      </c>
      <c r="J49" s="64" t="s">
        <v>1695</v>
      </c>
      <c r="K49" s="64" t="s">
        <v>1696</v>
      </c>
      <c r="L49" s="64" t="s">
        <v>1697</v>
      </c>
      <c r="M49" s="64" t="s">
        <v>1692</v>
      </c>
      <c r="N49" s="64" t="s">
        <v>1017</v>
      </c>
      <c r="O49" s="64"/>
      <c r="P49" s="267" t="s">
        <v>2559</v>
      </c>
      <c r="Q49" s="194" t="s">
        <v>2560</v>
      </c>
      <c r="R49" s="268" t="s">
        <v>2257</v>
      </c>
      <c r="T49" s="199" t="s">
        <v>2004</v>
      </c>
      <c r="U49" s="239" t="s">
        <v>2011</v>
      </c>
    </row>
    <row r="50" spans="1:25" x14ac:dyDescent="0.35">
      <c r="A50" s="223" t="s">
        <v>738</v>
      </c>
      <c r="B50" s="194" t="s">
        <v>739</v>
      </c>
      <c r="C50" s="194" t="s">
        <v>651</v>
      </c>
      <c r="D50" s="201" t="s">
        <v>664</v>
      </c>
      <c r="E50" s="194" t="s">
        <v>739</v>
      </c>
      <c r="F50" s="194" t="s">
        <v>740</v>
      </c>
      <c r="H50" s="64" t="s">
        <v>1698</v>
      </c>
      <c r="I50" s="64" t="s">
        <v>2706</v>
      </c>
      <c r="J50" s="64" t="s">
        <v>1699</v>
      </c>
      <c r="K50" s="64" t="s">
        <v>1700</v>
      </c>
      <c r="L50" s="64" t="s">
        <v>1701</v>
      </c>
      <c r="M50" s="64" t="s">
        <v>1692</v>
      </c>
      <c r="N50" s="64" t="s">
        <v>1017</v>
      </c>
      <c r="O50" s="64"/>
      <c r="P50" s="270" t="s">
        <v>1392</v>
      </c>
      <c r="Q50" s="271" t="s">
        <v>2058</v>
      </c>
      <c r="R50" s="272"/>
      <c r="T50" s="199" t="s">
        <v>2005</v>
      </c>
      <c r="U50" s="239" t="s">
        <v>2012</v>
      </c>
      <c r="W50" s="394" t="s">
        <v>2285</v>
      </c>
      <c r="X50" s="394"/>
    </row>
    <row r="51" spans="1:25" x14ac:dyDescent="0.35">
      <c r="A51" s="223" t="s">
        <v>925</v>
      </c>
      <c r="B51" s="194" t="s">
        <v>926</v>
      </c>
      <c r="C51" s="194" t="s">
        <v>651</v>
      </c>
      <c r="D51" s="201"/>
      <c r="E51" s="194" t="s">
        <v>926</v>
      </c>
      <c r="F51" s="194" t="s">
        <v>927</v>
      </c>
      <c r="H51" s="64" t="s">
        <v>1702</v>
      </c>
      <c r="I51" s="64" t="s">
        <v>2707</v>
      </c>
      <c r="J51" s="64" t="s">
        <v>1703</v>
      </c>
      <c r="K51" s="64" t="s">
        <v>1704</v>
      </c>
      <c r="L51" s="64" t="s">
        <v>1705</v>
      </c>
      <c r="M51" s="64" t="s">
        <v>1692</v>
      </c>
      <c r="N51" s="64" t="s">
        <v>1017</v>
      </c>
      <c r="O51" s="64"/>
      <c r="P51" s="64"/>
      <c r="Q51" s="64"/>
      <c r="R51" s="64"/>
      <c r="T51" s="199" t="s">
        <v>2006</v>
      </c>
      <c r="U51" s="239" t="s">
        <v>2013</v>
      </c>
      <c r="W51" s="250" t="s">
        <v>1986</v>
      </c>
      <c r="X51" s="250" t="s">
        <v>632</v>
      </c>
    </row>
    <row r="52" spans="1:25" x14ac:dyDescent="0.35">
      <c r="A52" s="223" t="s">
        <v>741</v>
      </c>
      <c r="B52" s="194" t="s">
        <v>742</v>
      </c>
      <c r="C52" s="194" t="s">
        <v>651</v>
      </c>
      <c r="D52" s="201" t="s">
        <v>743</v>
      </c>
      <c r="E52" s="194" t="s">
        <v>742</v>
      </c>
      <c r="F52" s="194" t="s">
        <v>744</v>
      </c>
      <c r="H52" s="64" t="s">
        <v>1706</v>
      </c>
      <c r="I52" s="64" t="s">
        <v>2708</v>
      </c>
      <c r="J52" s="64" t="s">
        <v>1707</v>
      </c>
      <c r="K52" s="64" t="s">
        <v>1708</v>
      </c>
      <c r="L52" s="64" t="s">
        <v>1709</v>
      </c>
      <c r="M52" s="64" t="s">
        <v>1692</v>
      </c>
      <c r="N52" s="64" t="s">
        <v>1017</v>
      </c>
      <c r="O52" s="64"/>
      <c r="P52" s="64"/>
      <c r="Q52" s="64"/>
      <c r="R52" s="64"/>
      <c r="T52" s="199" t="s">
        <v>2007</v>
      </c>
      <c r="U52" s="239" t="s">
        <v>2014</v>
      </c>
      <c r="W52" s="145" t="s">
        <v>633</v>
      </c>
      <c r="X52" s="146" t="s">
        <v>634</v>
      </c>
    </row>
    <row r="53" spans="1:25" x14ac:dyDescent="0.35">
      <c r="A53" s="223" t="s">
        <v>2621</v>
      </c>
      <c r="B53" s="194" t="s">
        <v>745</v>
      </c>
      <c r="C53" s="194" t="s">
        <v>651</v>
      </c>
      <c r="D53" s="201"/>
      <c r="E53" s="194" t="s">
        <v>745</v>
      </c>
      <c r="F53" s="194" t="s">
        <v>746</v>
      </c>
      <c r="H53" s="64" t="s">
        <v>1227</v>
      </c>
      <c r="I53" s="64" t="s">
        <v>1228</v>
      </c>
      <c r="J53" s="64" t="s">
        <v>1229</v>
      </c>
      <c r="K53" s="64" t="s">
        <v>1230</v>
      </c>
      <c r="L53" s="64" t="s">
        <v>1231</v>
      </c>
      <c r="M53" s="64" t="s">
        <v>1692</v>
      </c>
      <c r="N53" s="64" t="s">
        <v>1017</v>
      </c>
      <c r="O53" s="64"/>
      <c r="P53" s="64"/>
      <c r="Q53" s="64"/>
      <c r="R53" s="64"/>
      <c r="T53" s="199" t="s">
        <v>2009</v>
      </c>
      <c r="U53" s="239" t="s">
        <v>2015</v>
      </c>
      <c r="W53" s="145" t="s">
        <v>635</v>
      </c>
      <c r="X53" s="146" t="s">
        <v>636</v>
      </c>
    </row>
    <row r="54" spans="1:25" x14ac:dyDescent="0.35">
      <c r="A54" s="223" t="s">
        <v>747</v>
      </c>
      <c r="B54" s="194" t="s">
        <v>748</v>
      </c>
      <c r="C54" s="194" t="s">
        <v>651</v>
      </c>
      <c r="D54" s="201"/>
      <c r="E54" s="194" t="s">
        <v>748</v>
      </c>
      <c r="F54" s="194" t="s">
        <v>749</v>
      </c>
      <c r="H54" s="64" t="s">
        <v>1710</v>
      </c>
      <c r="I54" s="64" t="s">
        <v>2709</v>
      </c>
      <c r="J54" s="64" t="s">
        <v>1711</v>
      </c>
      <c r="K54" s="64" t="s">
        <v>1712</v>
      </c>
      <c r="L54" s="64" t="s">
        <v>1713</v>
      </c>
      <c r="M54" s="64" t="s">
        <v>1692</v>
      </c>
      <c r="N54" s="64" t="s">
        <v>1017</v>
      </c>
      <c r="O54" s="64"/>
      <c r="P54" s="64"/>
      <c r="Q54" s="64"/>
      <c r="R54" s="64"/>
      <c r="T54" s="248" t="s">
        <v>2010</v>
      </c>
      <c r="U54" s="249" t="s">
        <v>2016</v>
      </c>
      <c r="W54" s="145" t="s">
        <v>637</v>
      </c>
      <c r="X54" s="146" t="s">
        <v>638</v>
      </c>
    </row>
    <row r="55" spans="1:25" x14ac:dyDescent="0.35">
      <c r="A55" s="223" t="s">
        <v>750</v>
      </c>
      <c r="B55" s="194" t="s">
        <v>751</v>
      </c>
      <c r="C55" s="194" t="s">
        <v>651</v>
      </c>
      <c r="D55" s="201"/>
      <c r="E55" s="194" t="s">
        <v>751</v>
      </c>
      <c r="F55" s="194" t="s">
        <v>752</v>
      </c>
      <c r="H55" s="64" t="s">
        <v>1287</v>
      </c>
      <c r="I55" s="64" t="s">
        <v>36</v>
      </c>
      <c r="J55" s="64" t="s">
        <v>195</v>
      </c>
      <c r="K55" s="64" t="s">
        <v>196</v>
      </c>
      <c r="L55" s="64" t="s">
        <v>197</v>
      </c>
      <c r="M55" s="64" t="s">
        <v>1692</v>
      </c>
      <c r="N55" s="64" t="s">
        <v>1017</v>
      </c>
      <c r="O55" s="64"/>
      <c r="P55" s="64"/>
      <c r="Q55" s="64"/>
      <c r="R55" s="64"/>
      <c r="W55" s="145" t="s">
        <v>639</v>
      </c>
      <c r="X55" s="146" t="s">
        <v>640</v>
      </c>
      <c r="Y55" s="244"/>
    </row>
    <row r="56" spans="1:25" x14ac:dyDescent="0.35">
      <c r="A56" s="223" t="s">
        <v>753</v>
      </c>
      <c r="B56" s="194" t="s">
        <v>754</v>
      </c>
      <c r="C56" s="194" t="s">
        <v>651</v>
      </c>
      <c r="D56" s="201"/>
      <c r="E56" s="194" t="s">
        <v>754</v>
      </c>
      <c r="F56" s="194" t="s">
        <v>755</v>
      </c>
      <c r="H56" s="64" t="s">
        <v>1714</v>
      </c>
      <c r="I56" s="64" t="s">
        <v>2710</v>
      </c>
      <c r="J56" s="64" t="s">
        <v>1715</v>
      </c>
      <c r="K56" s="64" t="s">
        <v>1716</v>
      </c>
      <c r="L56" s="64" t="s">
        <v>1717</v>
      </c>
      <c r="M56" s="64" t="s">
        <v>1692</v>
      </c>
      <c r="N56" s="64" t="s">
        <v>1017</v>
      </c>
      <c r="O56" s="64"/>
      <c r="P56" s="64"/>
      <c r="Q56" s="64"/>
      <c r="R56" s="64"/>
      <c r="W56" s="145" t="s">
        <v>822</v>
      </c>
      <c r="X56" s="146" t="s">
        <v>641</v>
      </c>
      <c r="Y56" s="244"/>
    </row>
    <row r="57" spans="1:25" x14ac:dyDescent="0.35">
      <c r="A57" s="223" t="s">
        <v>2622</v>
      </c>
      <c r="B57" s="194" t="s">
        <v>756</v>
      </c>
      <c r="C57" s="194" t="s">
        <v>651</v>
      </c>
      <c r="D57" s="201"/>
      <c r="E57" s="194" t="s">
        <v>756</v>
      </c>
      <c r="F57" s="194" t="s">
        <v>757</v>
      </c>
      <c r="H57" s="64" t="s">
        <v>1207</v>
      </c>
      <c r="I57" s="64" t="s">
        <v>1208</v>
      </c>
      <c r="J57" s="64" t="s">
        <v>1209</v>
      </c>
      <c r="K57" s="64" t="s">
        <v>1210</v>
      </c>
      <c r="L57" s="64" t="s">
        <v>1211</v>
      </c>
      <c r="M57" s="64" t="s">
        <v>1692</v>
      </c>
      <c r="N57" s="64" t="s">
        <v>1017</v>
      </c>
      <c r="O57" s="64"/>
      <c r="P57" s="64"/>
      <c r="Q57" s="64"/>
      <c r="R57" s="64"/>
      <c r="T57" s="392" t="s">
        <v>1934</v>
      </c>
      <c r="U57" s="392"/>
      <c r="W57" s="147" t="s">
        <v>1003</v>
      </c>
      <c r="X57" s="251" t="s">
        <v>642</v>
      </c>
    </row>
    <row r="58" spans="1:25" x14ac:dyDescent="0.35">
      <c r="A58" s="223" t="s">
        <v>946</v>
      </c>
      <c r="B58" s="194" t="s">
        <v>947</v>
      </c>
      <c r="C58" s="194" t="s">
        <v>651</v>
      </c>
      <c r="D58" s="201"/>
      <c r="E58" s="194" t="s">
        <v>947</v>
      </c>
      <c r="F58" s="194" t="s">
        <v>948</v>
      </c>
      <c r="H58" s="64" t="s">
        <v>1718</v>
      </c>
      <c r="I58" s="64" t="s">
        <v>2711</v>
      </c>
      <c r="J58" s="64" t="s">
        <v>1719</v>
      </c>
      <c r="K58" s="64" t="s">
        <v>1720</v>
      </c>
      <c r="L58" s="64" t="s">
        <v>1721</v>
      </c>
      <c r="M58" s="64" t="s">
        <v>1692</v>
      </c>
      <c r="N58" s="64" t="s">
        <v>1017</v>
      </c>
      <c r="O58" s="64"/>
      <c r="P58" s="64"/>
      <c r="Q58" s="64"/>
      <c r="R58" s="64"/>
      <c r="T58" s="252" t="s">
        <v>2246</v>
      </c>
      <c r="U58" s="253" t="s">
        <v>2245</v>
      </c>
    </row>
    <row r="59" spans="1:25" x14ac:dyDescent="0.35">
      <c r="A59" s="223" t="s">
        <v>758</v>
      </c>
      <c r="B59" s="194" t="s">
        <v>759</v>
      </c>
      <c r="C59" s="194" t="s">
        <v>651</v>
      </c>
      <c r="D59" s="201"/>
      <c r="E59" s="194" t="s">
        <v>759</v>
      </c>
      <c r="F59" s="194" t="s">
        <v>760</v>
      </c>
      <c r="H59" s="64" t="s">
        <v>1288</v>
      </c>
      <c r="I59" s="64" t="s">
        <v>37</v>
      </c>
      <c r="J59" s="64" t="s">
        <v>198</v>
      </c>
      <c r="K59" s="64" t="s">
        <v>199</v>
      </c>
      <c r="L59" s="64" t="s">
        <v>200</v>
      </c>
      <c r="M59" s="64" t="s">
        <v>1692</v>
      </c>
      <c r="N59" s="64" t="s">
        <v>1017</v>
      </c>
      <c r="O59" s="64"/>
      <c r="P59" s="64"/>
      <c r="Q59" s="64"/>
      <c r="R59" s="64"/>
      <c r="T59" s="199" t="s">
        <v>1949</v>
      </c>
      <c r="U59" s="239" t="s">
        <v>1950</v>
      </c>
    </row>
    <row r="60" spans="1:25" x14ac:dyDescent="0.35">
      <c r="A60" s="223" t="s">
        <v>761</v>
      </c>
      <c r="B60" s="194" t="s">
        <v>762</v>
      </c>
      <c r="C60" s="194" t="s">
        <v>651</v>
      </c>
      <c r="D60" s="201" t="s">
        <v>763</v>
      </c>
      <c r="E60" s="194" t="s">
        <v>762</v>
      </c>
      <c r="F60" s="194" t="s">
        <v>764</v>
      </c>
      <c r="H60" s="64" t="s">
        <v>1222</v>
      </c>
      <c r="I60" s="64" t="s">
        <v>1223</v>
      </c>
      <c r="J60" s="64" t="s">
        <v>1224</v>
      </c>
      <c r="K60" s="64" t="s">
        <v>1225</v>
      </c>
      <c r="L60" s="64" t="s">
        <v>1226</v>
      </c>
      <c r="M60" s="64" t="s">
        <v>1692</v>
      </c>
      <c r="N60" s="64" t="s">
        <v>1017</v>
      </c>
      <c r="O60" s="64"/>
      <c r="P60" s="64"/>
      <c r="Q60" s="64"/>
      <c r="R60" s="64"/>
      <c r="T60" s="199" t="s">
        <v>1935</v>
      </c>
      <c r="U60" s="239" t="s">
        <v>1936</v>
      </c>
      <c r="W60" s="392" t="s">
        <v>2284</v>
      </c>
      <c r="X60" s="392"/>
    </row>
    <row r="61" spans="1:25" x14ac:dyDescent="0.35">
      <c r="A61" s="223" t="s">
        <v>765</v>
      </c>
      <c r="B61" s="194" t="s">
        <v>766</v>
      </c>
      <c r="C61" s="194" t="s">
        <v>651</v>
      </c>
      <c r="D61" s="201"/>
      <c r="E61" s="194" t="s">
        <v>766</v>
      </c>
      <c r="F61" s="194" t="s">
        <v>767</v>
      </c>
      <c r="H61" s="64" t="s">
        <v>1267</v>
      </c>
      <c r="I61" s="64" t="s">
        <v>1268</v>
      </c>
      <c r="J61" s="64" t="s">
        <v>1269</v>
      </c>
      <c r="K61" s="64" t="s">
        <v>1270</v>
      </c>
      <c r="L61" s="64" t="s">
        <v>1271</v>
      </c>
      <c r="M61" s="64" t="s">
        <v>1692</v>
      </c>
      <c r="N61" s="64" t="s">
        <v>1017</v>
      </c>
      <c r="O61" s="64"/>
      <c r="P61" s="64"/>
      <c r="Q61" s="64"/>
      <c r="R61" s="64"/>
      <c r="T61" s="248" t="s">
        <v>1937</v>
      </c>
      <c r="U61" s="249" t="s">
        <v>1938</v>
      </c>
      <c r="W61" s="252" t="s">
        <v>2282</v>
      </c>
      <c r="X61" s="254" t="s">
        <v>2283</v>
      </c>
    </row>
    <row r="62" spans="1:25" x14ac:dyDescent="0.35">
      <c r="A62" s="223" t="s">
        <v>768</v>
      </c>
      <c r="B62" s="194" t="s">
        <v>769</v>
      </c>
      <c r="C62" s="194" t="s">
        <v>651</v>
      </c>
      <c r="D62" s="201"/>
      <c r="E62" s="194" t="s">
        <v>769</v>
      </c>
      <c r="F62" s="194" t="s">
        <v>770</v>
      </c>
      <c r="H62" s="64" t="s">
        <v>1262</v>
      </c>
      <c r="I62" s="64" t="s">
        <v>1263</v>
      </c>
      <c r="J62" s="64" t="s">
        <v>1264</v>
      </c>
      <c r="K62" s="64" t="s">
        <v>1265</v>
      </c>
      <c r="L62" s="64" t="s">
        <v>1266</v>
      </c>
      <c r="M62" s="64" t="s">
        <v>1692</v>
      </c>
      <c r="N62" s="64" t="s">
        <v>1017</v>
      </c>
      <c r="O62" s="64"/>
      <c r="P62" s="64"/>
      <c r="Q62" s="64"/>
      <c r="R62" s="64"/>
      <c r="W62" s="199" t="s">
        <v>1909</v>
      </c>
      <c r="X62" s="221" t="s">
        <v>2678</v>
      </c>
    </row>
    <row r="63" spans="1:25" ht="12.35" customHeight="1" x14ac:dyDescent="0.35">
      <c r="A63" s="223" t="s">
        <v>771</v>
      </c>
      <c r="B63" s="194" t="s">
        <v>772</v>
      </c>
      <c r="C63" s="194" t="s">
        <v>651</v>
      </c>
      <c r="D63" s="201"/>
      <c r="E63" s="194" t="s">
        <v>772</v>
      </c>
      <c r="F63" s="194" t="s">
        <v>773</v>
      </c>
      <c r="H63" s="64" t="s">
        <v>1290</v>
      </c>
      <c r="I63" s="64" t="s">
        <v>39</v>
      </c>
      <c r="J63" s="64" t="s">
        <v>204</v>
      </c>
      <c r="K63" s="64" t="s">
        <v>205</v>
      </c>
      <c r="L63" s="64" t="s">
        <v>206</v>
      </c>
      <c r="M63" s="64" t="s">
        <v>1692</v>
      </c>
      <c r="N63" s="64" t="s">
        <v>1017</v>
      </c>
      <c r="O63" s="64"/>
      <c r="P63" s="64"/>
      <c r="Q63" s="64"/>
      <c r="R63" s="64"/>
      <c r="W63" s="199" t="s">
        <v>1910</v>
      </c>
      <c r="X63" s="221" t="s">
        <v>2679</v>
      </c>
    </row>
    <row r="64" spans="1:25" x14ac:dyDescent="0.35">
      <c r="A64" s="223" t="s">
        <v>774</v>
      </c>
      <c r="B64" s="194" t="s">
        <v>775</v>
      </c>
      <c r="C64" s="194" t="s">
        <v>651</v>
      </c>
      <c r="D64" s="201"/>
      <c r="E64" s="194" t="s">
        <v>775</v>
      </c>
      <c r="F64" s="194" t="s">
        <v>776</v>
      </c>
      <c r="H64" s="64" t="s">
        <v>1285</v>
      </c>
      <c r="I64" s="64" t="s">
        <v>34</v>
      </c>
      <c r="J64" s="64" t="s">
        <v>189</v>
      </c>
      <c r="K64" s="64" t="s">
        <v>190</v>
      </c>
      <c r="L64" s="64" t="s">
        <v>191</v>
      </c>
      <c r="M64" s="64" t="s">
        <v>1692</v>
      </c>
      <c r="N64" s="64" t="s">
        <v>1017</v>
      </c>
      <c r="O64" s="64"/>
      <c r="P64" s="64"/>
      <c r="Q64" s="64"/>
      <c r="R64" s="64"/>
      <c r="T64" s="392" t="s">
        <v>2086</v>
      </c>
      <c r="U64" s="392"/>
      <c r="W64" s="199" t="s">
        <v>1911</v>
      </c>
      <c r="X64" s="221" t="s">
        <v>1912</v>
      </c>
    </row>
    <row r="65" spans="1:25" x14ac:dyDescent="0.35">
      <c r="A65" s="223" t="s">
        <v>777</v>
      </c>
      <c r="B65" s="194" t="s">
        <v>778</v>
      </c>
      <c r="C65" s="194" t="s">
        <v>651</v>
      </c>
      <c r="D65" s="201"/>
      <c r="E65" s="194" t="s">
        <v>778</v>
      </c>
      <c r="F65" s="194" t="s">
        <v>779</v>
      </c>
      <c r="H65" s="64" t="s">
        <v>1722</v>
      </c>
      <c r="I65" s="64" t="s">
        <v>2712</v>
      </c>
      <c r="J65" s="64" t="s">
        <v>2045</v>
      </c>
      <c r="K65" s="64"/>
      <c r="L65" s="64"/>
      <c r="M65" s="64" t="s">
        <v>1692</v>
      </c>
      <c r="N65" s="64" t="s">
        <v>1017</v>
      </c>
      <c r="O65" s="64"/>
      <c r="P65" s="64"/>
      <c r="Q65" s="64"/>
      <c r="R65" s="64"/>
      <c r="T65" s="234" t="s">
        <v>2087</v>
      </c>
      <c r="U65" s="241" t="s">
        <v>2088</v>
      </c>
      <c r="W65" s="222" t="s">
        <v>2680</v>
      </c>
      <c r="X65" s="221" t="s">
        <v>2681</v>
      </c>
    </row>
    <row r="66" spans="1:25" x14ac:dyDescent="0.35">
      <c r="A66" s="223" t="s">
        <v>2623</v>
      </c>
      <c r="B66" s="194" t="s">
        <v>2624</v>
      </c>
      <c r="C66" s="194" t="s">
        <v>651</v>
      </c>
      <c r="D66" s="194"/>
      <c r="E66" s="194" t="s">
        <v>2625</v>
      </c>
      <c r="F66" s="194" t="s">
        <v>729</v>
      </c>
      <c r="H66" s="64" t="s">
        <v>1272</v>
      </c>
      <c r="I66" s="64" t="s">
        <v>1273</v>
      </c>
      <c r="J66" s="64" t="s">
        <v>1274</v>
      </c>
      <c r="K66" s="64" t="s">
        <v>1275</v>
      </c>
      <c r="L66" s="64" t="s">
        <v>1276</v>
      </c>
      <c r="M66" s="64" t="s">
        <v>1692</v>
      </c>
      <c r="N66" s="64" t="s">
        <v>1017</v>
      </c>
      <c r="O66" s="64"/>
      <c r="P66" s="64"/>
      <c r="Q66" s="64"/>
      <c r="R66" s="64"/>
      <c r="T66" s="199" t="s">
        <v>2170</v>
      </c>
      <c r="U66" s="239" t="s">
        <v>2173</v>
      </c>
      <c r="W66" s="222" t="s">
        <v>2682</v>
      </c>
      <c r="X66" s="221" t="s">
        <v>2683</v>
      </c>
    </row>
    <row r="67" spans="1:25" x14ac:dyDescent="0.35">
      <c r="A67" s="223" t="s">
        <v>780</v>
      </c>
      <c r="B67" s="194" t="s">
        <v>781</v>
      </c>
      <c r="C67" s="194" t="s">
        <v>651</v>
      </c>
      <c r="D67" s="201"/>
      <c r="E67" s="194" t="s">
        <v>781</v>
      </c>
      <c r="F67" s="194" t="s">
        <v>782</v>
      </c>
      <c r="H67" s="64" t="s">
        <v>1291</v>
      </c>
      <c r="I67" s="64" t="s">
        <v>40</v>
      </c>
      <c r="J67" s="64" t="s">
        <v>207</v>
      </c>
      <c r="K67" s="64" t="s">
        <v>208</v>
      </c>
      <c r="L67" s="64" t="s">
        <v>209</v>
      </c>
      <c r="M67" s="64" t="s">
        <v>1692</v>
      </c>
      <c r="N67" s="64" t="s">
        <v>1017</v>
      </c>
      <c r="O67" s="64"/>
      <c r="P67" s="64"/>
      <c r="Q67" s="64"/>
      <c r="R67" s="64"/>
      <c r="T67" s="199" t="s">
        <v>2171</v>
      </c>
      <c r="U67" s="239" t="s">
        <v>2174</v>
      </c>
      <c r="W67" s="199" t="s">
        <v>1913</v>
      </c>
      <c r="X67" s="221" t="s">
        <v>2684</v>
      </c>
    </row>
    <row r="68" spans="1:25" x14ac:dyDescent="0.35">
      <c r="A68" s="223" t="s">
        <v>783</v>
      </c>
      <c r="B68" s="194" t="s">
        <v>784</v>
      </c>
      <c r="C68" s="194" t="s">
        <v>651</v>
      </c>
      <c r="D68" s="201" t="s">
        <v>664</v>
      </c>
      <c r="E68" s="194" t="s">
        <v>784</v>
      </c>
      <c r="F68" s="194" t="s">
        <v>785</v>
      </c>
      <c r="H68" s="64" t="s">
        <v>1292</v>
      </c>
      <c r="I68" s="64" t="s">
        <v>2046</v>
      </c>
      <c r="J68" s="64" t="s">
        <v>210</v>
      </c>
      <c r="K68" s="64"/>
      <c r="L68" s="64"/>
      <c r="M68" s="64" t="s">
        <v>1692</v>
      </c>
      <c r="N68" s="64" t="s">
        <v>1017</v>
      </c>
      <c r="O68" s="64"/>
      <c r="P68" s="64"/>
      <c r="Q68" s="64"/>
      <c r="R68" s="64"/>
      <c r="T68" s="248" t="s">
        <v>2172</v>
      </c>
      <c r="U68" s="144" t="s">
        <v>612</v>
      </c>
      <c r="W68" s="199" t="s">
        <v>1914</v>
      </c>
      <c r="X68" s="221" t="s">
        <v>1915</v>
      </c>
    </row>
    <row r="69" spans="1:25" x14ac:dyDescent="0.35">
      <c r="A69" s="223" t="s">
        <v>786</v>
      </c>
      <c r="B69" s="194" t="s">
        <v>787</v>
      </c>
      <c r="C69" s="194" t="s">
        <v>651</v>
      </c>
      <c r="D69" s="201"/>
      <c r="E69" s="194" t="s">
        <v>787</v>
      </c>
      <c r="F69" s="194" t="s">
        <v>788</v>
      </c>
      <c r="H69" s="64" t="s">
        <v>1293</v>
      </c>
      <c r="I69" s="64" t="s">
        <v>41</v>
      </c>
      <c r="J69" s="64" t="s">
        <v>211</v>
      </c>
      <c r="K69" s="64" t="s">
        <v>212</v>
      </c>
      <c r="L69" s="64" t="s">
        <v>213</v>
      </c>
      <c r="M69" s="64" t="s">
        <v>1692</v>
      </c>
      <c r="N69" s="64" t="s">
        <v>1017</v>
      </c>
      <c r="O69" s="64"/>
      <c r="P69" s="64"/>
      <c r="Q69" s="64"/>
      <c r="R69" s="64"/>
      <c r="W69" s="248" t="s">
        <v>1392</v>
      </c>
      <c r="X69" s="243" t="s">
        <v>1916</v>
      </c>
      <c r="Y69" s="244"/>
    </row>
    <row r="70" spans="1:25" x14ac:dyDescent="0.35">
      <c r="A70" s="223" t="s">
        <v>789</v>
      </c>
      <c r="B70" s="194" t="s">
        <v>790</v>
      </c>
      <c r="C70" s="194" t="s">
        <v>651</v>
      </c>
      <c r="D70" s="201"/>
      <c r="E70" s="194" t="s">
        <v>790</v>
      </c>
      <c r="F70" s="194" t="s">
        <v>791</v>
      </c>
      <c r="H70" s="64" t="s">
        <v>1297</v>
      </c>
      <c r="I70" s="64" t="s">
        <v>45</v>
      </c>
      <c r="J70" s="64" t="s">
        <v>221</v>
      </c>
      <c r="K70" s="64" t="s">
        <v>222</v>
      </c>
      <c r="L70" s="64" t="s">
        <v>223</v>
      </c>
      <c r="M70" s="64" t="s">
        <v>1692</v>
      </c>
      <c r="N70" s="64" t="s">
        <v>1017</v>
      </c>
      <c r="O70" s="64"/>
      <c r="P70" s="64"/>
      <c r="Q70" s="64"/>
      <c r="R70" s="64"/>
    </row>
    <row r="71" spans="1:25" x14ac:dyDescent="0.35">
      <c r="A71" s="223" t="s">
        <v>2626</v>
      </c>
      <c r="B71" s="194" t="s">
        <v>792</v>
      </c>
      <c r="C71" s="194" t="s">
        <v>651</v>
      </c>
      <c r="D71" s="201" t="s">
        <v>743</v>
      </c>
      <c r="E71" s="194" t="s">
        <v>792</v>
      </c>
      <c r="F71" s="194" t="s">
        <v>793</v>
      </c>
      <c r="H71" s="64" t="s">
        <v>1294</v>
      </c>
      <c r="I71" s="64" t="s">
        <v>42</v>
      </c>
      <c r="J71" s="64" t="s">
        <v>214</v>
      </c>
      <c r="K71" s="64" t="s">
        <v>215</v>
      </c>
      <c r="L71" s="64" t="s">
        <v>216</v>
      </c>
      <c r="M71" s="64" t="s">
        <v>1692</v>
      </c>
      <c r="N71" s="64" t="s">
        <v>1017</v>
      </c>
      <c r="O71" s="64"/>
      <c r="P71" s="64"/>
      <c r="Q71" s="64"/>
      <c r="R71" s="64"/>
      <c r="T71" s="394" t="s">
        <v>1870</v>
      </c>
      <c r="U71" s="394"/>
    </row>
    <row r="72" spans="1:25" ht="12.35" customHeight="1" x14ac:dyDescent="0.35">
      <c r="A72" s="223" t="s">
        <v>2627</v>
      </c>
      <c r="B72" s="194" t="s">
        <v>2628</v>
      </c>
      <c r="C72" s="194" t="s">
        <v>651</v>
      </c>
      <c r="D72" s="194"/>
      <c r="E72" s="194" t="s">
        <v>2629</v>
      </c>
      <c r="F72" s="194" t="s">
        <v>729</v>
      </c>
      <c r="H72" s="64" t="s">
        <v>1295</v>
      </c>
      <c r="I72" s="64" t="s">
        <v>43</v>
      </c>
      <c r="J72" s="64" t="s">
        <v>217</v>
      </c>
      <c r="K72" s="64"/>
      <c r="L72" s="64"/>
      <c r="M72" s="64" t="s">
        <v>1692</v>
      </c>
      <c r="N72" s="64" t="s">
        <v>1017</v>
      </c>
      <c r="O72" s="64"/>
      <c r="P72" s="64"/>
      <c r="Q72" s="64"/>
      <c r="R72" s="64"/>
      <c r="T72" s="232" t="s">
        <v>2100</v>
      </c>
      <c r="U72" s="233" t="s">
        <v>1393</v>
      </c>
    </row>
    <row r="73" spans="1:25" x14ac:dyDescent="0.35">
      <c r="A73" s="223" t="s">
        <v>794</v>
      </c>
      <c r="B73" s="194" t="s">
        <v>795</v>
      </c>
      <c r="C73" s="194" t="s">
        <v>651</v>
      </c>
      <c r="D73" s="201" t="s">
        <v>1589</v>
      </c>
      <c r="E73" s="194" t="s">
        <v>795</v>
      </c>
      <c r="F73" s="194" t="s">
        <v>796</v>
      </c>
      <c r="H73" s="64" t="s">
        <v>1723</v>
      </c>
      <c r="I73" s="64" t="s">
        <v>1724</v>
      </c>
      <c r="J73" s="64" t="s">
        <v>1725</v>
      </c>
      <c r="K73" s="64" t="s">
        <v>1726</v>
      </c>
      <c r="L73" s="64" t="s">
        <v>1727</v>
      </c>
      <c r="M73" s="64" t="s">
        <v>1692</v>
      </c>
      <c r="N73" s="64" t="s">
        <v>1017</v>
      </c>
      <c r="O73" s="64"/>
      <c r="P73" s="64"/>
      <c r="Q73" s="64"/>
      <c r="R73" s="64"/>
      <c r="T73" s="145" t="s">
        <v>1397</v>
      </c>
      <c r="U73" s="146" t="s">
        <v>2169</v>
      </c>
      <c r="W73" s="389" t="s">
        <v>2325</v>
      </c>
      <c r="X73" s="389"/>
    </row>
    <row r="74" spans="1:25" x14ac:dyDescent="0.35">
      <c r="A74" s="223" t="s">
        <v>797</v>
      </c>
      <c r="B74" s="194" t="s">
        <v>798</v>
      </c>
      <c r="C74" s="194" t="s">
        <v>651</v>
      </c>
      <c r="D74" s="201"/>
      <c r="E74" s="194" t="s">
        <v>798</v>
      </c>
      <c r="F74" s="194" t="s">
        <v>799</v>
      </c>
      <c r="H74" s="64" t="s">
        <v>1728</v>
      </c>
      <c r="I74" s="64" t="s">
        <v>2713</v>
      </c>
      <c r="J74" s="64" t="s">
        <v>1729</v>
      </c>
      <c r="K74" s="64" t="s">
        <v>1730</v>
      </c>
      <c r="L74" s="64" t="s">
        <v>1731</v>
      </c>
      <c r="M74" s="64" t="s">
        <v>1692</v>
      </c>
      <c r="N74" s="64" t="s">
        <v>1017</v>
      </c>
      <c r="O74" s="64"/>
      <c r="P74" s="64"/>
      <c r="Q74" s="64"/>
      <c r="R74" s="64"/>
      <c r="T74" s="145" t="s">
        <v>1395</v>
      </c>
      <c r="U74" s="146" t="s">
        <v>2182</v>
      </c>
      <c r="W74" s="255" t="s">
        <v>2319</v>
      </c>
      <c r="X74" s="256" t="s">
        <v>2326</v>
      </c>
      <c r="Y74" s="200" t="s">
        <v>2332</v>
      </c>
    </row>
    <row r="75" spans="1:25" x14ac:dyDescent="0.35">
      <c r="A75" s="223" t="s">
        <v>800</v>
      </c>
      <c r="B75" s="194" t="s">
        <v>801</v>
      </c>
      <c r="C75" s="194" t="s">
        <v>651</v>
      </c>
      <c r="D75" s="64" t="s">
        <v>1582</v>
      </c>
      <c r="E75" s="194" t="s">
        <v>801</v>
      </c>
      <c r="F75" s="194" t="s">
        <v>802</v>
      </c>
      <c r="H75" s="64" t="s">
        <v>1247</v>
      </c>
      <c r="I75" s="64" t="s">
        <v>1248</v>
      </c>
      <c r="J75" s="64" t="s">
        <v>1249</v>
      </c>
      <c r="K75" s="64" t="s">
        <v>1250</v>
      </c>
      <c r="L75" s="64" t="s">
        <v>1251</v>
      </c>
      <c r="M75" s="64" t="s">
        <v>1692</v>
      </c>
      <c r="N75" s="64" t="s">
        <v>1017</v>
      </c>
      <c r="O75" s="64"/>
      <c r="P75" s="64"/>
      <c r="Q75" s="64"/>
      <c r="R75" s="64"/>
      <c r="T75" s="145" t="s">
        <v>1396</v>
      </c>
      <c r="U75" s="146" t="s">
        <v>2183</v>
      </c>
      <c r="W75" s="197" t="s">
        <v>2257</v>
      </c>
      <c r="X75" s="198" t="s">
        <v>2331</v>
      </c>
      <c r="Y75" s="64">
        <v>0</v>
      </c>
    </row>
    <row r="76" spans="1:25" x14ac:dyDescent="0.35">
      <c r="A76" s="223" t="s">
        <v>2630</v>
      </c>
      <c r="B76" s="194" t="s">
        <v>803</v>
      </c>
      <c r="C76" s="194" t="s">
        <v>651</v>
      </c>
      <c r="D76" s="64"/>
      <c r="E76" s="194" t="s">
        <v>803</v>
      </c>
      <c r="F76" s="194" t="s">
        <v>804</v>
      </c>
      <c r="H76" s="64" t="s">
        <v>1242</v>
      </c>
      <c r="I76" s="64" t="s">
        <v>1243</v>
      </c>
      <c r="J76" s="64" t="s">
        <v>1244</v>
      </c>
      <c r="K76" s="64" t="s">
        <v>1245</v>
      </c>
      <c r="L76" s="64" t="s">
        <v>1246</v>
      </c>
      <c r="M76" s="64" t="s">
        <v>1692</v>
      </c>
      <c r="N76" s="64" t="s">
        <v>1017</v>
      </c>
      <c r="O76" s="64"/>
      <c r="P76" s="64"/>
      <c r="Q76" s="64"/>
      <c r="R76" s="64"/>
      <c r="T76" s="147" t="s">
        <v>1392</v>
      </c>
      <c r="U76" s="144" t="s">
        <v>612</v>
      </c>
      <c r="W76" s="197" t="s">
        <v>2254</v>
      </c>
      <c r="X76" s="198" t="s">
        <v>2329</v>
      </c>
      <c r="Y76" s="64">
        <v>1</v>
      </c>
    </row>
    <row r="77" spans="1:25" x14ac:dyDescent="0.35">
      <c r="A77" s="223" t="s">
        <v>805</v>
      </c>
      <c r="B77" s="194" t="s">
        <v>806</v>
      </c>
      <c r="C77" s="194" t="s">
        <v>651</v>
      </c>
      <c r="D77" s="201"/>
      <c r="E77" s="194" t="s">
        <v>806</v>
      </c>
      <c r="F77" s="194" t="s">
        <v>807</v>
      </c>
      <c r="H77" s="64" t="s">
        <v>1237</v>
      </c>
      <c r="I77" s="64" t="s">
        <v>1238</v>
      </c>
      <c r="J77" s="64" t="s">
        <v>1239</v>
      </c>
      <c r="K77" s="64" t="s">
        <v>1240</v>
      </c>
      <c r="L77" s="64" t="s">
        <v>1241</v>
      </c>
      <c r="M77" s="64" t="s">
        <v>1692</v>
      </c>
      <c r="N77" s="64" t="s">
        <v>1017</v>
      </c>
      <c r="O77" s="64"/>
      <c r="P77" s="64"/>
      <c r="Q77" s="64"/>
      <c r="R77" s="64"/>
      <c r="W77" s="197" t="s">
        <v>2255</v>
      </c>
      <c r="X77" s="198" t="s">
        <v>2328</v>
      </c>
      <c r="Y77" s="64">
        <v>2</v>
      </c>
    </row>
    <row r="78" spans="1:25" x14ac:dyDescent="0.35">
      <c r="A78" s="223" t="s">
        <v>808</v>
      </c>
      <c r="B78" s="194" t="s">
        <v>809</v>
      </c>
      <c r="C78" s="194" t="s">
        <v>651</v>
      </c>
      <c r="D78" s="201" t="s">
        <v>810</v>
      </c>
      <c r="E78" s="194" t="s">
        <v>809</v>
      </c>
      <c r="F78" s="194" t="s">
        <v>811</v>
      </c>
      <c r="H78" s="64" t="s">
        <v>1212</v>
      </c>
      <c r="I78" s="64" t="s">
        <v>1213</v>
      </c>
      <c r="J78" s="64" t="s">
        <v>1214</v>
      </c>
      <c r="K78" s="64" t="s">
        <v>1215</v>
      </c>
      <c r="L78" s="64" t="s">
        <v>1216</v>
      </c>
      <c r="M78" s="64" t="s">
        <v>1692</v>
      </c>
      <c r="N78" s="64" t="s">
        <v>1017</v>
      </c>
      <c r="O78" s="64"/>
      <c r="W78" s="197" t="s">
        <v>2256</v>
      </c>
      <c r="X78" s="198" t="s">
        <v>2330</v>
      </c>
      <c r="Y78" s="64">
        <v>3</v>
      </c>
    </row>
    <row r="79" spans="1:25" x14ac:dyDescent="0.35">
      <c r="A79" s="223" t="s">
        <v>812</v>
      </c>
      <c r="B79" s="194" t="s">
        <v>813</v>
      </c>
      <c r="C79" s="194" t="s">
        <v>651</v>
      </c>
      <c r="D79" s="201"/>
      <c r="E79" s="194" t="s">
        <v>813</v>
      </c>
      <c r="F79" s="194" t="s">
        <v>814</v>
      </c>
      <c r="H79" s="64" t="s">
        <v>1252</v>
      </c>
      <c r="I79" s="64" t="s">
        <v>1253</v>
      </c>
      <c r="J79" s="64" t="s">
        <v>1254</v>
      </c>
      <c r="K79" s="64" t="s">
        <v>1255</v>
      </c>
      <c r="L79" s="64" t="s">
        <v>1256</v>
      </c>
      <c r="M79" s="64" t="s">
        <v>1692</v>
      </c>
      <c r="N79" s="206" t="s">
        <v>1081</v>
      </c>
      <c r="O79" s="64"/>
      <c r="T79" s="391" t="s">
        <v>1872</v>
      </c>
      <c r="U79" s="391"/>
      <c r="W79" s="199" t="s">
        <v>639</v>
      </c>
      <c r="X79" s="200" t="s">
        <v>2327</v>
      </c>
      <c r="Y79" s="64">
        <v>4</v>
      </c>
    </row>
    <row r="80" spans="1:25" x14ac:dyDescent="0.35">
      <c r="A80" s="223" t="s">
        <v>815</v>
      </c>
      <c r="B80" s="194" t="s">
        <v>816</v>
      </c>
      <c r="C80" s="194" t="s">
        <v>651</v>
      </c>
      <c r="D80" s="201"/>
      <c r="E80" s="194" t="s">
        <v>816</v>
      </c>
      <c r="F80" s="194" t="s">
        <v>817</v>
      </c>
      <c r="H80" s="64" t="s">
        <v>1202</v>
      </c>
      <c r="I80" s="64" t="s">
        <v>1203</v>
      </c>
      <c r="J80" s="64" t="s">
        <v>1204</v>
      </c>
      <c r="K80" s="64" t="s">
        <v>1205</v>
      </c>
      <c r="L80" s="64" t="s">
        <v>1206</v>
      </c>
      <c r="M80" s="64" t="s">
        <v>1692</v>
      </c>
      <c r="N80" s="206" t="s">
        <v>1081</v>
      </c>
      <c r="O80" s="64"/>
      <c r="T80" s="257" t="s">
        <v>1987</v>
      </c>
      <c r="U80" s="258" t="s">
        <v>1869</v>
      </c>
      <c r="V80" s="200" t="s">
        <v>2185</v>
      </c>
      <c r="W80" s="248" t="s">
        <v>1003</v>
      </c>
      <c r="X80" s="259" t="s">
        <v>1916</v>
      </c>
    </row>
    <row r="81" spans="1:24" x14ac:dyDescent="0.35">
      <c r="A81" s="223" t="s">
        <v>2631</v>
      </c>
      <c r="B81" s="194" t="s">
        <v>2632</v>
      </c>
      <c r="C81" s="194" t="s">
        <v>651</v>
      </c>
      <c r="D81" s="201"/>
      <c r="E81" s="194" t="s">
        <v>821</v>
      </c>
      <c r="F81" s="194" t="s">
        <v>822</v>
      </c>
      <c r="H81" s="64" t="s">
        <v>1289</v>
      </c>
      <c r="I81" s="64" t="s">
        <v>38</v>
      </c>
      <c r="J81" s="64" t="s">
        <v>201</v>
      </c>
      <c r="K81" s="64" t="s">
        <v>202</v>
      </c>
      <c r="L81" s="64" t="s">
        <v>203</v>
      </c>
      <c r="M81" s="64" t="s">
        <v>1692</v>
      </c>
      <c r="N81" s="206" t="s">
        <v>1070</v>
      </c>
      <c r="O81" s="64"/>
      <c r="T81" s="213" t="s">
        <v>982</v>
      </c>
      <c r="U81" s="214" t="s">
        <v>585</v>
      </c>
      <c r="V81" s="200" t="s">
        <v>588</v>
      </c>
    </row>
    <row r="82" spans="1:24" x14ac:dyDescent="0.35">
      <c r="A82" s="223" t="s">
        <v>2633</v>
      </c>
      <c r="B82" s="194" t="s">
        <v>2634</v>
      </c>
      <c r="C82" s="194" t="s">
        <v>651</v>
      </c>
      <c r="D82" s="201"/>
      <c r="E82" s="194" t="s">
        <v>823</v>
      </c>
      <c r="F82" s="194" t="s">
        <v>824</v>
      </c>
      <c r="H82" s="64" t="s">
        <v>1217</v>
      </c>
      <c r="I82" s="64" t="s">
        <v>1218</v>
      </c>
      <c r="J82" s="64" t="s">
        <v>1219</v>
      </c>
      <c r="K82" s="64" t="s">
        <v>1220</v>
      </c>
      <c r="L82" s="64" t="s">
        <v>1221</v>
      </c>
      <c r="M82" s="64" t="s">
        <v>1692</v>
      </c>
      <c r="N82" s="206" t="s">
        <v>1070</v>
      </c>
      <c r="O82" s="64"/>
      <c r="T82" s="213" t="s">
        <v>2181</v>
      </c>
      <c r="U82" s="214" t="s">
        <v>586</v>
      </c>
      <c r="V82" s="200" t="s">
        <v>587</v>
      </c>
    </row>
    <row r="83" spans="1:24" x14ac:dyDescent="0.35">
      <c r="A83" s="223" t="s">
        <v>2635</v>
      </c>
      <c r="B83" s="194" t="s">
        <v>2636</v>
      </c>
      <c r="C83" s="194" t="s">
        <v>651</v>
      </c>
      <c r="D83" s="201"/>
      <c r="E83" s="194" t="s">
        <v>825</v>
      </c>
      <c r="F83" s="194" t="s">
        <v>826</v>
      </c>
      <c r="H83" s="64" t="s">
        <v>1232</v>
      </c>
      <c r="I83" s="64" t="s">
        <v>1233</v>
      </c>
      <c r="J83" s="64" t="s">
        <v>1234</v>
      </c>
      <c r="K83" s="64" t="s">
        <v>1235</v>
      </c>
      <c r="L83" s="64" t="s">
        <v>1236</v>
      </c>
      <c r="M83" s="64" t="s">
        <v>1692</v>
      </c>
      <c r="N83" s="206" t="s">
        <v>1070</v>
      </c>
      <c r="O83" s="64"/>
      <c r="T83" s="213" t="s">
        <v>985</v>
      </c>
      <c r="U83" s="214" t="s">
        <v>1940</v>
      </c>
      <c r="V83" s="200" t="s">
        <v>1939</v>
      </c>
      <c r="W83" s="389" t="s">
        <v>2760</v>
      </c>
      <c r="X83" s="389"/>
    </row>
    <row r="84" spans="1:24" x14ac:dyDescent="0.35">
      <c r="A84" s="223" t="s">
        <v>2637</v>
      </c>
      <c r="B84" s="194" t="s">
        <v>2638</v>
      </c>
      <c r="C84" s="194" t="s">
        <v>651</v>
      </c>
      <c r="D84" s="201" t="s">
        <v>1585</v>
      </c>
      <c r="E84" s="194" t="s">
        <v>827</v>
      </c>
      <c r="F84" s="194" t="s">
        <v>828</v>
      </c>
      <c r="H84" s="64" t="s">
        <v>1257</v>
      </c>
      <c r="I84" s="64" t="s">
        <v>1258</v>
      </c>
      <c r="J84" s="64" t="s">
        <v>1259</v>
      </c>
      <c r="K84" s="64" t="s">
        <v>1260</v>
      </c>
      <c r="L84" s="64" t="s">
        <v>1261</v>
      </c>
      <c r="M84" s="64" t="s">
        <v>1692</v>
      </c>
      <c r="N84" s="206" t="s">
        <v>1070</v>
      </c>
      <c r="O84" s="64"/>
      <c r="P84" s="64"/>
      <c r="Q84" s="64"/>
      <c r="R84" s="64"/>
      <c r="T84" s="213" t="s">
        <v>1636</v>
      </c>
      <c r="U84" s="214" t="s">
        <v>1941</v>
      </c>
      <c r="V84" s="200" t="s">
        <v>2180</v>
      </c>
      <c r="W84" s="255" t="s">
        <v>2767</v>
      </c>
      <c r="X84" s="301" t="s">
        <v>2766</v>
      </c>
    </row>
    <row r="85" spans="1:24" x14ac:dyDescent="0.35">
      <c r="A85" s="223" t="s">
        <v>818</v>
      </c>
      <c r="B85" s="194" t="s">
        <v>818</v>
      </c>
      <c r="C85" s="194" t="s">
        <v>651</v>
      </c>
      <c r="D85" s="201" t="s">
        <v>819</v>
      </c>
      <c r="E85" s="194" t="s">
        <v>818</v>
      </c>
      <c r="F85" s="194" t="s">
        <v>820</v>
      </c>
      <c r="H85" s="64" t="s">
        <v>1296</v>
      </c>
      <c r="I85" s="64" t="s">
        <v>44</v>
      </c>
      <c r="J85" s="64" t="s">
        <v>218</v>
      </c>
      <c r="K85" s="64" t="s">
        <v>219</v>
      </c>
      <c r="L85" s="64" t="s">
        <v>220</v>
      </c>
      <c r="M85" s="64" t="s">
        <v>1692</v>
      </c>
      <c r="N85" s="206" t="s">
        <v>1070</v>
      </c>
      <c r="O85" s="64"/>
      <c r="P85" s="201"/>
      <c r="Q85" s="64"/>
      <c r="R85" s="64"/>
      <c r="T85" s="248" t="s">
        <v>1003</v>
      </c>
      <c r="U85" s="144" t="s">
        <v>612</v>
      </c>
      <c r="W85" s="199" t="s">
        <v>2764</v>
      </c>
      <c r="X85" s="239" t="s">
        <v>2762</v>
      </c>
    </row>
    <row r="86" spans="1:24" x14ac:dyDescent="0.35">
      <c r="A86" s="223" t="s">
        <v>829</v>
      </c>
      <c r="B86" s="194" t="s">
        <v>830</v>
      </c>
      <c r="C86" s="194" t="s">
        <v>651</v>
      </c>
      <c r="D86" s="201"/>
      <c r="E86" s="194" t="s">
        <v>830</v>
      </c>
      <c r="F86" s="194" t="s">
        <v>831</v>
      </c>
      <c r="H86" s="194" t="s">
        <v>1732</v>
      </c>
      <c r="I86" s="194" t="s">
        <v>1733</v>
      </c>
      <c r="J86" s="194" t="s">
        <v>1734</v>
      </c>
      <c r="K86" s="194" t="s">
        <v>1735</v>
      </c>
      <c r="L86" s="194" t="s">
        <v>1736</v>
      </c>
      <c r="M86" s="202" t="s">
        <v>1692</v>
      </c>
      <c r="N86" s="208" t="s">
        <v>1737</v>
      </c>
      <c r="O86" s="201"/>
      <c r="P86" s="64"/>
      <c r="Q86" s="64"/>
      <c r="R86" s="64"/>
      <c r="W86" s="199" t="s">
        <v>2765</v>
      </c>
      <c r="X86" s="239" t="s">
        <v>2761</v>
      </c>
    </row>
    <row r="87" spans="1:24" x14ac:dyDescent="0.35">
      <c r="A87" s="223" t="s">
        <v>835</v>
      </c>
      <c r="B87" s="194" t="s">
        <v>836</v>
      </c>
      <c r="C87" s="194" t="s">
        <v>651</v>
      </c>
      <c r="D87" s="201" t="s">
        <v>743</v>
      </c>
      <c r="E87" s="194" t="s">
        <v>836</v>
      </c>
      <c r="F87" s="194" t="s">
        <v>837</v>
      </c>
      <c r="H87" s="64" t="s">
        <v>1279</v>
      </c>
      <c r="I87" s="64" t="s">
        <v>28</v>
      </c>
      <c r="J87" s="64" t="s">
        <v>171</v>
      </c>
      <c r="K87" s="64" t="s">
        <v>172</v>
      </c>
      <c r="L87" s="64" t="s">
        <v>173</v>
      </c>
      <c r="M87" s="64" t="s">
        <v>1738</v>
      </c>
      <c r="N87" s="64" t="s">
        <v>1017</v>
      </c>
      <c r="O87" s="64"/>
      <c r="P87" s="64"/>
      <c r="Q87" s="64"/>
      <c r="R87" s="64"/>
      <c r="W87" s="199" t="s">
        <v>2768</v>
      </c>
      <c r="X87" s="239" t="s">
        <v>2763</v>
      </c>
    </row>
    <row r="88" spans="1:24" ht="12.45" thickBot="1" x14ac:dyDescent="0.4">
      <c r="A88" s="223" t="s">
        <v>2639</v>
      </c>
      <c r="B88" s="194" t="s">
        <v>2640</v>
      </c>
      <c r="C88" s="225" t="s">
        <v>651</v>
      </c>
      <c r="D88" s="194"/>
      <c r="E88" s="194" t="s">
        <v>2641</v>
      </c>
      <c r="F88" s="194" t="s">
        <v>729</v>
      </c>
      <c r="H88" s="64" t="s">
        <v>1281</v>
      </c>
      <c r="I88" s="64" t="s">
        <v>30</v>
      </c>
      <c r="J88" s="64" t="s">
        <v>177</v>
      </c>
      <c r="K88" s="64" t="s">
        <v>178</v>
      </c>
      <c r="L88" s="64" t="s">
        <v>179</v>
      </c>
      <c r="M88" s="64" t="s">
        <v>1738</v>
      </c>
      <c r="N88" s="64" t="s">
        <v>1017</v>
      </c>
      <c r="O88" s="64"/>
      <c r="P88" s="64"/>
      <c r="Q88" s="64"/>
      <c r="R88" s="64"/>
      <c r="T88" s="391" t="s">
        <v>1871</v>
      </c>
      <c r="U88" s="391"/>
      <c r="W88" s="248" t="s">
        <v>1392</v>
      </c>
      <c r="X88" s="243" t="s">
        <v>1916</v>
      </c>
    </row>
    <row r="89" spans="1:24" x14ac:dyDescent="0.35">
      <c r="A89" s="223" t="s">
        <v>838</v>
      </c>
      <c r="B89" s="194" t="s">
        <v>839</v>
      </c>
      <c r="C89" s="194" t="s">
        <v>840</v>
      </c>
      <c r="D89" s="201"/>
      <c r="E89" s="194" t="s">
        <v>839</v>
      </c>
      <c r="F89" s="194" t="s">
        <v>841</v>
      </c>
      <c r="H89" s="64" t="s">
        <v>1298</v>
      </c>
      <c r="I89" s="64" t="s">
        <v>46</v>
      </c>
      <c r="J89" s="64" t="s">
        <v>224</v>
      </c>
      <c r="K89" s="64" t="s">
        <v>225</v>
      </c>
      <c r="L89" s="64" t="s">
        <v>226</v>
      </c>
      <c r="M89" s="64" t="s">
        <v>1738</v>
      </c>
      <c r="N89" s="64" t="s">
        <v>1017</v>
      </c>
      <c r="O89" s="64"/>
      <c r="P89" s="64"/>
      <c r="Q89" s="64"/>
      <c r="R89" s="64"/>
      <c r="T89" s="232" t="s">
        <v>2289</v>
      </c>
      <c r="U89" s="236" t="s">
        <v>2290</v>
      </c>
    </row>
    <row r="90" spans="1:24" x14ac:dyDescent="0.35">
      <c r="A90" s="223" t="s">
        <v>842</v>
      </c>
      <c r="B90" s="194" t="s">
        <v>843</v>
      </c>
      <c r="C90" s="194" t="s">
        <v>840</v>
      </c>
      <c r="D90" s="201"/>
      <c r="E90" s="194" t="s">
        <v>844</v>
      </c>
      <c r="F90" s="194" t="s">
        <v>845</v>
      </c>
      <c r="H90" s="64" t="s">
        <v>1299</v>
      </c>
      <c r="I90" s="64" t="s">
        <v>47</v>
      </c>
      <c r="J90" s="64" t="s">
        <v>227</v>
      </c>
      <c r="K90" s="64" t="s">
        <v>228</v>
      </c>
      <c r="L90" s="64" t="s">
        <v>229</v>
      </c>
      <c r="M90" s="64" t="s">
        <v>1738</v>
      </c>
      <c r="N90" s="64" t="s">
        <v>1017</v>
      </c>
      <c r="O90" s="64"/>
      <c r="P90" s="64"/>
      <c r="Q90" s="64"/>
      <c r="R90" s="64"/>
      <c r="T90" s="213" t="s">
        <v>2242</v>
      </c>
      <c r="U90" s="260" t="s">
        <v>2654</v>
      </c>
    </row>
    <row r="91" spans="1:24" x14ac:dyDescent="0.35">
      <c r="A91" s="223" t="s">
        <v>895</v>
      </c>
      <c r="B91" s="194" t="s">
        <v>896</v>
      </c>
      <c r="C91" s="194" t="s">
        <v>840</v>
      </c>
      <c r="D91" s="201"/>
      <c r="E91" s="194" t="s">
        <v>896</v>
      </c>
      <c r="F91" s="194" t="s">
        <v>897</v>
      </c>
      <c r="H91" s="64" t="s">
        <v>1300</v>
      </c>
      <c r="I91" s="64" t="s">
        <v>48</v>
      </c>
      <c r="J91" s="64" t="s">
        <v>230</v>
      </c>
      <c r="K91" s="64" t="s">
        <v>231</v>
      </c>
      <c r="L91" s="64" t="s">
        <v>232</v>
      </c>
      <c r="M91" s="64" t="s">
        <v>1738</v>
      </c>
      <c r="N91" s="64" t="s">
        <v>1017</v>
      </c>
      <c r="O91" s="64"/>
      <c r="P91" s="64"/>
      <c r="Q91" s="64"/>
      <c r="R91" s="64"/>
      <c r="T91" s="213" t="s">
        <v>2243</v>
      </c>
      <c r="U91" s="260" t="s">
        <v>2655</v>
      </c>
    </row>
    <row r="92" spans="1:24" x14ac:dyDescent="0.35">
      <c r="A92" s="223" t="s">
        <v>928</v>
      </c>
      <c r="B92" s="194" t="s">
        <v>929</v>
      </c>
      <c r="C92" s="194" t="s">
        <v>840</v>
      </c>
      <c r="D92" s="201"/>
      <c r="E92" s="194" t="s">
        <v>929</v>
      </c>
      <c r="F92" s="194" t="s">
        <v>930</v>
      </c>
      <c r="H92" s="64" t="s">
        <v>1301</v>
      </c>
      <c r="I92" s="64" t="s">
        <v>49</v>
      </c>
      <c r="J92" s="64" t="s">
        <v>233</v>
      </c>
      <c r="K92" s="64" t="s">
        <v>234</v>
      </c>
      <c r="L92" s="64" t="s">
        <v>235</v>
      </c>
      <c r="M92" s="64" t="s">
        <v>1738</v>
      </c>
      <c r="N92" s="64" t="s">
        <v>1017</v>
      </c>
      <c r="O92" s="64"/>
      <c r="P92" s="64"/>
      <c r="Q92" s="64"/>
      <c r="R92" s="64"/>
      <c r="T92" s="215" t="s">
        <v>2244</v>
      </c>
      <c r="U92" s="216" t="s">
        <v>2656</v>
      </c>
    </row>
    <row r="93" spans="1:24" ht="12.45" thickBot="1" x14ac:dyDescent="0.4">
      <c r="A93" s="223" t="s">
        <v>852</v>
      </c>
      <c r="B93" s="194" t="s">
        <v>853</v>
      </c>
      <c r="C93" s="225" t="s">
        <v>840</v>
      </c>
      <c r="D93" s="201"/>
      <c r="E93" s="194" t="s">
        <v>853</v>
      </c>
      <c r="F93" s="194" t="s">
        <v>854</v>
      </c>
      <c r="H93" s="64" t="s">
        <v>1302</v>
      </c>
      <c r="I93" s="64" t="s">
        <v>50</v>
      </c>
      <c r="J93" s="64" t="s">
        <v>236</v>
      </c>
      <c r="K93" s="64" t="s">
        <v>237</v>
      </c>
      <c r="L93" s="64" t="s">
        <v>238</v>
      </c>
      <c r="M93" s="64" t="s">
        <v>1738</v>
      </c>
      <c r="N93" s="64" t="s">
        <v>1017</v>
      </c>
      <c r="O93" s="64"/>
      <c r="P93" s="64"/>
      <c r="Q93" s="64"/>
      <c r="R93" s="64"/>
    </row>
    <row r="94" spans="1:24" x14ac:dyDescent="0.35">
      <c r="A94" s="223" t="s">
        <v>1590</v>
      </c>
      <c r="B94" s="194" t="s">
        <v>1591</v>
      </c>
      <c r="C94" s="194" t="s">
        <v>857</v>
      </c>
      <c r="D94" s="201"/>
      <c r="E94" s="194" t="s">
        <v>1591</v>
      </c>
      <c r="F94" s="194" t="s">
        <v>1592</v>
      </c>
      <c r="H94" s="64" t="s">
        <v>1303</v>
      </c>
      <c r="I94" s="64" t="s">
        <v>51</v>
      </c>
      <c r="J94" s="64" t="s">
        <v>239</v>
      </c>
      <c r="K94" s="64" t="s">
        <v>240</v>
      </c>
      <c r="L94" s="64" t="s">
        <v>241</v>
      </c>
      <c r="M94" s="64" t="s">
        <v>1738</v>
      </c>
      <c r="N94" s="64" t="s">
        <v>1017</v>
      </c>
      <c r="O94" s="64"/>
      <c r="P94" s="64"/>
      <c r="Q94" s="64"/>
      <c r="R94" s="64"/>
    </row>
    <row r="95" spans="1:24" x14ac:dyDescent="0.35">
      <c r="A95" s="223" t="s">
        <v>855</v>
      </c>
      <c r="B95" s="194" t="s">
        <v>856</v>
      </c>
      <c r="C95" s="194" t="s">
        <v>857</v>
      </c>
      <c r="D95" s="201"/>
      <c r="E95" s="194" t="s">
        <v>856</v>
      </c>
      <c r="F95" s="194" t="s">
        <v>858</v>
      </c>
      <c r="H95" s="64" t="s">
        <v>1304</v>
      </c>
      <c r="I95" s="64" t="s">
        <v>52</v>
      </c>
      <c r="J95" s="64" t="s">
        <v>242</v>
      </c>
      <c r="K95" s="64" t="s">
        <v>243</v>
      </c>
      <c r="L95" s="64" t="s">
        <v>244</v>
      </c>
      <c r="M95" s="64" t="s">
        <v>1738</v>
      </c>
      <c r="N95" s="64" t="s">
        <v>1017</v>
      </c>
      <c r="O95" s="64"/>
      <c r="P95" s="64"/>
      <c r="Q95" s="64"/>
      <c r="R95" s="64"/>
      <c r="T95" s="389" t="s">
        <v>2714</v>
      </c>
      <c r="U95" s="389"/>
    </row>
    <row r="96" spans="1:24" x14ac:dyDescent="0.35">
      <c r="A96" s="223" t="s">
        <v>859</v>
      </c>
      <c r="B96" s="194" t="s">
        <v>860</v>
      </c>
      <c r="C96" s="194" t="s">
        <v>857</v>
      </c>
      <c r="D96" s="201"/>
      <c r="E96" s="194" t="s">
        <v>860</v>
      </c>
      <c r="F96" s="194" t="s">
        <v>861</v>
      </c>
      <c r="H96" s="64" t="s">
        <v>1305</v>
      </c>
      <c r="I96" s="64" t="s">
        <v>53</v>
      </c>
      <c r="J96" s="64" t="s">
        <v>245</v>
      </c>
      <c r="K96" s="64" t="s">
        <v>246</v>
      </c>
      <c r="L96" s="64" t="s">
        <v>247</v>
      </c>
      <c r="M96" s="64" t="s">
        <v>1738</v>
      </c>
      <c r="N96" s="64" t="s">
        <v>1017</v>
      </c>
      <c r="O96" s="64"/>
      <c r="P96" s="64"/>
      <c r="Q96" s="64"/>
      <c r="R96" s="64"/>
      <c r="T96" s="232" t="s">
        <v>2106</v>
      </c>
      <c r="U96" s="236" t="s">
        <v>2107</v>
      </c>
      <c r="V96" s="200" t="s">
        <v>2162</v>
      </c>
    </row>
    <row r="97" spans="1:22" x14ac:dyDescent="0.35">
      <c r="A97" s="223" t="s">
        <v>862</v>
      </c>
      <c r="B97" s="194" t="s">
        <v>863</v>
      </c>
      <c r="C97" s="194" t="s">
        <v>857</v>
      </c>
      <c r="D97" s="201"/>
      <c r="E97" s="194" t="s">
        <v>863</v>
      </c>
      <c r="F97" s="194" t="s">
        <v>864</v>
      </c>
      <c r="H97" s="64" t="s">
        <v>1306</v>
      </c>
      <c r="I97" s="64" t="s">
        <v>54</v>
      </c>
      <c r="J97" s="64" t="s">
        <v>248</v>
      </c>
      <c r="K97" s="64" t="s">
        <v>249</v>
      </c>
      <c r="L97" s="64" t="s">
        <v>250</v>
      </c>
      <c r="M97" s="64" t="s">
        <v>1738</v>
      </c>
      <c r="N97" s="64" t="s">
        <v>1017</v>
      </c>
      <c r="O97" s="64"/>
      <c r="P97" s="64"/>
      <c r="Q97" s="64"/>
      <c r="R97" s="64"/>
      <c r="T97" s="261" t="s">
        <v>2125</v>
      </c>
      <c r="U97" s="262" t="s">
        <v>2126</v>
      </c>
      <c r="V97" s="263" t="s">
        <v>1391</v>
      </c>
    </row>
    <row r="98" spans="1:22" x14ac:dyDescent="0.35">
      <c r="A98" s="223" t="s">
        <v>865</v>
      </c>
      <c r="B98" s="194" t="s">
        <v>866</v>
      </c>
      <c r="C98" s="194" t="s">
        <v>857</v>
      </c>
      <c r="D98" s="201"/>
      <c r="E98" s="194" t="s">
        <v>866</v>
      </c>
      <c r="F98" s="194" t="s">
        <v>867</v>
      </c>
      <c r="H98" s="64" t="s">
        <v>1307</v>
      </c>
      <c r="I98" s="64" t="s">
        <v>55</v>
      </c>
      <c r="J98" s="64" t="s">
        <v>251</v>
      </c>
      <c r="K98" s="64" t="s">
        <v>252</v>
      </c>
      <c r="L98" s="64" t="s">
        <v>253</v>
      </c>
      <c r="M98" s="64" t="s">
        <v>1738</v>
      </c>
      <c r="N98" s="64" t="s">
        <v>1017</v>
      </c>
      <c r="O98" s="64"/>
      <c r="P98" s="64"/>
      <c r="Q98" s="64"/>
      <c r="R98" s="64"/>
      <c r="T98" s="213" t="s">
        <v>2124</v>
      </c>
      <c r="U98" s="214" t="s">
        <v>2142</v>
      </c>
      <c r="V98" s="263" t="s">
        <v>1</v>
      </c>
    </row>
    <row r="99" spans="1:22" x14ac:dyDescent="0.35">
      <c r="A99" s="223" t="s">
        <v>1593</v>
      </c>
      <c r="B99" s="194" t="s">
        <v>1594</v>
      </c>
      <c r="C99" s="194" t="s">
        <v>857</v>
      </c>
      <c r="D99" s="201"/>
      <c r="E99" s="194" t="s">
        <v>1594</v>
      </c>
      <c r="F99" s="194" t="s">
        <v>564</v>
      </c>
      <c r="H99" s="64" t="s">
        <v>1308</v>
      </c>
      <c r="I99" s="64" t="s">
        <v>56</v>
      </c>
      <c r="J99" s="64" t="s">
        <v>254</v>
      </c>
      <c r="K99" s="64" t="s">
        <v>255</v>
      </c>
      <c r="L99" s="64" t="s">
        <v>256</v>
      </c>
      <c r="M99" s="64" t="s">
        <v>1738</v>
      </c>
      <c r="N99" s="64" t="s">
        <v>1017</v>
      </c>
      <c r="O99" s="64"/>
      <c r="P99" s="64"/>
      <c r="Q99" s="64"/>
      <c r="R99" s="64"/>
      <c r="T99" s="199" t="s">
        <v>2122</v>
      </c>
      <c r="U99" s="239" t="s">
        <v>2105</v>
      </c>
      <c r="V99" s="263" t="s">
        <v>2143</v>
      </c>
    </row>
    <row r="100" spans="1:22" x14ac:dyDescent="0.35">
      <c r="A100" s="223" t="s">
        <v>868</v>
      </c>
      <c r="B100" s="194" t="s">
        <v>869</v>
      </c>
      <c r="C100" s="194" t="s">
        <v>857</v>
      </c>
      <c r="D100" s="201"/>
      <c r="E100" s="194" t="s">
        <v>869</v>
      </c>
      <c r="F100" s="194" t="s">
        <v>870</v>
      </c>
      <c r="H100" s="64" t="s">
        <v>1310</v>
      </c>
      <c r="I100" s="64" t="s">
        <v>58</v>
      </c>
      <c r="J100" s="64" t="s">
        <v>260</v>
      </c>
      <c r="K100" s="64" t="s">
        <v>261</v>
      </c>
      <c r="L100" s="64" t="s">
        <v>260</v>
      </c>
      <c r="M100" s="64" t="s">
        <v>1738</v>
      </c>
      <c r="N100" s="64" t="s">
        <v>1017</v>
      </c>
      <c r="O100" s="64"/>
      <c r="P100" s="64"/>
      <c r="Q100" s="64"/>
      <c r="R100" s="64"/>
      <c r="T100" s="199" t="s">
        <v>2118</v>
      </c>
      <c r="U100" s="239" t="s">
        <v>2119</v>
      </c>
      <c r="V100" s="263" t="s">
        <v>633</v>
      </c>
    </row>
    <row r="101" spans="1:22" x14ac:dyDescent="0.35">
      <c r="A101" s="223" t="s">
        <v>871</v>
      </c>
      <c r="B101" s="194" t="s">
        <v>872</v>
      </c>
      <c r="C101" s="194" t="s">
        <v>857</v>
      </c>
      <c r="D101" s="201"/>
      <c r="E101" s="194" t="s">
        <v>872</v>
      </c>
      <c r="F101" s="194" t="s">
        <v>873</v>
      </c>
      <c r="H101" s="64" t="s">
        <v>1311</v>
      </c>
      <c r="I101" s="64" t="s">
        <v>59</v>
      </c>
      <c r="J101" s="64" t="s">
        <v>262</v>
      </c>
      <c r="K101" s="64" t="s">
        <v>263</v>
      </c>
      <c r="L101" s="64" t="s">
        <v>264</v>
      </c>
      <c r="M101" s="64" t="s">
        <v>1738</v>
      </c>
      <c r="N101" s="64" t="s">
        <v>1017</v>
      </c>
      <c r="O101" s="64"/>
      <c r="P101" s="64"/>
      <c r="Q101" s="64"/>
      <c r="R101" s="64"/>
      <c r="T101" s="199" t="s">
        <v>2117</v>
      </c>
      <c r="U101" s="239" t="s">
        <v>2141</v>
      </c>
      <c r="V101" s="263" t="s">
        <v>2143</v>
      </c>
    </row>
    <row r="102" spans="1:22" x14ac:dyDescent="0.35">
      <c r="A102" s="223" t="s">
        <v>874</v>
      </c>
      <c r="B102" s="194" t="s">
        <v>875</v>
      </c>
      <c r="C102" s="194" t="s">
        <v>857</v>
      </c>
      <c r="D102" s="201"/>
      <c r="E102" s="194" t="s">
        <v>875</v>
      </c>
      <c r="F102" s="194" t="s">
        <v>876</v>
      </c>
      <c r="H102" s="64" t="s">
        <v>1312</v>
      </c>
      <c r="I102" s="64" t="s">
        <v>60</v>
      </c>
      <c r="J102" s="64" t="s">
        <v>265</v>
      </c>
      <c r="K102" s="64" t="s">
        <v>266</v>
      </c>
      <c r="L102" s="64" t="s">
        <v>267</v>
      </c>
      <c r="M102" s="64" t="s">
        <v>1738</v>
      </c>
      <c r="N102" s="64" t="s">
        <v>1017</v>
      </c>
      <c r="O102" s="64"/>
      <c r="P102" s="64"/>
      <c r="Q102" s="64"/>
      <c r="R102" s="64"/>
      <c r="T102" s="213" t="s">
        <v>2121</v>
      </c>
      <c r="U102" s="214" t="s">
        <v>2120</v>
      </c>
      <c r="V102" s="263" t="s">
        <v>0</v>
      </c>
    </row>
    <row r="103" spans="1:22" x14ac:dyDescent="0.35">
      <c r="A103" s="223" t="s">
        <v>1974</v>
      </c>
      <c r="B103" s="194" t="s">
        <v>1975</v>
      </c>
      <c r="C103" s="194" t="s">
        <v>857</v>
      </c>
      <c r="D103" s="223"/>
      <c r="E103" s="194" t="s">
        <v>1975</v>
      </c>
      <c r="F103" s="194" t="s">
        <v>1976</v>
      </c>
      <c r="H103" s="64" t="s">
        <v>1313</v>
      </c>
      <c r="I103" s="64" t="s">
        <v>61</v>
      </c>
      <c r="J103" s="64" t="s">
        <v>268</v>
      </c>
      <c r="K103" s="64" t="s">
        <v>269</v>
      </c>
      <c r="L103" s="64" t="s">
        <v>270</v>
      </c>
      <c r="M103" s="64" t="s">
        <v>1738</v>
      </c>
      <c r="N103" s="64" t="s">
        <v>1017</v>
      </c>
      <c r="O103" s="64"/>
      <c r="P103" s="64"/>
      <c r="Q103" s="64"/>
      <c r="R103" s="64"/>
      <c r="T103" s="199" t="s">
        <v>2116</v>
      </c>
      <c r="U103" s="239" t="s">
        <v>2123</v>
      </c>
      <c r="V103" s="263" t="s">
        <v>2143</v>
      </c>
    </row>
    <row r="104" spans="1:22" x14ac:dyDescent="0.35">
      <c r="A104" s="223" t="s">
        <v>1595</v>
      </c>
      <c r="B104" s="194" t="s">
        <v>1596</v>
      </c>
      <c r="C104" s="194" t="s">
        <v>857</v>
      </c>
      <c r="D104" s="201"/>
      <c r="E104" s="194" t="s">
        <v>1596</v>
      </c>
      <c r="F104" s="194" t="s">
        <v>1597</v>
      </c>
      <c r="H104" s="64" t="s">
        <v>1315</v>
      </c>
      <c r="I104" s="64" t="s">
        <v>63</v>
      </c>
      <c r="J104" s="64" t="s">
        <v>274</v>
      </c>
      <c r="K104" s="64" t="s">
        <v>275</v>
      </c>
      <c r="L104" s="64" t="s">
        <v>276</v>
      </c>
      <c r="M104" s="64" t="s">
        <v>1738</v>
      </c>
      <c r="N104" s="64" t="s">
        <v>1017</v>
      </c>
      <c r="O104" s="64"/>
      <c r="P104" s="64"/>
      <c r="Q104" s="64"/>
      <c r="R104" s="64"/>
      <c r="T104" s="199" t="s">
        <v>2109</v>
      </c>
      <c r="U104" s="196" t="s">
        <v>2113</v>
      </c>
      <c r="V104" s="263" t="s">
        <v>2143</v>
      </c>
    </row>
    <row r="105" spans="1:22" x14ac:dyDescent="0.35">
      <c r="A105" s="223" t="s">
        <v>1598</v>
      </c>
      <c r="B105" s="194" t="s">
        <v>1599</v>
      </c>
      <c r="C105" s="194" t="s">
        <v>857</v>
      </c>
      <c r="D105" s="194"/>
      <c r="E105" s="194" t="s">
        <v>1599</v>
      </c>
      <c r="F105" s="194" t="s">
        <v>1600</v>
      </c>
      <c r="H105" s="64" t="s">
        <v>1316</v>
      </c>
      <c r="I105" s="64" t="s">
        <v>64</v>
      </c>
      <c r="J105" s="64" t="s">
        <v>277</v>
      </c>
      <c r="K105" s="64" t="s">
        <v>278</v>
      </c>
      <c r="L105" s="64" t="s">
        <v>279</v>
      </c>
      <c r="M105" s="64" t="s">
        <v>1738</v>
      </c>
      <c r="N105" s="64" t="s">
        <v>1017</v>
      </c>
      <c r="O105" s="64"/>
      <c r="P105" s="64"/>
      <c r="Q105" s="64"/>
      <c r="R105" s="64"/>
      <c r="T105" s="199" t="s">
        <v>2108</v>
      </c>
      <c r="U105" s="196" t="s">
        <v>2112</v>
      </c>
      <c r="V105" s="263" t="s">
        <v>2143</v>
      </c>
    </row>
    <row r="106" spans="1:22" x14ac:dyDescent="0.35">
      <c r="A106" s="223" t="s">
        <v>877</v>
      </c>
      <c r="B106" s="194" t="s">
        <v>878</v>
      </c>
      <c r="C106" s="194" t="s">
        <v>857</v>
      </c>
      <c r="D106" s="201"/>
      <c r="E106" s="194" t="s">
        <v>878</v>
      </c>
      <c r="F106" s="194" t="s">
        <v>879</v>
      </c>
      <c r="H106" s="64" t="s">
        <v>1317</v>
      </c>
      <c r="I106" s="64" t="s">
        <v>65</v>
      </c>
      <c r="J106" s="64" t="s">
        <v>280</v>
      </c>
      <c r="K106" s="64" t="s">
        <v>281</v>
      </c>
      <c r="L106" s="64" t="s">
        <v>282</v>
      </c>
      <c r="M106" s="64" t="s">
        <v>1738</v>
      </c>
      <c r="N106" s="64" t="s">
        <v>1017</v>
      </c>
      <c r="O106" s="64"/>
      <c r="P106" s="64"/>
      <c r="Q106" s="64"/>
      <c r="R106" s="64"/>
      <c r="T106" s="199" t="s">
        <v>2110</v>
      </c>
      <c r="U106" s="239" t="s">
        <v>2114</v>
      </c>
      <c r="V106" s="263" t="s">
        <v>2143</v>
      </c>
    </row>
    <row r="107" spans="1:22" x14ac:dyDescent="0.35">
      <c r="A107" s="223" t="s">
        <v>880</v>
      </c>
      <c r="B107" s="194" t="s">
        <v>881</v>
      </c>
      <c r="C107" s="194" t="s">
        <v>857</v>
      </c>
      <c r="D107" s="201"/>
      <c r="E107" s="194" t="s">
        <v>881</v>
      </c>
      <c r="F107" s="194" t="s">
        <v>882</v>
      </c>
      <c r="H107" s="64" t="s">
        <v>1318</v>
      </c>
      <c r="I107" s="64" t="s">
        <v>66</v>
      </c>
      <c r="J107" s="64" t="s">
        <v>283</v>
      </c>
      <c r="K107" s="64" t="s">
        <v>284</v>
      </c>
      <c r="L107" s="64" t="s">
        <v>285</v>
      </c>
      <c r="M107" s="64" t="s">
        <v>1738</v>
      </c>
      <c r="N107" s="64" t="s">
        <v>1017</v>
      </c>
      <c r="O107" s="64"/>
      <c r="P107" s="64"/>
      <c r="Q107" s="64"/>
      <c r="R107" s="64"/>
      <c r="T107" s="199" t="s">
        <v>2111</v>
      </c>
      <c r="U107" s="239" t="s">
        <v>2115</v>
      </c>
      <c r="V107" s="263" t="s">
        <v>2143</v>
      </c>
    </row>
    <row r="108" spans="1:22" x14ac:dyDescent="0.35">
      <c r="A108" s="223" t="s">
        <v>883</v>
      </c>
      <c r="B108" s="194" t="s">
        <v>884</v>
      </c>
      <c r="C108" s="194" t="s">
        <v>857</v>
      </c>
      <c r="D108" s="201"/>
      <c r="E108" s="194" t="s">
        <v>884</v>
      </c>
      <c r="F108" s="194" t="s">
        <v>885</v>
      </c>
      <c r="H108" s="64" t="s">
        <v>1319</v>
      </c>
      <c r="I108" s="64" t="s">
        <v>67</v>
      </c>
      <c r="J108" s="64" t="s">
        <v>286</v>
      </c>
      <c r="K108" s="64" t="s">
        <v>287</v>
      </c>
      <c r="L108" s="64" t="s">
        <v>67</v>
      </c>
      <c r="M108" s="64" t="s">
        <v>1738</v>
      </c>
      <c r="N108" s="64" t="s">
        <v>1017</v>
      </c>
      <c r="O108" s="64"/>
      <c r="P108" s="64"/>
      <c r="Q108" s="64"/>
      <c r="R108" s="64"/>
      <c r="T108" s="213" t="s">
        <v>2101</v>
      </c>
      <c r="U108" s="264" t="s">
        <v>2103</v>
      </c>
      <c r="V108" s="263" t="s">
        <v>2144</v>
      </c>
    </row>
    <row r="109" spans="1:22" x14ac:dyDescent="0.35">
      <c r="A109" s="223" t="s">
        <v>886</v>
      </c>
      <c r="B109" s="194" t="s">
        <v>887</v>
      </c>
      <c r="C109" s="194" t="s">
        <v>857</v>
      </c>
      <c r="D109" s="201"/>
      <c r="E109" s="194" t="s">
        <v>887</v>
      </c>
      <c r="F109" s="194" t="s">
        <v>888</v>
      </c>
      <c r="H109" s="64" t="s">
        <v>1320</v>
      </c>
      <c r="I109" s="64" t="s">
        <v>68</v>
      </c>
      <c r="J109" s="64" t="s">
        <v>288</v>
      </c>
      <c r="K109" s="64" t="s">
        <v>289</v>
      </c>
      <c r="L109" s="64" t="s">
        <v>290</v>
      </c>
      <c r="M109" s="64" t="s">
        <v>1738</v>
      </c>
      <c r="N109" s="64" t="s">
        <v>1017</v>
      </c>
      <c r="O109" s="64"/>
      <c r="P109" s="64"/>
      <c r="Q109" s="64"/>
      <c r="R109" s="64"/>
      <c r="T109" s="215" t="s">
        <v>2102</v>
      </c>
      <c r="U109" s="265" t="s">
        <v>2104</v>
      </c>
      <c r="V109" s="263" t="s">
        <v>2144</v>
      </c>
    </row>
    <row r="110" spans="1:22" x14ac:dyDescent="0.35">
      <c r="A110" s="223" t="s">
        <v>889</v>
      </c>
      <c r="B110" s="194" t="s">
        <v>890</v>
      </c>
      <c r="C110" s="194" t="s">
        <v>840</v>
      </c>
      <c r="D110" s="201"/>
      <c r="E110" s="194" t="s">
        <v>890</v>
      </c>
      <c r="F110" s="194" t="s">
        <v>891</v>
      </c>
      <c r="H110" s="64" t="s">
        <v>1321</v>
      </c>
      <c r="I110" s="64" t="s">
        <v>69</v>
      </c>
      <c r="J110" s="64" t="s">
        <v>291</v>
      </c>
      <c r="K110" s="64" t="s">
        <v>292</v>
      </c>
      <c r="L110" s="64" t="s">
        <v>293</v>
      </c>
      <c r="M110" s="64" t="s">
        <v>1738</v>
      </c>
      <c r="N110" s="64" t="s">
        <v>1017</v>
      </c>
      <c r="O110" s="64"/>
      <c r="P110" s="64"/>
      <c r="Q110" s="64"/>
      <c r="R110" s="64"/>
    </row>
    <row r="111" spans="1:22" x14ac:dyDescent="0.35">
      <c r="A111" s="223" t="s">
        <v>892</v>
      </c>
      <c r="B111" s="194" t="s">
        <v>893</v>
      </c>
      <c r="C111" s="194" t="s">
        <v>857</v>
      </c>
      <c r="D111" s="201"/>
      <c r="E111" s="194" t="s">
        <v>893</v>
      </c>
      <c r="F111" s="194" t="s">
        <v>894</v>
      </c>
      <c r="H111" s="64" t="s">
        <v>1322</v>
      </c>
      <c r="I111" s="64" t="s">
        <v>70</v>
      </c>
      <c r="J111" s="64" t="s">
        <v>294</v>
      </c>
      <c r="K111" s="64" t="s">
        <v>295</v>
      </c>
      <c r="L111" s="64" t="s">
        <v>296</v>
      </c>
      <c r="M111" s="64" t="s">
        <v>1738</v>
      </c>
      <c r="N111" s="64" t="s">
        <v>1017</v>
      </c>
      <c r="O111" s="64"/>
      <c r="P111" s="64"/>
      <c r="Q111" s="64"/>
      <c r="R111" s="64"/>
    </row>
    <row r="112" spans="1:22" x14ac:dyDescent="0.35">
      <c r="A112" s="223" t="s">
        <v>1601</v>
      </c>
      <c r="B112" s="194" t="s">
        <v>1602</v>
      </c>
      <c r="C112" s="194" t="s">
        <v>857</v>
      </c>
      <c r="D112" s="201"/>
      <c r="E112" s="194" t="s">
        <v>1602</v>
      </c>
      <c r="F112" s="194" t="s">
        <v>1603</v>
      </c>
      <c r="H112" s="64" t="s">
        <v>1323</v>
      </c>
      <c r="I112" s="64" t="s">
        <v>71</v>
      </c>
      <c r="J112" s="64" t="s">
        <v>297</v>
      </c>
      <c r="K112" s="64" t="s">
        <v>298</v>
      </c>
      <c r="L112" s="64" t="s">
        <v>298</v>
      </c>
      <c r="M112" s="64" t="s">
        <v>1738</v>
      </c>
      <c r="N112" s="64" t="s">
        <v>1017</v>
      </c>
      <c r="O112" s="64"/>
      <c r="P112" s="64"/>
      <c r="Q112" s="64"/>
      <c r="R112" s="64"/>
    </row>
    <row r="113" spans="1:18" x14ac:dyDescent="0.35">
      <c r="A113" s="223" t="s">
        <v>898</v>
      </c>
      <c r="B113" s="194" t="s">
        <v>899</v>
      </c>
      <c r="C113" s="194" t="s">
        <v>857</v>
      </c>
      <c r="D113" s="201"/>
      <c r="E113" s="194" t="s">
        <v>899</v>
      </c>
      <c r="F113" s="194" t="s">
        <v>900</v>
      </c>
      <c r="H113" s="64" t="s">
        <v>1324</v>
      </c>
      <c r="I113" s="64" t="s">
        <v>72</v>
      </c>
      <c r="J113" s="64" t="s">
        <v>299</v>
      </c>
      <c r="K113" s="64" t="s">
        <v>300</v>
      </c>
      <c r="L113" s="64" t="s">
        <v>301</v>
      </c>
      <c r="M113" s="64" t="s">
        <v>1738</v>
      </c>
      <c r="N113" s="64" t="s">
        <v>1017</v>
      </c>
      <c r="O113" s="64"/>
      <c r="P113" s="64"/>
      <c r="Q113" s="64"/>
      <c r="R113" s="64"/>
    </row>
    <row r="114" spans="1:18" x14ac:dyDescent="0.35">
      <c r="A114" s="223" t="s">
        <v>1604</v>
      </c>
      <c r="B114" s="194" t="s">
        <v>1605</v>
      </c>
      <c r="C114" s="194" t="s">
        <v>857</v>
      </c>
      <c r="D114" s="201"/>
      <c r="E114" s="194" t="s">
        <v>1605</v>
      </c>
      <c r="F114" s="194" t="s">
        <v>1606</v>
      </c>
      <c r="H114" s="64" t="s">
        <v>1325</v>
      </c>
      <c r="I114" s="64" t="s">
        <v>73</v>
      </c>
      <c r="J114" s="64" t="s">
        <v>302</v>
      </c>
      <c r="K114" s="64" t="s">
        <v>73</v>
      </c>
      <c r="L114" s="64" t="s">
        <v>73</v>
      </c>
      <c r="M114" s="64" t="s">
        <v>1738</v>
      </c>
      <c r="N114" s="64" t="s">
        <v>1017</v>
      </c>
      <c r="O114" s="64"/>
      <c r="P114" s="64"/>
      <c r="Q114" s="64"/>
      <c r="R114" s="64"/>
    </row>
    <row r="115" spans="1:18" x14ac:dyDescent="0.35">
      <c r="A115" s="223" t="s">
        <v>901</v>
      </c>
      <c r="B115" s="194" t="s">
        <v>902</v>
      </c>
      <c r="C115" s="194" t="s">
        <v>857</v>
      </c>
      <c r="D115" s="201"/>
      <c r="E115" s="194" t="s">
        <v>902</v>
      </c>
      <c r="F115" s="194" t="s">
        <v>903</v>
      </c>
      <c r="H115" s="64" t="s">
        <v>1326</v>
      </c>
      <c r="I115" s="64" t="s">
        <v>74</v>
      </c>
      <c r="J115" s="64" t="s">
        <v>303</v>
      </c>
      <c r="K115" s="64"/>
      <c r="L115" s="64"/>
      <c r="M115" s="64" t="s">
        <v>1738</v>
      </c>
      <c r="N115" s="64" t="s">
        <v>1017</v>
      </c>
      <c r="O115" s="64"/>
      <c r="P115" s="64"/>
      <c r="Q115" s="64"/>
      <c r="R115" s="64"/>
    </row>
    <row r="116" spans="1:18" x14ac:dyDescent="0.35">
      <c r="A116" s="223" t="s">
        <v>904</v>
      </c>
      <c r="B116" s="194" t="s">
        <v>905</v>
      </c>
      <c r="C116" s="194" t="s">
        <v>857</v>
      </c>
      <c r="D116" s="201"/>
      <c r="E116" s="194" t="s">
        <v>905</v>
      </c>
      <c r="F116" s="194" t="s">
        <v>906</v>
      </c>
      <c r="H116" s="64" t="s">
        <v>1327</v>
      </c>
      <c r="I116" s="64" t="s">
        <v>75</v>
      </c>
      <c r="J116" s="64" t="s">
        <v>304</v>
      </c>
      <c r="K116" s="64" t="s">
        <v>305</v>
      </c>
      <c r="L116" s="64" t="s">
        <v>306</v>
      </c>
      <c r="M116" s="64" t="s">
        <v>1738</v>
      </c>
      <c r="N116" s="64" t="s">
        <v>1017</v>
      </c>
      <c r="O116" s="64"/>
      <c r="P116" s="64"/>
      <c r="Q116" s="64"/>
      <c r="R116" s="64"/>
    </row>
    <row r="117" spans="1:18" x14ac:dyDescent="0.35">
      <c r="A117" s="223" t="s">
        <v>907</v>
      </c>
      <c r="B117" s="194" t="s">
        <v>908</v>
      </c>
      <c r="C117" s="194" t="s">
        <v>857</v>
      </c>
      <c r="D117" s="201"/>
      <c r="E117" s="194" t="s">
        <v>908</v>
      </c>
      <c r="F117" s="194" t="s">
        <v>909</v>
      </c>
      <c r="H117" s="64" t="s">
        <v>1329</v>
      </c>
      <c r="I117" s="64" t="s">
        <v>77</v>
      </c>
      <c r="J117" s="64" t="s">
        <v>310</v>
      </c>
      <c r="K117" s="64"/>
      <c r="L117" s="64" t="s">
        <v>311</v>
      </c>
      <c r="M117" s="64" t="s">
        <v>1738</v>
      </c>
      <c r="N117" s="64" t="s">
        <v>1017</v>
      </c>
      <c r="O117" s="64"/>
      <c r="P117" s="64"/>
      <c r="Q117" s="64"/>
      <c r="R117" s="64"/>
    </row>
    <row r="118" spans="1:18" x14ac:dyDescent="0.35">
      <c r="A118" s="223" t="s">
        <v>910</v>
      </c>
      <c r="B118" s="194" t="s">
        <v>911</v>
      </c>
      <c r="C118" s="194" t="s">
        <v>857</v>
      </c>
      <c r="D118" s="201"/>
      <c r="E118" s="194" t="s">
        <v>911</v>
      </c>
      <c r="F118" s="194" t="s">
        <v>912</v>
      </c>
      <c r="H118" s="64" t="s">
        <v>1330</v>
      </c>
      <c r="I118" s="64" t="s">
        <v>78</v>
      </c>
      <c r="J118" s="64" t="s">
        <v>312</v>
      </c>
      <c r="K118" s="64" t="s">
        <v>313</v>
      </c>
      <c r="L118" s="64" t="s">
        <v>314</v>
      </c>
      <c r="M118" s="64" t="s">
        <v>1738</v>
      </c>
      <c r="N118" s="64" t="s">
        <v>1017</v>
      </c>
      <c r="O118" s="64"/>
      <c r="P118" s="64"/>
      <c r="Q118" s="64"/>
      <c r="R118" s="64"/>
    </row>
    <row r="119" spans="1:18" x14ac:dyDescent="0.35">
      <c r="A119" s="223" t="s">
        <v>913</v>
      </c>
      <c r="B119" s="194" t="s">
        <v>914</v>
      </c>
      <c r="C119" s="194" t="s">
        <v>857</v>
      </c>
      <c r="D119" s="201"/>
      <c r="E119" s="194" t="s">
        <v>914</v>
      </c>
      <c r="F119" s="194" t="s">
        <v>915</v>
      </c>
      <c r="H119" s="64" t="s">
        <v>1331</v>
      </c>
      <c r="I119" s="64" t="s">
        <v>79</v>
      </c>
      <c r="J119" s="64" t="s">
        <v>315</v>
      </c>
      <c r="K119" s="64" t="s">
        <v>316</v>
      </c>
      <c r="L119" s="64" t="s">
        <v>317</v>
      </c>
      <c r="M119" s="64" t="s">
        <v>1738</v>
      </c>
      <c r="N119" s="64" t="s">
        <v>1017</v>
      </c>
      <c r="O119" s="64"/>
      <c r="P119" s="64"/>
      <c r="Q119" s="64"/>
      <c r="R119" s="64"/>
    </row>
    <row r="120" spans="1:18" x14ac:dyDescent="0.35">
      <c r="A120" s="223" t="s">
        <v>1607</v>
      </c>
      <c r="B120" s="194" t="s">
        <v>1608</v>
      </c>
      <c r="C120" s="194" t="s">
        <v>857</v>
      </c>
      <c r="D120" s="201"/>
      <c r="E120" s="194" t="s">
        <v>1608</v>
      </c>
      <c r="F120" s="194" t="s">
        <v>1609</v>
      </c>
      <c r="H120" s="64" t="s">
        <v>1332</v>
      </c>
      <c r="I120" s="64" t="s">
        <v>80</v>
      </c>
      <c r="J120" s="64" t="s">
        <v>318</v>
      </c>
      <c r="K120" s="64" t="s">
        <v>319</v>
      </c>
      <c r="L120" s="64" t="s">
        <v>320</v>
      </c>
      <c r="M120" s="64" t="s">
        <v>1738</v>
      </c>
      <c r="N120" s="64" t="s">
        <v>1017</v>
      </c>
      <c r="O120" s="64"/>
      <c r="P120" s="64"/>
      <c r="Q120" s="64"/>
      <c r="R120" s="64"/>
    </row>
    <row r="121" spans="1:18" x14ac:dyDescent="0.35">
      <c r="A121" s="223" t="s">
        <v>919</v>
      </c>
      <c r="B121" s="194" t="s">
        <v>920</v>
      </c>
      <c r="C121" s="194" t="s">
        <v>857</v>
      </c>
      <c r="D121" s="201"/>
      <c r="E121" s="194" t="s">
        <v>920</v>
      </c>
      <c r="F121" s="194" t="s">
        <v>921</v>
      </c>
      <c r="H121" s="64" t="s">
        <v>1309</v>
      </c>
      <c r="I121" s="64" t="s">
        <v>57</v>
      </c>
      <c r="J121" s="64" t="s">
        <v>257</v>
      </c>
      <c r="K121" s="64" t="s">
        <v>258</v>
      </c>
      <c r="L121" s="64" t="s">
        <v>259</v>
      </c>
      <c r="M121" s="64" t="s">
        <v>1738</v>
      </c>
      <c r="N121" s="206" t="s">
        <v>1070</v>
      </c>
      <c r="O121" s="64"/>
      <c r="P121" s="64"/>
      <c r="Q121" s="64"/>
      <c r="R121" s="64"/>
    </row>
    <row r="122" spans="1:18" x14ac:dyDescent="0.35">
      <c r="A122" s="223" t="s">
        <v>2642</v>
      </c>
      <c r="B122" s="194" t="s">
        <v>2643</v>
      </c>
      <c r="C122" s="194" t="s">
        <v>857</v>
      </c>
      <c r="D122" s="194"/>
      <c r="E122" s="194" t="s">
        <v>2643</v>
      </c>
      <c r="F122" s="194" t="s">
        <v>2644</v>
      </c>
      <c r="H122" s="64" t="s">
        <v>1314</v>
      </c>
      <c r="I122" s="64" t="s">
        <v>62</v>
      </c>
      <c r="J122" s="64" t="s">
        <v>271</v>
      </c>
      <c r="K122" s="64" t="s">
        <v>272</v>
      </c>
      <c r="L122" s="64" t="s">
        <v>273</v>
      </c>
      <c r="M122" s="64" t="s">
        <v>1738</v>
      </c>
      <c r="N122" s="206" t="s">
        <v>1070</v>
      </c>
      <c r="O122" s="64"/>
      <c r="P122" s="64"/>
      <c r="Q122" s="64"/>
      <c r="R122" s="64"/>
    </row>
    <row r="123" spans="1:18" x14ac:dyDescent="0.35">
      <c r="A123" s="223" t="s">
        <v>1610</v>
      </c>
      <c r="B123" s="194" t="s">
        <v>1611</v>
      </c>
      <c r="C123" s="194" t="s">
        <v>857</v>
      </c>
      <c r="D123" s="201"/>
      <c r="E123" s="194" t="s">
        <v>1611</v>
      </c>
      <c r="F123" s="194" t="s">
        <v>1612</v>
      </c>
      <c r="H123" s="64" t="s">
        <v>1328</v>
      </c>
      <c r="I123" s="64" t="s">
        <v>76</v>
      </c>
      <c r="J123" s="64" t="s">
        <v>307</v>
      </c>
      <c r="K123" s="64" t="s">
        <v>308</v>
      </c>
      <c r="L123" s="64" t="s">
        <v>309</v>
      </c>
      <c r="M123" s="96" t="s">
        <v>1738</v>
      </c>
      <c r="N123" s="207" t="s">
        <v>1070</v>
      </c>
      <c r="O123" s="64"/>
      <c r="P123" s="64"/>
      <c r="Q123" s="64"/>
      <c r="R123" s="64"/>
    </row>
    <row r="124" spans="1:18" x14ac:dyDescent="0.35">
      <c r="A124" s="223" t="s">
        <v>1613</v>
      </c>
      <c r="B124" s="194" t="s">
        <v>1614</v>
      </c>
      <c r="C124" s="194" t="s">
        <v>857</v>
      </c>
      <c r="D124" s="201"/>
      <c r="E124" s="194" t="s">
        <v>1614</v>
      </c>
      <c r="F124" s="194" t="s">
        <v>1615</v>
      </c>
      <c r="H124" s="64" t="s">
        <v>18</v>
      </c>
      <c r="I124" s="64" t="s">
        <v>155</v>
      </c>
      <c r="J124" s="64" t="s">
        <v>541</v>
      </c>
      <c r="K124" s="64" t="s">
        <v>542</v>
      </c>
      <c r="L124" s="64" t="s">
        <v>543</v>
      </c>
      <c r="M124" s="64" t="s">
        <v>1739</v>
      </c>
      <c r="N124" s="64" t="s">
        <v>1017</v>
      </c>
      <c r="O124" s="64"/>
      <c r="P124" s="64"/>
      <c r="Q124" s="64"/>
      <c r="R124" s="64"/>
    </row>
    <row r="125" spans="1:18" x14ac:dyDescent="0.35">
      <c r="A125" s="223" t="s">
        <v>931</v>
      </c>
      <c r="B125" s="194" t="s">
        <v>932</v>
      </c>
      <c r="C125" s="194" t="s">
        <v>857</v>
      </c>
      <c r="D125" s="201"/>
      <c r="E125" s="194" t="s">
        <v>932</v>
      </c>
      <c r="F125" s="194" t="s">
        <v>933</v>
      </c>
      <c r="H125" s="64" t="s">
        <v>19</v>
      </c>
      <c r="I125" s="64" t="s">
        <v>156</v>
      </c>
      <c r="J125" s="64" t="s">
        <v>544</v>
      </c>
      <c r="K125" s="64" t="s">
        <v>545</v>
      </c>
      <c r="L125" s="64" t="s">
        <v>546</v>
      </c>
      <c r="M125" s="64" t="s">
        <v>1739</v>
      </c>
      <c r="N125" s="64" t="s">
        <v>1017</v>
      </c>
      <c r="O125" s="64"/>
      <c r="P125" s="64"/>
      <c r="Q125" s="64"/>
      <c r="R125" s="64"/>
    </row>
    <row r="126" spans="1:18" x14ac:dyDescent="0.35">
      <c r="A126" s="223" t="s">
        <v>1616</v>
      </c>
      <c r="B126" s="194" t="s">
        <v>1617</v>
      </c>
      <c r="C126" s="194" t="s">
        <v>857</v>
      </c>
      <c r="D126" s="201"/>
      <c r="E126" s="194" t="s">
        <v>1617</v>
      </c>
      <c r="F126" s="194" t="s">
        <v>1618</v>
      </c>
      <c r="H126" s="64" t="s">
        <v>20</v>
      </c>
      <c r="I126" s="64" t="s">
        <v>157</v>
      </c>
      <c r="J126" s="64" t="s">
        <v>547</v>
      </c>
      <c r="K126" s="64" t="s">
        <v>548</v>
      </c>
      <c r="L126" s="64" t="s">
        <v>549</v>
      </c>
      <c r="M126" s="64" t="s">
        <v>1739</v>
      </c>
      <c r="N126" s="64" t="s">
        <v>1017</v>
      </c>
      <c r="O126" s="64"/>
      <c r="P126" s="64"/>
      <c r="Q126" s="64"/>
      <c r="R126" s="64"/>
    </row>
    <row r="127" spans="1:18" x14ac:dyDescent="0.35">
      <c r="A127" s="223" t="s">
        <v>934</v>
      </c>
      <c r="B127" s="194" t="s">
        <v>935</v>
      </c>
      <c r="C127" s="194" t="s">
        <v>857</v>
      </c>
      <c r="D127" s="201"/>
      <c r="E127" s="194" t="s">
        <v>935</v>
      </c>
      <c r="F127" s="194" t="s">
        <v>936</v>
      </c>
      <c r="H127" s="64" t="s">
        <v>21</v>
      </c>
      <c r="I127" s="64" t="s">
        <v>158</v>
      </c>
      <c r="J127" s="64" t="s">
        <v>550</v>
      </c>
      <c r="K127" s="64" t="s">
        <v>551</v>
      </c>
      <c r="L127" s="64" t="s">
        <v>552</v>
      </c>
      <c r="M127" s="64" t="s">
        <v>1739</v>
      </c>
      <c r="N127" s="64" t="s">
        <v>1017</v>
      </c>
      <c r="O127" s="64"/>
      <c r="P127" s="64"/>
      <c r="Q127" s="64"/>
      <c r="R127" s="64"/>
    </row>
    <row r="128" spans="1:18" x14ac:dyDescent="0.35">
      <c r="A128" s="223" t="s">
        <v>1977</v>
      </c>
      <c r="B128" s="194" t="s">
        <v>1978</v>
      </c>
      <c r="C128" s="194" t="s">
        <v>857</v>
      </c>
      <c r="D128" s="223"/>
      <c r="E128" s="194" t="s">
        <v>1978</v>
      </c>
      <c r="F128" s="194" t="s">
        <v>1979</v>
      </c>
      <c r="H128" s="64" t="s">
        <v>22</v>
      </c>
      <c r="I128" s="64" t="s">
        <v>159</v>
      </c>
      <c r="J128" s="64" t="s">
        <v>553</v>
      </c>
      <c r="K128" s="64" t="s">
        <v>554</v>
      </c>
      <c r="L128" s="64" t="s">
        <v>555</v>
      </c>
      <c r="M128" s="64" t="s">
        <v>1739</v>
      </c>
      <c r="N128" s="64" t="s">
        <v>1017</v>
      </c>
      <c r="O128" s="64"/>
      <c r="P128" s="64"/>
      <c r="Q128" s="64"/>
      <c r="R128" s="64"/>
    </row>
    <row r="129" spans="1:23" x14ac:dyDescent="0.35">
      <c r="A129" s="223" t="s">
        <v>937</v>
      </c>
      <c r="B129" s="194" t="s">
        <v>938</v>
      </c>
      <c r="C129" s="194" t="s">
        <v>857</v>
      </c>
      <c r="D129" s="201"/>
      <c r="E129" s="194" t="s">
        <v>938</v>
      </c>
      <c r="F129" s="194" t="s">
        <v>939</v>
      </c>
      <c r="H129" s="64" t="s">
        <v>23</v>
      </c>
      <c r="I129" s="64" t="s">
        <v>160</v>
      </c>
      <c r="J129" s="64" t="s">
        <v>556</v>
      </c>
      <c r="K129" s="64" t="s">
        <v>557</v>
      </c>
      <c r="L129" s="64" t="s">
        <v>558</v>
      </c>
      <c r="M129" s="64" t="s">
        <v>1739</v>
      </c>
      <c r="N129" s="64" t="s">
        <v>1017</v>
      </c>
      <c r="O129" s="64"/>
      <c r="P129" s="64"/>
      <c r="Q129" s="64"/>
      <c r="R129" s="64"/>
    </row>
    <row r="130" spans="1:23" x14ac:dyDescent="0.35">
      <c r="A130" s="223" t="s">
        <v>940</v>
      </c>
      <c r="B130" s="194" t="s">
        <v>941</v>
      </c>
      <c r="C130" s="194" t="s">
        <v>857</v>
      </c>
      <c r="D130" s="201"/>
      <c r="E130" s="194" t="s">
        <v>941</v>
      </c>
      <c r="F130" s="194" t="s">
        <v>942</v>
      </c>
      <c r="H130" s="64" t="s">
        <v>24</v>
      </c>
      <c r="I130" s="64" t="s">
        <v>161</v>
      </c>
      <c r="J130" s="64" t="s">
        <v>559</v>
      </c>
      <c r="K130" s="64" t="s">
        <v>560</v>
      </c>
      <c r="L130" s="64" t="s">
        <v>561</v>
      </c>
      <c r="M130" s="96" t="s">
        <v>1739</v>
      </c>
      <c r="N130" s="207" t="s">
        <v>1070</v>
      </c>
      <c r="O130" s="64"/>
      <c r="P130" s="64"/>
      <c r="Q130" s="64"/>
      <c r="R130" s="64"/>
    </row>
    <row r="131" spans="1:23" x14ac:dyDescent="0.35">
      <c r="A131" s="223" t="s">
        <v>1619</v>
      </c>
      <c r="B131" s="194" t="s">
        <v>1620</v>
      </c>
      <c r="C131" s="194" t="s">
        <v>857</v>
      </c>
      <c r="D131" s="201"/>
      <c r="E131" s="194" t="s">
        <v>1620</v>
      </c>
      <c r="F131" s="194" t="s">
        <v>1621</v>
      </c>
      <c r="H131" s="64" t="s">
        <v>1380</v>
      </c>
      <c r="I131" s="64" t="s">
        <v>129</v>
      </c>
      <c r="J131" s="64" t="s">
        <v>463</v>
      </c>
      <c r="K131" s="64" t="s">
        <v>464</v>
      </c>
      <c r="L131" s="64" t="s">
        <v>465</v>
      </c>
      <c r="M131" s="64" t="s">
        <v>1740</v>
      </c>
      <c r="N131" s="64" t="s">
        <v>1017</v>
      </c>
      <c r="O131" s="64"/>
      <c r="P131" s="64"/>
      <c r="Q131" s="64"/>
      <c r="R131" s="64"/>
    </row>
    <row r="132" spans="1:23" x14ac:dyDescent="0.35">
      <c r="A132" s="223" t="s">
        <v>1622</v>
      </c>
      <c r="B132" s="194" t="s">
        <v>1623</v>
      </c>
      <c r="C132" s="194" t="s">
        <v>857</v>
      </c>
      <c r="D132" s="201"/>
      <c r="E132" s="194" t="s">
        <v>1623</v>
      </c>
      <c r="F132" s="194" t="s">
        <v>1624</v>
      </c>
      <c r="H132" s="64" t="s">
        <v>1362</v>
      </c>
      <c r="I132" s="64" t="s">
        <v>110</v>
      </c>
      <c r="J132" s="64" t="s">
        <v>406</v>
      </c>
      <c r="K132" s="64" t="s">
        <v>407</v>
      </c>
      <c r="L132" s="64" t="s">
        <v>408</v>
      </c>
      <c r="M132" s="64" t="s">
        <v>1740</v>
      </c>
      <c r="N132" s="64" t="s">
        <v>1017</v>
      </c>
      <c r="O132" s="64"/>
      <c r="P132" s="64"/>
      <c r="Q132" s="64"/>
      <c r="R132" s="64"/>
    </row>
    <row r="133" spans="1:23" x14ac:dyDescent="0.35">
      <c r="A133" s="223" t="s">
        <v>1625</v>
      </c>
      <c r="B133" s="194" t="s">
        <v>1626</v>
      </c>
      <c r="C133" s="194" t="s">
        <v>857</v>
      </c>
      <c r="D133" s="201"/>
      <c r="E133" s="194" t="s">
        <v>1626</v>
      </c>
      <c r="F133" s="194" t="s">
        <v>1627</v>
      </c>
      <c r="H133" s="64" t="s">
        <v>1382</v>
      </c>
      <c r="I133" s="64" t="s">
        <v>131</v>
      </c>
      <c r="J133" s="64" t="s">
        <v>469</v>
      </c>
      <c r="K133" s="64" t="s">
        <v>470</v>
      </c>
      <c r="L133" s="64" t="s">
        <v>471</v>
      </c>
      <c r="M133" s="64" t="s">
        <v>1740</v>
      </c>
      <c r="N133" s="64" t="s">
        <v>1017</v>
      </c>
      <c r="O133" s="64"/>
      <c r="P133" s="64"/>
      <c r="Q133" s="64"/>
      <c r="R133" s="64"/>
    </row>
    <row r="134" spans="1:23" x14ac:dyDescent="0.35">
      <c r="A134" s="223" t="s">
        <v>943</v>
      </c>
      <c r="B134" s="194" t="s">
        <v>944</v>
      </c>
      <c r="C134" s="194" t="s">
        <v>857</v>
      </c>
      <c r="D134" s="201"/>
      <c r="E134" s="194" t="s">
        <v>944</v>
      </c>
      <c r="F134" s="194" t="s">
        <v>945</v>
      </c>
      <c r="H134" s="64" t="s">
        <v>1383</v>
      </c>
      <c r="I134" s="64" t="s">
        <v>132</v>
      </c>
      <c r="J134" s="64" t="s">
        <v>472</v>
      </c>
      <c r="K134" s="64" t="s">
        <v>473</v>
      </c>
      <c r="L134" s="64" t="s">
        <v>474</v>
      </c>
      <c r="M134" s="64" t="s">
        <v>1740</v>
      </c>
      <c r="N134" s="64" t="s">
        <v>1017</v>
      </c>
      <c r="O134" s="64"/>
      <c r="P134" s="64"/>
      <c r="Q134" s="64"/>
      <c r="R134" s="64"/>
    </row>
    <row r="135" spans="1:23" x14ac:dyDescent="0.35">
      <c r="A135" s="223" t="s">
        <v>1628</v>
      </c>
      <c r="B135" s="194" t="s">
        <v>1629</v>
      </c>
      <c r="C135" s="194" t="s">
        <v>857</v>
      </c>
      <c r="D135" s="201"/>
      <c r="E135" s="194" t="s">
        <v>1629</v>
      </c>
      <c r="F135" s="194" t="s">
        <v>1630</v>
      </c>
      <c r="H135" s="64" t="s">
        <v>1388</v>
      </c>
      <c r="I135" s="64" t="s">
        <v>137</v>
      </c>
      <c r="J135" s="64" t="s">
        <v>487</v>
      </c>
      <c r="K135" s="64" t="s">
        <v>488</v>
      </c>
      <c r="L135" s="64" t="s">
        <v>489</v>
      </c>
      <c r="M135" s="64" t="s">
        <v>1740</v>
      </c>
      <c r="N135" s="64" t="s">
        <v>1017</v>
      </c>
      <c r="O135" s="64"/>
      <c r="P135" s="64"/>
      <c r="Q135" s="64"/>
      <c r="R135" s="64"/>
    </row>
    <row r="136" spans="1:23" x14ac:dyDescent="0.35">
      <c r="A136" s="223" t="s">
        <v>949</v>
      </c>
      <c r="B136" s="194" t="s">
        <v>950</v>
      </c>
      <c r="C136" s="194" t="s">
        <v>857</v>
      </c>
      <c r="D136" s="201"/>
      <c r="E136" s="194" t="s">
        <v>950</v>
      </c>
      <c r="F136" s="194" t="s">
        <v>951</v>
      </c>
      <c r="H136" s="64" t="s">
        <v>2</v>
      </c>
      <c r="I136" s="64" t="s">
        <v>139</v>
      </c>
      <c r="J136" s="64" t="s">
        <v>493</v>
      </c>
      <c r="K136" s="64" t="s">
        <v>494</v>
      </c>
      <c r="L136" s="64" t="s">
        <v>495</v>
      </c>
      <c r="M136" s="64" t="s">
        <v>1740</v>
      </c>
      <c r="N136" s="64" t="s">
        <v>1017</v>
      </c>
      <c r="O136" s="64"/>
      <c r="P136" s="64"/>
      <c r="Q136" s="64"/>
      <c r="R136" s="64"/>
    </row>
    <row r="137" spans="1:23" x14ac:dyDescent="0.35">
      <c r="A137" s="223" t="s">
        <v>1631</v>
      </c>
      <c r="B137" s="194" t="s">
        <v>1632</v>
      </c>
      <c r="C137" s="194" t="s">
        <v>857</v>
      </c>
      <c r="D137" s="201"/>
      <c r="E137" s="194" t="s">
        <v>1632</v>
      </c>
      <c r="F137" s="194" t="s">
        <v>1633</v>
      </c>
      <c r="H137" s="64" t="s">
        <v>1389</v>
      </c>
      <c r="I137" s="64" t="s">
        <v>138</v>
      </c>
      <c r="J137" s="64" t="s">
        <v>490</v>
      </c>
      <c r="K137" s="64" t="s">
        <v>491</v>
      </c>
      <c r="L137" s="64" t="s">
        <v>492</v>
      </c>
      <c r="M137" s="64" t="s">
        <v>1740</v>
      </c>
      <c r="N137" s="64" t="s">
        <v>1017</v>
      </c>
      <c r="O137" s="64"/>
      <c r="P137" s="64"/>
      <c r="Q137" s="64"/>
      <c r="R137" s="64"/>
    </row>
    <row r="138" spans="1:23" x14ac:dyDescent="0.35">
      <c r="A138" s="223" t="s">
        <v>1634</v>
      </c>
      <c r="B138" s="194" t="s">
        <v>1635</v>
      </c>
      <c r="C138" s="194" t="s">
        <v>857</v>
      </c>
      <c r="D138" s="201"/>
      <c r="E138" s="194" t="s">
        <v>1635</v>
      </c>
      <c r="F138" s="194" t="s">
        <v>1636</v>
      </c>
      <c r="H138" s="64" t="s">
        <v>1363</v>
      </c>
      <c r="I138" s="64" t="s">
        <v>111</v>
      </c>
      <c r="J138" s="64" t="s">
        <v>409</v>
      </c>
      <c r="K138" s="64" t="s">
        <v>410</v>
      </c>
      <c r="L138" s="64" t="s">
        <v>411</v>
      </c>
      <c r="M138" s="64" t="s">
        <v>1740</v>
      </c>
      <c r="N138" s="64" t="s">
        <v>1017</v>
      </c>
      <c r="O138" s="64"/>
      <c r="P138" s="64"/>
      <c r="Q138" s="64"/>
      <c r="R138" s="64"/>
    </row>
    <row r="139" spans="1:23" x14ac:dyDescent="0.35">
      <c r="A139" s="223" t="s">
        <v>952</v>
      </c>
      <c r="B139" s="194" t="s">
        <v>953</v>
      </c>
      <c r="C139" s="194" t="s">
        <v>857</v>
      </c>
      <c r="D139" s="201"/>
      <c r="E139" s="194" t="s">
        <v>953</v>
      </c>
      <c r="F139" s="194" t="s">
        <v>954</v>
      </c>
      <c r="H139" s="64" t="s">
        <v>1364</v>
      </c>
      <c r="I139" s="64" t="s">
        <v>112</v>
      </c>
      <c r="J139" s="64" t="s">
        <v>412</v>
      </c>
      <c r="K139" s="64" t="s">
        <v>413</v>
      </c>
      <c r="L139" s="64" t="s">
        <v>414</v>
      </c>
      <c r="M139" s="64" t="s">
        <v>1740</v>
      </c>
      <c r="N139" s="64" t="s">
        <v>1017</v>
      </c>
      <c r="O139" s="64"/>
      <c r="P139" s="64"/>
      <c r="Q139" s="64"/>
      <c r="R139" s="64"/>
    </row>
    <row r="140" spans="1:23" x14ac:dyDescent="0.35">
      <c r="A140" s="223" t="s">
        <v>1637</v>
      </c>
      <c r="B140" s="194" t="s">
        <v>1638</v>
      </c>
      <c r="C140" s="194" t="s">
        <v>857</v>
      </c>
      <c r="D140" s="194"/>
      <c r="E140" s="194" t="s">
        <v>1638</v>
      </c>
      <c r="F140" s="194" t="s">
        <v>1639</v>
      </c>
      <c r="H140" s="64" t="s">
        <v>4</v>
      </c>
      <c r="I140" s="64" t="s">
        <v>141</v>
      </c>
      <c r="J140" s="64" t="s">
        <v>499</v>
      </c>
      <c r="K140" s="64" t="s">
        <v>500</v>
      </c>
      <c r="L140" s="64" t="s">
        <v>501</v>
      </c>
      <c r="M140" s="64" t="s">
        <v>1740</v>
      </c>
      <c r="N140" s="64" t="s">
        <v>1017</v>
      </c>
      <c r="O140" s="64"/>
      <c r="P140" s="64"/>
      <c r="Q140" s="64"/>
      <c r="R140" s="64"/>
    </row>
    <row r="141" spans="1:23" x14ac:dyDescent="0.35">
      <c r="A141" s="223" t="s">
        <v>1980</v>
      </c>
      <c r="B141" s="194" t="s">
        <v>1981</v>
      </c>
      <c r="C141" s="194" t="s">
        <v>857</v>
      </c>
      <c r="D141" s="223"/>
      <c r="E141" s="194" t="s">
        <v>1981</v>
      </c>
      <c r="F141" s="194" t="s">
        <v>1982</v>
      </c>
      <c r="H141" s="64" t="s">
        <v>1365</v>
      </c>
      <c r="I141" s="64" t="s">
        <v>113</v>
      </c>
      <c r="J141" s="64" t="s">
        <v>415</v>
      </c>
      <c r="K141" s="64" t="s">
        <v>416</v>
      </c>
      <c r="L141" s="64" t="s">
        <v>417</v>
      </c>
      <c r="M141" s="64" t="s">
        <v>1740</v>
      </c>
      <c r="N141" s="64" t="s">
        <v>1017</v>
      </c>
      <c r="O141" s="64"/>
      <c r="P141" s="64"/>
      <c r="Q141" s="64"/>
      <c r="R141" s="64"/>
      <c r="W141" s="201"/>
    </row>
    <row r="142" spans="1:23" x14ac:dyDescent="0.35">
      <c r="A142" s="223" t="s">
        <v>955</v>
      </c>
      <c r="B142" s="194" t="s">
        <v>956</v>
      </c>
      <c r="C142" s="194" t="s">
        <v>857</v>
      </c>
      <c r="D142" s="194"/>
      <c r="E142" s="194" t="s">
        <v>956</v>
      </c>
      <c r="F142" s="194" t="s">
        <v>957</v>
      </c>
      <c r="H142" s="64" t="s">
        <v>712</v>
      </c>
      <c r="I142" s="64" t="s">
        <v>114</v>
      </c>
      <c r="J142" s="64" t="s">
        <v>418</v>
      </c>
      <c r="K142" s="64" t="s">
        <v>419</v>
      </c>
      <c r="L142" s="64" t="s">
        <v>420</v>
      </c>
      <c r="M142" s="64" t="s">
        <v>1740</v>
      </c>
      <c r="N142" s="64" t="s">
        <v>1017</v>
      </c>
      <c r="O142" s="64"/>
      <c r="P142" s="64"/>
      <c r="Q142" s="64"/>
      <c r="R142" s="64"/>
    </row>
    <row r="143" spans="1:23" x14ac:dyDescent="0.35">
      <c r="A143" s="223" t="s">
        <v>1640</v>
      </c>
      <c r="B143" s="194" t="s">
        <v>1641</v>
      </c>
      <c r="C143" s="194" t="s">
        <v>857</v>
      </c>
      <c r="D143" s="194"/>
      <c r="E143" s="194" t="s">
        <v>1641</v>
      </c>
      <c r="F143" s="194" t="s">
        <v>1642</v>
      </c>
      <c r="H143" s="64" t="s">
        <v>1366</v>
      </c>
      <c r="I143" s="64" t="s">
        <v>115</v>
      </c>
      <c r="J143" s="64" t="s">
        <v>421</v>
      </c>
      <c r="K143" s="64" t="s">
        <v>422</v>
      </c>
      <c r="L143" s="64" t="s">
        <v>423</v>
      </c>
      <c r="M143" s="64" t="s">
        <v>1740</v>
      </c>
      <c r="N143" s="64" t="s">
        <v>1017</v>
      </c>
      <c r="O143" s="64"/>
      <c r="P143" s="64"/>
      <c r="Q143" s="64"/>
      <c r="R143" s="64"/>
    </row>
    <row r="144" spans="1:23" x14ac:dyDescent="0.35">
      <c r="A144" s="223" t="s">
        <v>1643</v>
      </c>
      <c r="B144" s="194" t="s">
        <v>1644</v>
      </c>
      <c r="C144" s="194" t="s">
        <v>857</v>
      </c>
      <c r="D144" s="194"/>
      <c r="E144" s="194" t="s">
        <v>1644</v>
      </c>
      <c r="F144" s="194" t="s">
        <v>1645</v>
      </c>
      <c r="H144" s="64" t="s">
        <v>1367</v>
      </c>
      <c r="I144" s="64" t="s">
        <v>116</v>
      </c>
      <c r="J144" s="64" t="s">
        <v>424</v>
      </c>
      <c r="K144" s="64" t="s">
        <v>425</v>
      </c>
      <c r="L144" s="64" t="s">
        <v>426</v>
      </c>
      <c r="M144" s="64" t="s">
        <v>1740</v>
      </c>
      <c r="N144" s="64" t="s">
        <v>1017</v>
      </c>
      <c r="O144" s="64"/>
      <c r="P144" s="64"/>
      <c r="Q144" s="64"/>
      <c r="R144" s="64"/>
    </row>
    <row r="145" spans="1:18" x14ac:dyDescent="0.35">
      <c r="A145" s="223" t="s">
        <v>1646</v>
      </c>
      <c r="B145" s="194" t="s">
        <v>1647</v>
      </c>
      <c r="C145" s="194" t="s">
        <v>857</v>
      </c>
      <c r="D145" s="194"/>
      <c r="E145" s="194" t="s">
        <v>1647</v>
      </c>
      <c r="F145" s="194" t="s">
        <v>1648</v>
      </c>
      <c r="H145" s="64" t="s">
        <v>1368</v>
      </c>
      <c r="I145" s="64" t="s">
        <v>117</v>
      </c>
      <c r="J145" s="64" t="s">
        <v>427</v>
      </c>
      <c r="K145" s="64" t="s">
        <v>428</v>
      </c>
      <c r="L145" s="64" t="s">
        <v>429</v>
      </c>
      <c r="M145" s="64" t="s">
        <v>1740</v>
      </c>
      <c r="N145" s="64" t="s">
        <v>1017</v>
      </c>
      <c r="O145" s="64"/>
      <c r="P145" s="64"/>
      <c r="Q145" s="64"/>
      <c r="R145" s="64"/>
    </row>
    <row r="146" spans="1:18" x14ac:dyDescent="0.35">
      <c r="A146" s="223" t="s">
        <v>2645</v>
      </c>
      <c r="B146" s="194" t="s">
        <v>1983</v>
      </c>
      <c r="C146" s="194" t="s">
        <v>857</v>
      </c>
      <c r="D146" s="223"/>
      <c r="E146" s="194" t="s">
        <v>1983</v>
      </c>
      <c r="F146" s="194" t="s">
        <v>1984</v>
      </c>
      <c r="H146" s="64" t="s">
        <v>6</v>
      </c>
      <c r="I146" s="64" t="s">
        <v>143</v>
      </c>
      <c r="J146" s="64" t="s">
        <v>505</v>
      </c>
      <c r="K146" s="64" t="s">
        <v>506</v>
      </c>
      <c r="L146" s="64" t="s">
        <v>507</v>
      </c>
      <c r="M146" s="64" t="s">
        <v>1740</v>
      </c>
      <c r="N146" s="64" t="s">
        <v>1017</v>
      </c>
      <c r="O146" s="64"/>
      <c r="P146" s="64"/>
      <c r="Q146" s="64"/>
      <c r="R146" s="64"/>
    </row>
    <row r="147" spans="1:18" x14ac:dyDescent="0.35">
      <c r="A147" s="223" t="s">
        <v>1649</v>
      </c>
      <c r="B147" s="194" t="s">
        <v>1650</v>
      </c>
      <c r="C147" s="194" t="s">
        <v>857</v>
      </c>
      <c r="D147" s="194"/>
      <c r="E147" s="194" t="s">
        <v>1650</v>
      </c>
      <c r="F147" s="194" t="s">
        <v>1651</v>
      </c>
      <c r="H147" s="64" t="s">
        <v>5</v>
      </c>
      <c r="I147" s="64" t="s">
        <v>142</v>
      </c>
      <c r="J147" s="64" t="s">
        <v>502</v>
      </c>
      <c r="K147" s="64" t="s">
        <v>503</v>
      </c>
      <c r="L147" s="64" t="s">
        <v>504</v>
      </c>
      <c r="M147" s="64" t="s">
        <v>1740</v>
      </c>
      <c r="N147" s="64" t="s">
        <v>1017</v>
      </c>
      <c r="O147" s="64"/>
      <c r="P147" s="64"/>
      <c r="Q147" s="64"/>
      <c r="R147" s="64"/>
    </row>
    <row r="148" spans="1:18" x14ac:dyDescent="0.35">
      <c r="A148" s="223" t="s">
        <v>1652</v>
      </c>
      <c r="B148" s="194" t="s">
        <v>1653</v>
      </c>
      <c r="C148" s="194" t="s">
        <v>857</v>
      </c>
      <c r="D148" s="194"/>
      <c r="E148" s="194" t="s">
        <v>1653</v>
      </c>
      <c r="F148" s="194" t="s">
        <v>1654</v>
      </c>
      <c r="H148" s="64" t="s">
        <v>1369</v>
      </c>
      <c r="I148" s="64" t="s">
        <v>118</v>
      </c>
      <c r="J148" s="64" t="s">
        <v>430</v>
      </c>
      <c r="K148" s="64" t="s">
        <v>431</v>
      </c>
      <c r="L148" s="64" t="s">
        <v>432</v>
      </c>
      <c r="M148" s="64" t="s">
        <v>1740</v>
      </c>
      <c r="N148" s="64" t="s">
        <v>1017</v>
      </c>
      <c r="O148" s="64"/>
      <c r="P148" s="64"/>
      <c r="Q148" s="64"/>
      <c r="R148" s="64"/>
    </row>
    <row r="149" spans="1:18" x14ac:dyDescent="0.35">
      <c r="A149" s="223" t="s">
        <v>958</v>
      </c>
      <c r="B149" s="194" t="s">
        <v>959</v>
      </c>
      <c r="C149" s="194" t="s">
        <v>857</v>
      </c>
      <c r="D149" s="194"/>
      <c r="E149" s="194" t="s">
        <v>959</v>
      </c>
      <c r="F149" s="194" t="s">
        <v>645</v>
      </c>
      <c r="H149" s="64" t="s">
        <v>1370</v>
      </c>
      <c r="I149" s="64" t="s">
        <v>119</v>
      </c>
      <c r="J149" s="64" t="s">
        <v>433</v>
      </c>
      <c r="K149" s="64" t="s">
        <v>434</v>
      </c>
      <c r="L149" s="64" t="s">
        <v>435</v>
      </c>
      <c r="M149" s="64" t="s">
        <v>1740</v>
      </c>
      <c r="N149" s="64" t="s">
        <v>1017</v>
      </c>
      <c r="O149" s="64"/>
      <c r="P149" s="64"/>
      <c r="Q149" s="64"/>
      <c r="R149" s="64"/>
    </row>
    <row r="150" spans="1:18" x14ac:dyDescent="0.35">
      <c r="A150" s="223" t="s">
        <v>1655</v>
      </c>
      <c r="B150" s="194" t="s">
        <v>1656</v>
      </c>
      <c r="C150" s="194" t="s">
        <v>857</v>
      </c>
      <c r="D150" s="194"/>
      <c r="E150" s="194" t="s">
        <v>1656</v>
      </c>
      <c r="F150" s="194" t="s">
        <v>1657</v>
      </c>
      <c r="H150" s="64" t="s">
        <v>1371</v>
      </c>
      <c r="I150" s="64" t="s">
        <v>120</v>
      </c>
      <c r="J150" s="64" t="s">
        <v>436</v>
      </c>
      <c r="K150" s="64" t="s">
        <v>437</v>
      </c>
      <c r="L150" s="64" t="s">
        <v>438</v>
      </c>
      <c r="M150" s="64" t="s">
        <v>1740</v>
      </c>
      <c r="N150" s="64" t="s">
        <v>1017</v>
      </c>
      <c r="O150" s="64"/>
      <c r="P150" s="64"/>
      <c r="Q150" s="64"/>
      <c r="R150" s="64"/>
    </row>
    <row r="151" spans="1:18" x14ac:dyDescent="0.35">
      <c r="A151" s="223" t="s">
        <v>1658</v>
      </c>
      <c r="B151" s="194" t="s">
        <v>1659</v>
      </c>
      <c r="C151" s="194" t="s">
        <v>857</v>
      </c>
      <c r="D151" s="194"/>
      <c r="E151" s="194" t="s">
        <v>1659</v>
      </c>
      <c r="F151" s="194" t="s">
        <v>1660</v>
      </c>
      <c r="H151" s="64" t="s">
        <v>3</v>
      </c>
      <c r="I151" s="64" t="s">
        <v>140</v>
      </c>
      <c r="J151" s="64" t="s">
        <v>496</v>
      </c>
      <c r="K151" s="64" t="s">
        <v>497</v>
      </c>
      <c r="L151" s="64" t="s">
        <v>498</v>
      </c>
      <c r="M151" s="64" t="s">
        <v>1740</v>
      </c>
      <c r="N151" s="64" t="s">
        <v>1017</v>
      </c>
      <c r="O151" s="64"/>
      <c r="P151" s="64"/>
      <c r="Q151" s="64"/>
      <c r="R151" s="64"/>
    </row>
    <row r="152" spans="1:18" x14ac:dyDescent="0.35">
      <c r="A152" s="223" t="s">
        <v>1661</v>
      </c>
      <c r="B152" s="194" t="s">
        <v>1662</v>
      </c>
      <c r="C152" s="194" t="s">
        <v>857</v>
      </c>
      <c r="D152" s="194"/>
      <c r="E152" s="194" t="s">
        <v>1662</v>
      </c>
      <c r="F152" s="194" t="s">
        <v>1663</v>
      </c>
      <c r="H152" s="64" t="s">
        <v>13</v>
      </c>
      <c r="I152" s="64" t="s">
        <v>150</v>
      </c>
      <c r="J152" s="64" t="s">
        <v>526</v>
      </c>
      <c r="K152" s="64" t="s">
        <v>527</v>
      </c>
      <c r="L152" s="64" t="s">
        <v>528</v>
      </c>
      <c r="M152" s="64" t="s">
        <v>1740</v>
      </c>
      <c r="N152" s="64" t="s">
        <v>1017</v>
      </c>
      <c r="O152" s="64"/>
      <c r="P152" s="64"/>
      <c r="Q152" s="64"/>
      <c r="R152" s="64"/>
    </row>
    <row r="153" spans="1:18" x14ac:dyDescent="0.35">
      <c r="A153" s="223" t="s">
        <v>960</v>
      </c>
      <c r="B153" s="194" t="s">
        <v>961</v>
      </c>
      <c r="C153" s="194" t="s">
        <v>857</v>
      </c>
      <c r="D153" s="194"/>
      <c r="E153" s="194" t="s">
        <v>961</v>
      </c>
      <c r="F153" s="194" t="s">
        <v>962</v>
      </c>
      <c r="H153" s="64" t="s">
        <v>12</v>
      </c>
      <c r="I153" s="64" t="s">
        <v>149</v>
      </c>
      <c r="J153" s="64" t="s">
        <v>523</v>
      </c>
      <c r="K153" s="64" t="s">
        <v>524</v>
      </c>
      <c r="L153" s="64" t="s">
        <v>525</v>
      </c>
      <c r="M153" s="64" t="s">
        <v>1740</v>
      </c>
      <c r="N153" s="64" t="s">
        <v>1017</v>
      </c>
      <c r="O153" s="64"/>
      <c r="P153" s="64"/>
      <c r="Q153" s="64"/>
      <c r="R153" s="64"/>
    </row>
    <row r="154" spans="1:18" x14ac:dyDescent="0.35">
      <c r="A154" s="223" t="s">
        <v>2018</v>
      </c>
      <c r="B154" s="194" t="s">
        <v>2019</v>
      </c>
      <c r="C154" s="194" t="s">
        <v>857</v>
      </c>
      <c r="D154" s="194"/>
      <c r="E154" s="194" t="s">
        <v>2019</v>
      </c>
      <c r="F154" s="194" t="s">
        <v>2020</v>
      </c>
      <c r="H154" s="64" t="s">
        <v>14</v>
      </c>
      <c r="I154" s="64" t="s">
        <v>151</v>
      </c>
      <c r="J154" s="64" t="s">
        <v>529</v>
      </c>
      <c r="K154" s="64" t="s">
        <v>530</v>
      </c>
      <c r="L154" s="64" t="s">
        <v>531</v>
      </c>
      <c r="M154" s="64" t="s">
        <v>1740</v>
      </c>
      <c r="N154" s="64" t="s">
        <v>1017</v>
      </c>
      <c r="O154" s="64"/>
      <c r="P154" s="64"/>
      <c r="Q154" s="64"/>
      <c r="R154" s="64"/>
    </row>
    <row r="155" spans="1:18" x14ac:dyDescent="0.35">
      <c r="A155" s="223" t="s">
        <v>965</v>
      </c>
      <c r="B155" s="194" t="s">
        <v>966</v>
      </c>
      <c r="C155" s="194" t="s">
        <v>857</v>
      </c>
      <c r="D155" s="194" t="s">
        <v>967</v>
      </c>
      <c r="E155" s="194" t="s">
        <v>966</v>
      </c>
      <c r="F155" s="194" t="s">
        <v>968</v>
      </c>
      <c r="H155" s="64" t="s">
        <v>7</v>
      </c>
      <c r="I155" s="64" t="s">
        <v>144</v>
      </c>
      <c r="J155" s="64" t="s">
        <v>508</v>
      </c>
      <c r="K155" s="64" t="s">
        <v>509</v>
      </c>
      <c r="L155" s="64" t="s">
        <v>510</v>
      </c>
      <c r="M155" s="64" t="s">
        <v>1740</v>
      </c>
      <c r="N155" s="64" t="s">
        <v>1017</v>
      </c>
      <c r="O155" s="64"/>
      <c r="P155" s="64"/>
      <c r="Q155" s="64"/>
      <c r="R155" s="64"/>
    </row>
    <row r="156" spans="1:18" x14ac:dyDescent="0.35">
      <c r="A156" s="223" t="s">
        <v>1664</v>
      </c>
      <c r="B156" s="194" t="s">
        <v>1665</v>
      </c>
      <c r="C156" s="194" t="s">
        <v>857</v>
      </c>
      <c r="D156" s="194"/>
      <c r="E156" s="194" t="s">
        <v>1665</v>
      </c>
      <c r="F156" s="194" t="s">
        <v>1666</v>
      </c>
      <c r="H156" s="64" t="s">
        <v>8</v>
      </c>
      <c r="I156" s="64" t="s">
        <v>145</v>
      </c>
      <c r="J156" s="64" t="s">
        <v>511</v>
      </c>
      <c r="K156" s="64" t="s">
        <v>512</v>
      </c>
      <c r="L156" s="64" t="s">
        <v>513</v>
      </c>
      <c r="M156" s="64" t="s">
        <v>1740</v>
      </c>
      <c r="N156" s="64" t="s">
        <v>1017</v>
      </c>
      <c r="O156" s="64"/>
      <c r="P156" s="64"/>
      <c r="Q156" s="64"/>
      <c r="R156" s="64"/>
    </row>
    <row r="157" spans="1:18" x14ac:dyDescent="0.35">
      <c r="A157" s="223" t="s">
        <v>2646</v>
      </c>
      <c r="B157" s="194" t="s">
        <v>2647</v>
      </c>
      <c r="C157" s="194" t="s">
        <v>857</v>
      </c>
      <c r="D157" s="194"/>
      <c r="E157" s="194" t="s">
        <v>2647</v>
      </c>
      <c r="F157" s="194" t="s">
        <v>2648</v>
      </c>
      <c r="H157" s="64" t="s">
        <v>1372</v>
      </c>
      <c r="I157" s="64" t="s">
        <v>121</v>
      </c>
      <c r="J157" s="64" t="s">
        <v>439</v>
      </c>
      <c r="K157" s="64" t="s">
        <v>440</v>
      </c>
      <c r="L157" s="64" t="s">
        <v>441</v>
      </c>
      <c r="M157" s="64" t="s">
        <v>1740</v>
      </c>
      <c r="N157" s="64" t="s">
        <v>1017</v>
      </c>
      <c r="O157" s="64"/>
      <c r="P157" s="64"/>
      <c r="Q157" s="64"/>
      <c r="R157" s="64"/>
    </row>
    <row r="158" spans="1:18" x14ac:dyDescent="0.35">
      <c r="A158" s="223" t="s">
        <v>1667</v>
      </c>
      <c r="B158" s="194" t="s">
        <v>1301</v>
      </c>
      <c r="C158" s="194" t="s">
        <v>857</v>
      </c>
      <c r="D158" s="194"/>
      <c r="E158" s="194" t="s">
        <v>1301</v>
      </c>
      <c r="F158" s="194" t="s">
        <v>1668</v>
      </c>
      <c r="H158" s="64" t="s">
        <v>1373</v>
      </c>
      <c r="I158" s="64" t="s">
        <v>122</v>
      </c>
      <c r="J158" s="64" t="s">
        <v>442</v>
      </c>
      <c r="K158" s="64" t="s">
        <v>443</v>
      </c>
      <c r="L158" s="64" t="s">
        <v>444</v>
      </c>
      <c r="M158" s="64" t="s">
        <v>1740</v>
      </c>
      <c r="N158" s="64" t="s">
        <v>1017</v>
      </c>
      <c r="O158" s="64"/>
      <c r="P158" s="64"/>
      <c r="Q158" s="64"/>
      <c r="R158" s="64"/>
    </row>
    <row r="159" spans="1:18" x14ac:dyDescent="0.35">
      <c r="A159" s="223" t="s">
        <v>969</v>
      </c>
      <c r="B159" s="194" t="s">
        <v>970</v>
      </c>
      <c r="C159" s="194" t="s">
        <v>857</v>
      </c>
      <c r="D159" s="194"/>
      <c r="E159" s="194" t="s">
        <v>970</v>
      </c>
      <c r="F159" s="194" t="s">
        <v>971</v>
      </c>
      <c r="H159" s="64" t="s">
        <v>1374</v>
      </c>
      <c r="I159" s="64" t="s">
        <v>123</v>
      </c>
      <c r="J159" s="64" t="s">
        <v>445</v>
      </c>
      <c r="K159" s="64" t="s">
        <v>446</v>
      </c>
      <c r="L159" s="64" t="s">
        <v>447</v>
      </c>
      <c r="M159" s="64" t="s">
        <v>1740</v>
      </c>
      <c r="N159" s="64" t="s">
        <v>1017</v>
      </c>
      <c r="O159" s="64"/>
      <c r="P159" s="64"/>
      <c r="Q159" s="64"/>
      <c r="R159" s="64"/>
    </row>
    <row r="160" spans="1:18" x14ac:dyDescent="0.35">
      <c r="A160" s="223" t="s">
        <v>972</v>
      </c>
      <c r="B160" s="194" t="s">
        <v>973</v>
      </c>
      <c r="C160" s="194" t="s">
        <v>857</v>
      </c>
      <c r="D160" s="194"/>
      <c r="E160" s="194" t="s">
        <v>973</v>
      </c>
      <c r="F160" s="194" t="s">
        <v>974</v>
      </c>
      <c r="H160" s="64" t="s">
        <v>9</v>
      </c>
      <c r="I160" s="64" t="s">
        <v>146</v>
      </c>
      <c r="J160" s="64" t="s">
        <v>514</v>
      </c>
      <c r="K160" s="64" t="s">
        <v>515</v>
      </c>
      <c r="L160" s="64" t="s">
        <v>516</v>
      </c>
      <c r="M160" s="64" t="s">
        <v>1740</v>
      </c>
      <c r="N160" s="64" t="s">
        <v>1017</v>
      </c>
      <c r="O160" s="64"/>
      <c r="P160" s="64"/>
      <c r="Q160" s="64"/>
      <c r="R160" s="64"/>
    </row>
    <row r="161" spans="1:18" x14ac:dyDescent="0.35">
      <c r="A161" s="223" t="s">
        <v>975</v>
      </c>
      <c r="B161" s="194" t="s">
        <v>976</v>
      </c>
      <c r="C161" s="194" t="s">
        <v>857</v>
      </c>
      <c r="D161" s="194"/>
      <c r="E161" s="194" t="s">
        <v>976</v>
      </c>
      <c r="F161" s="194" t="s">
        <v>977</v>
      </c>
      <c r="H161" s="64" t="s">
        <v>10</v>
      </c>
      <c r="I161" s="64" t="s">
        <v>147</v>
      </c>
      <c r="J161" s="64" t="s">
        <v>517</v>
      </c>
      <c r="K161" s="64" t="s">
        <v>518</v>
      </c>
      <c r="L161" s="64" t="s">
        <v>519</v>
      </c>
      <c r="M161" s="64" t="s">
        <v>1740</v>
      </c>
      <c r="N161" s="64" t="s">
        <v>1017</v>
      </c>
      <c r="O161" s="64"/>
      <c r="P161" s="64"/>
      <c r="Q161" s="64"/>
      <c r="R161" s="64"/>
    </row>
    <row r="162" spans="1:18" x14ac:dyDescent="0.35">
      <c r="A162" s="223" t="s">
        <v>1669</v>
      </c>
      <c r="B162" s="194" t="s">
        <v>1670</v>
      </c>
      <c r="C162" s="194" t="s">
        <v>857</v>
      </c>
      <c r="D162" s="194"/>
      <c r="E162" s="194" t="s">
        <v>1670</v>
      </c>
      <c r="F162" s="194" t="s">
        <v>1671</v>
      </c>
      <c r="H162" s="64" t="s">
        <v>15</v>
      </c>
      <c r="I162" s="64" t="s">
        <v>152</v>
      </c>
      <c r="J162" s="64" t="s">
        <v>532</v>
      </c>
      <c r="K162" s="64" t="s">
        <v>533</v>
      </c>
      <c r="L162" s="64" t="s">
        <v>534</v>
      </c>
      <c r="M162" s="64" t="s">
        <v>1740</v>
      </c>
      <c r="N162" s="64" t="s">
        <v>1017</v>
      </c>
      <c r="O162" s="64"/>
      <c r="P162" s="64"/>
      <c r="Q162" s="64"/>
      <c r="R162" s="64"/>
    </row>
    <row r="163" spans="1:18" x14ac:dyDescent="0.35">
      <c r="A163" s="223" t="s">
        <v>1672</v>
      </c>
      <c r="B163" s="194" t="s">
        <v>1673</v>
      </c>
      <c r="C163" s="194" t="s">
        <v>857</v>
      </c>
      <c r="D163" s="194"/>
      <c r="E163" s="194" t="s">
        <v>1673</v>
      </c>
      <c r="F163" s="194" t="s">
        <v>1674</v>
      </c>
      <c r="H163" s="64" t="s">
        <v>11</v>
      </c>
      <c r="I163" s="64" t="s">
        <v>148</v>
      </c>
      <c r="J163" s="64" t="s">
        <v>520</v>
      </c>
      <c r="K163" s="64" t="s">
        <v>521</v>
      </c>
      <c r="L163" s="64" t="s">
        <v>522</v>
      </c>
      <c r="M163" s="64" t="s">
        <v>1740</v>
      </c>
      <c r="N163" s="64" t="s">
        <v>1017</v>
      </c>
      <c r="O163" s="64"/>
      <c r="P163" s="64"/>
      <c r="Q163" s="64"/>
      <c r="R163" s="64"/>
    </row>
    <row r="164" spans="1:18" x14ac:dyDescent="0.35">
      <c r="A164" s="223" t="s">
        <v>2649</v>
      </c>
      <c r="B164" s="194" t="s">
        <v>978</v>
      </c>
      <c r="C164" s="194" t="s">
        <v>857</v>
      </c>
      <c r="D164" s="194"/>
      <c r="E164" s="194" t="s">
        <v>978</v>
      </c>
      <c r="F164" s="194" t="s">
        <v>979</v>
      </c>
      <c r="H164" s="64" t="s">
        <v>1375</v>
      </c>
      <c r="I164" s="64" t="s">
        <v>124</v>
      </c>
      <c r="J164" s="64" t="s">
        <v>448</v>
      </c>
      <c r="K164" s="64" t="s">
        <v>449</v>
      </c>
      <c r="L164" s="64" t="s">
        <v>450</v>
      </c>
      <c r="M164" s="64" t="s">
        <v>1740</v>
      </c>
      <c r="N164" s="64" t="s">
        <v>1017</v>
      </c>
      <c r="O164" s="64"/>
      <c r="P164" s="64"/>
      <c r="Q164" s="64"/>
      <c r="R164" s="64"/>
    </row>
    <row r="165" spans="1:18" x14ac:dyDescent="0.35">
      <c r="A165" s="223" t="s">
        <v>980</v>
      </c>
      <c r="B165" s="194" t="s">
        <v>981</v>
      </c>
      <c r="C165" s="194" t="s">
        <v>857</v>
      </c>
      <c r="D165" s="194"/>
      <c r="E165" s="194" t="s">
        <v>981</v>
      </c>
      <c r="F165" s="194" t="s">
        <v>982</v>
      </c>
      <c r="H165" s="64" t="s">
        <v>1376</v>
      </c>
      <c r="I165" s="64" t="s">
        <v>125</v>
      </c>
      <c r="J165" s="64" t="s">
        <v>451</v>
      </c>
      <c r="K165" s="64" t="s">
        <v>452</v>
      </c>
      <c r="L165" s="64" t="s">
        <v>453</v>
      </c>
      <c r="M165" s="64" t="s">
        <v>1740</v>
      </c>
      <c r="N165" s="64" t="s">
        <v>1017</v>
      </c>
      <c r="O165" s="64"/>
      <c r="P165" s="64"/>
      <c r="Q165" s="64"/>
      <c r="R165" s="64"/>
    </row>
    <row r="166" spans="1:18" x14ac:dyDescent="0.35">
      <c r="A166" s="223" t="s">
        <v>1675</v>
      </c>
      <c r="B166" s="194" t="s">
        <v>1676</v>
      </c>
      <c r="C166" s="194" t="s">
        <v>857</v>
      </c>
      <c r="D166" s="194"/>
      <c r="E166" s="194" t="s">
        <v>1676</v>
      </c>
      <c r="F166" s="194" t="s">
        <v>1677</v>
      </c>
      <c r="H166" s="64" t="s">
        <v>1377</v>
      </c>
      <c r="I166" s="64" t="s">
        <v>126</v>
      </c>
      <c r="J166" s="64" t="s">
        <v>454</v>
      </c>
      <c r="K166" s="64" t="s">
        <v>455</v>
      </c>
      <c r="L166" s="64" t="s">
        <v>456</v>
      </c>
      <c r="M166" s="64" t="s">
        <v>1740</v>
      </c>
      <c r="N166" s="64" t="s">
        <v>1017</v>
      </c>
      <c r="O166" s="64"/>
      <c r="P166" s="64"/>
      <c r="Q166" s="64"/>
      <c r="R166" s="64"/>
    </row>
    <row r="167" spans="1:18" x14ac:dyDescent="0.35">
      <c r="A167" s="223" t="s">
        <v>983</v>
      </c>
      <c r="B167" s="194" t="s">
        <v>984</v>
      </c>
      <c r="C167" s="194" t="s">
        <v>857</v>
      </c>
      <c r="D167" s="194"/>
      <c r="E167" s="194" t="s">
        <v>984</v>
      </c>
      <c r="F167" s="194" t="s">
        <v>985</v>
      </c>
      <c r="H167" s="64" t="s">
        <v>1378</v>
      </c>
      <c r="I167" s="64" t="s">
        <v>127</v>
      </c>
      <c r="J167" s="64" t="s">
        <v>457</v>
      </c>
      <c r="K167" s="64" t="s">
        <v>458</v>
      </c>
      <c r="L167" s="64" t="s">
        <v>459</v>
      </c>
      <c r="M167" s="64" t="s">
        <v>1740</v>
      </c>
      <c r="N167" s="64" t="s">
        <v>1017</v>
      </c>
      <c r="O167" s="64"/>
      <c r="P167" s="64"/>
      <c r="Q167" s="64"/>
      <c r="R167" s="64"/>
    </row>
    <row r="168" spans="1:18" x14ac:dyDescent="0.35">
      <c r="A168" s="223" t="s">
        <v>986</v>
      </c>
      <c r="B168" s="194" t="s">
        <v>987</v>
      </c>
      <c r="C168" s="194" t="s">
        <v>857</v>
      </c>
      <c r="D168" s="194"/>
      <c r="E168" s="194" t="s">
        <v>987</v>
      </c>
      <c r="F168" s="194" t="s">
        <v>988</v>
      </c>
      <c r="H168" s="64" t="s">
        <v>1381</v>
      </c>
      <c r="I168" s="64" t="s">
        <v>130</v>
      </c>
      <c r="J168" s="64" t="s">
        <v>466</v>
      </c>
      <c r="K168" s="64" t="s">
        <v>467</v>
      </c>
      <c r="L168" s="64" t="s">
        <v>468</v>
      </c>
      <c r="M168" s="64" t="s">
        <v>1740</v>
      </c>
      <c r="N168" s="64" t="s">
        <v>1017</v>
      </c>
      <c r="O168" s="64"/>
      <c r="P168" s="64"/>
      <c r="Q168" s="64"/>
      <c r="R168" s="64"/>
    </row>
    <row r="169" spans="1:18" x14ac:dyDescent="0.35">
      <c r="A169" s="223" t="s">
        <v>1678</v>
      </c>
      <c r="B169" s="194" t="s">
        <v>1679</v>
      </c>
      <c r="C169" s="194" t="s">
        <v>857</v>
      </c>
      <c r="D169" s="194"/>
      <c r="E169" s="194" t="s">
        <v>1679</v>
      </c>
      <c r="F169" s="194" t="s">
        <v>563</v>
      </c>
      <c r="H169" s="64" t="s">
        <v>16</v>
      </c>
      <c r="I169" s="64" t="s">
        <v>153</v>
      </c>
      <c r="J169" s="64" t="s">
        <v>535</v>
      </c>
      <c r="K169" s="64" t="s">
        <v>536</v>
      </c>
      <c r="L169" s="64" t="s">
        <v>537</v>
      </c>
      <c r="M169" s="64" t="s">
        <v>1740</v>
      </c>
      <c r="N169" s="64" t="s">
        <v>1017</v>
      </c>
      <c r="O169" s="64"/>
      <c r="P169" s="64"/>
      <c r="Q169" s="64"/>
      <c r="R169" s="64"/>
    </row>
    <row r="170" spans="1:18" x14ac:dyDescent="0.35">
      <c r="A170" s="223" t="s">
        <v>1680</v>
      </c>
      <c r="B170" s="194" t="s">
        <v>1681</v>
      </c>
      <c r="C170" s="194" t="s">
        <v>857</v>
      </c>
      <c r="D170" s="194"/>
      <c r="E170" s="194" t="s">
        <v>1681</v>
      </c>
      <c r="F170" s="194" t="s">
        <v>1682</v>
      </c>
      <c r="H170" s="64" t="s">
        <v>1385</v>
      </c>
      <c r="I170" s="64" t="s">
        <v>134</v>
      </c>
      <c r="J170" s="64" t="s">
        <v>478</v>
      </c>
      <c r="K170" s="64" t="s">
        <v>479</v>
      </c>
      <c r="L170" s="64" t="s">
        <v>480</v>
      </c>
      <c r="M170" s="64" t="s">
        <v>1740</v>
      </c>
      <c r="N170" s="64" t="s">
        <v>1017</v>
      </c>
      <c r="O170" s="64"/>
      <c r="P170" s="64"/>
      <c r="Q170" s="64"/>
      <c r="R170" s="64"/>
    </row>
    <row r="171" spans="1:18" x14ac:dyDescent="0.35">
      <c r="A171" s="223" t="s">
        <v>992</v>
      </c>
      <c r="B171" s="194" t="s">
        <v>993</v>
      </c>
      <c r="C171" s="194" t="s">
        <v>857</v>
      </c>
      <c r="D171" s="194"/>
      <c r="E171" s="194" t="s">
        <v>993</v>
      </c>
      <c r="F171" s="194" t="s">
        <v>994</v>
      </c>
      <c r="H171" s="64" t="s">
        <v>1384</v>
      </c>
      <c r="I171" s="64" t="s">
        <v>133</v>
      </c>
      <c r="J171" s="64" t="s">
        <v>475</v>
      </c>
      <c r="K171" s="64" t="s">
        <v>476</v>
      </c>
      <c r="L171" s="64" t="s">
        <v>477</v>
      </c>
      <c r="M171" s="64" t="s">
        <v>1740</v>
      </c>
      <c r="N171" s="64" t="s">
        <v>1017</v>
      </c>
      <c r="O171" s="64"/>
      <c r="P171" s="64"/>
      <c r="Q171" s="64"/>
      <c r="R171" s="64"/>
    </row>
    <row r="172" spans="1:18" x14ac:dyDescent="0.35">
      <c r="A172" s="223" t="s">
        <v>989</v>
      </c>
      <c r="B172" s="194" t="s">
        <v>990</v>
      </c>
      <c r="C172" s="194" t="s">
        <v>857</v>
      </c>
      <c r="D172" s="194"/>
      <c r="E172" s="194" t="s">
        <v>990</v>
      </c>
      <c r="F172" s="194" t="s">
        <v>991</v>
      </c>
      <c r="H172" s="64" t="s">
        <v>1386</v>
      </c>
      <c r="I172" s="64" t="s">
        <v>135</v>
      </c>
      <c r="J172" s="64" t="s">
        <v>481</v>
      </c>
      <c r="K172" s="64" t="s">
        <v>482</v>
      </c>
      <c r="L172" s="64" t="s">
        <v>483</v>
      </c>
      <c r="M172" s="64" t="s">
        <v>1740</v>
      </c>
      <c r="N172" s="64" t="s">
        <v>1017</v>
      </c>
      <c r="O172" s="64"/>
      <c r="P172" s="64"/>
      <c r="Q172" s="64"/>
      <c r="R172" s="64"/>
    </row>
    <row r="173" spans="1:18" x14ac:dyDescent="0.35">
      <c r="A173" s="223" t="s">
        <v>1683</v>
      </c>
      <c r="B173" s="194" t="s">
        <v>1684</v>
      </c>
      <c r="C173" s="194" t="s">
        <v>857</v>
      </c>
      <c r="D173" s="194"/>
      <c r="E173" s="194" t="s">
        <v>1684</v>
      </c>
      <c r="F173" s="194" t="s">
        <v>1685</v>
      </c>
      <c r="H173" s="64" t="s">
        <v>1387</v>
      </c>
      <c r="I173" s="64" t="s">
        <v>136</v>
      </c>
      <c r="J173" s="64" t="s">
        <v>484</v>
      </c>
      <c r="K173" s="64" t="s">
        <v>485</v>
      </c>
      <c r="L173" s="64" t="s">
        <v>486</v>
      </c>
      <c r="M173" s="64" t="s">
        <v>1740</v>
      </c>
      <c r="N173" s="64" t="s">
        <v>1017</v>
      </c>
      <c r="O173" s="64"/>
      <c r="P173" s="64"/>
      <c r="Q173" s="64"/>
      <c r="R173" s="64"/>
    </row>
    <row r="174" spans="1:18" x14ac:dyDescent="0.35">
      <c r="A174" s="223" t="s">
        <v>832</v>
      </c>
      <c r="B174" s="194" t="s">
        <v>833</v>
      </c>
      <c r="C174" s="194" t="s">
        <v>857</v>
      </c>
      <c r="D174" s="201"/>
      <c r="E174" s="194" t="s">
        <v>833</v>
      </c>
      <c r="F174" s="194" t="s">
        <v>834</v>
      </c>
      <c r="H174" s="64" t="s">
        <v>17</v>
      </c>
      <c r="I174" s="64" t="s">
        <v>154</v>
      </c>
      <c r="J174" s="64" t="s">
        <v>538</v>
      </c>
      <c r="K174" s="64" t="s">
        <v>539</v>
      </c>
      <c r="L174" s="64" t="s">
        <v>540</v>
      </c>
      <c r="M174" s="64" t="s">
        <v>1740</v>
      </c>
      <c r="N174" s="64" t="s">
        <v>1017</v>
      </c>
      <c r="O174" s="64"/>
      <c r="P174" s="64"/>
      <c r="Q174" s="64"/>
      <c r="R174" s="64"/>
    </row>
    <row r="175" spans="1:18" x14ac:dyDescent="0.35">
      <c r="A175" s="223" t="s">
        <v>1686</v>
      </c>
      <c r="B175" s="194" t="s">
        <v>1687</v>
      </c>
      <c r="C175" s="194" t="s">
        <v>857</v>
      </c>
      <c r="D175" s="194"/>
      <c r="E175" s="194" t="s">
        <v>1687</v>
      </c>
      <c r="F175" s="194" t="s">
        <v>1688</v>
      </c>
      <c r="H175" s="64" t="s">
        <v>1379</v>
      </c>
      <c r="I175" s="64" t="s">
        <v>128</v>
      </c>
      <c r="J175" s="64" t="s">
        <v>460</v>
      </c>
      <c r="K175" s="64" t="s">
        <v>461</v>
      </c>
      <c r="L175" s="64" t="s">
        <v>462</v>
      </c>
      <c r="M175" s="96" t="s">
        <v>1740</v>
      </c>
      <c r="N175" s="207" t="s">
        <v>1070</v>
      </c>
      <c r="O175" s="64"/>
      <c r="P175" s="64"/>
      <c r="Q175" s="64"/>
      <c r="R175" s="64"/>
    </row>
    <row r="176" spans="1:18" x14ac:dyDescent="0.35">
      <c r="H176" s="64" t="s">
        <v>1334</v>
      </c>
      <c r="I176" s="64" t="s">
        <v>82</v>
      </c>
      <c r="J176" s="64" t="s">
        <v>324</v>
      </c>
      <c r="K176" s="64" t="s">
        <v>325</v>
      </c>
      <c r="L176" s="64" t="s">
        <v>326</v>
      </c>
      <c r="M176" s="64" t="s">
        <v>1741</v>
      </c>
      <c r="N176" s="64" t="s">
        <v>1017</v>
      </c>
      <c r="O176" s="64"/>
      <c r="P176" s="64"/>
      <c r="Q176" s="64"/>
      <c r="R176" s="64"/>
    </row>
    <row r="177" spans="8:18" x14ac:dyDescent="0.35">
      <c r="H177" s="64" t="s">
        <v>1335</v>
      </c>
      <c r="I177" s="64" t="s">
        <v>83</v>
      </c>
      <c r="J177" s="64" t="s">
        <v>327</v>
      </c>
      <c r="K177" s="64" t="s">
        <v>328</v>
      </c>
      <c r="L177" s="64" t="s">
        <v>329</v>
      </c>
      <c r="M177" s="64" t="s">
        <v>1741</v>
      </c>
      <c r="N177" s="64" t="s">
        <v>1017</v>
      </c>
      <c r="O177" s="64"/>
      <c r="P177" s="64"/>
      <c r="Q177" s="64"/>
      <c r="R177" s="64"/>
    </row>
    <row r="178" spans="8:18" x14ac:dyDescent="0.35">
      <c r="H178" s="64" t="s">
        <v>1336</v>
      </c>
      <c r="I178" s="64" t="s">
        <v>84</v>
      </c>
      <c r="J178" s="64" t="s">
        <v>330</v>
      </c>
      <c r="K178" s="64" t="s">
        <v>331</v>
      </c>
      <c r="L178" s="64" t="s">
        <v>332</v>
      </c>
      <c r="M178" s="64" t="s">
        <v>1741</v>
      </c>
      <c r="N178" s="64" t="s">
        <v>1017</v>
      </c>
      <c r="O178" s="64"/>
      <c r="P178" s="64"/>
      <c r="Q178" s="64"/>
      <c r="R178" s="64"/>
    </row>
    <row r="179" spans="8:18" x14ac:dyDescent="0.35">
      <c r="H179" s="64" t="s">
        <v>1337</v>
      </c>
      <c r="I179" s="64" t="s">
        <v>85</v>
      </c>
      <c r="J179" s="64" t="s">
        <v>333</v>
      </c>
      <c r="K179" s="64" t="s">
        <v>334</v>
      </c>
      <c r="L179" s="64" t="s">
        <v>335</v>
      </c>
      <c r="M179" s="64" t="s">
        <v>1741</v>
      </c>
      <c r="N179" s="64" t="s">
        <v>1017</v>
      </c>
      <c r="O179" s="64"/>
      <c r="P179" s="64"/>
      <c r="Q179" s="64"/>
      <c r="R179" s="64"/>
    </row>
    <row r="180" spans="8:18" x14ac:dyDescent="0.35">
      <c r="H180" s="64" t="s">
        <v>1338</v>
      </c>
      <c r="I180" s="64" t="s">
        <v>86</v>
      </c>
      <c r="J180" s="64" t="s">
        <v>336</v>
      </c>
      <c r="K180" s="64" t="s">
        <v>337</v>
      </c>
      <c r="L180" s="64" t="s">
        <v>338</v>
      </c>
      <c r="M180" s="64" t="s">
        <v>1741</v>
      </c>
      <c r="N180" s="64" t="s">
        <v>1017</v>
      </c>
      <c r="O180" s="64"/>
      <c r="P180" s="64"/>
      <c r="Q180" s="64"/>
      <c r="R180" s="64"/>
    </row>
    <row r="181" spans="8:18" x14ac:dyDescent="0.35">
      <c r="H181" s="64" t="s">
        <v>1339</v>
      </c>
      <c r="I181" s="64" t="s">
        <v>87</v>
      </c>
      <c r="J181" s="64" t="s">
        <v>339</v>
      </c>
      <c r="K181" s="64" t="s">
        <v>340</v>
      </c>
      <c r="L181" s="64" t="s">
        <v>341</v>
      </c>
      <c r="M181" s="64" t="s">
        <v>1741</v>
      </c>
      <c r="N181" s="64" t="s">
        <v>1017</v>
      </c>
      <c r="O181" s="64"/>
      <c r="P181" s="64"/>
      <c r="Q181" s="64"/>
      <c r="R181" s="64"/>
    </row>
    <row r="182" spans="8:18" x14ac:dyDescent="0.35">
      <c r="H182" s="64" t="s">
        <v>1341</v>
      </c>
      <c r="I182" s="64" t="s">
        <v>89</v>
      </c>
      <c r="J182" s="64" t="s">
        <v>345</v>
      </c>
      <c r="K182" s="64" t="s">
        <v>346</v>
      </c>
      <c r="L182" s="64" t="s">
        <v>347</v>
      </c>
      <c r="M182" s="64" t="s">
        <v>1741</v>
      </c>
      <c r="N182" s="64" t="s">
        <v>1017</v>
      </c>
      <c r="O182" s="64"/>
      <c r="P182" s="64"/>
      <c r="Q182" s="64"/>
      <c r="R182" s="64"/>
    </row>
    <row r="183" spans="8:18" x14ac:dyDescent="0.35">
      <c r="H183" s="64" t="s">
        <v>1342</v>
      </c>
      <c r="I183" s="64" t="s">
        <v>90</v>
      </c>
      <c r="J183" s="64" t="s">
        <v>348</v>
      </c>
      <c r="K183" s="64" t="s">
        <v>349</v>
      </c>
      <c r="L183" s="64" t="s">
        <v>350</v>
      </c>
      <c r="M183" s="64" t="s">
        <v>1741</v>
      </c>
      <c r="N183" s="64" t="s">
        <v>1017</v>
      </c>
      <c r="O183" s="64"/>
      <c r="P183" s="64"/>
      <c r="Q183" s="64"/>
      <c r="R183" s="64"/>
    </row>
    <row r="184" spans="8:18" x14ac:dyDescent="0.35">
      <c r="H184" s="64" t="s">
        <v>1343</v>
      </c>
      <c r="I184" s="64" t="s">
        <v>91</v>
      </c>
      <c r="J184" s="64" t="s">
        <v>351</v>
      </c>
      <c r="K184" s="64" t="s">
        <v>352</v>
      </c>
      <c r="L184" s="64" t="s">
        <v>353</v>
      </c>
      <c r="M184" s="64" t="s">
        <v>1741</v>
      </c>
      <c r="N184" s="64" t="s">
        <v>1017</v>
      </c>
      <c r="O184" s="64"/>
      <c r="P184" s="64"/>
      <c r="Q184" s="64"/>
      <c r="R184" s="64"/>
    </row>
    <row r="185" spans="8:18" x14ac:dyDescent="0.35">
      <c r="H185" s="64" t="s">
        <v>1344</v>
      </c>
      <c r="I185" s="64" t="s">
        <v>92</v>
      </c>
      <c r="J185" s="64" t="s">
        <v>354</v>
      </c>
      <c r="K185" s="64" t="s">
        <v>355</v>
      </c>
      <c r="L185" s="64" t="s">
        <v>356</v>
      </c>
      <c r="M185" s="64" t="s">
        <v>1741</v>
      </c>
      <c r="N185" s="64" t="s">
        <v>1017</v>
      </c>
      <c r="O185" s="64"/>
      <c r="P185" s="64"/>
      <c r="Q185" s="64"/>
      <c r="R185" s="64"/>
    </row>
    <row r="186" spans="8:18" x14ac:dyDescent="0.35">
      <c r="H186" s="64" t="s">
        <v>1345</v>
      </c>
      <c r="I186" s="64" t="s">
        <v>93</v>
      </c>
      <c r="J186" s="64" t="s">
        <v>357</v>
      </c>
      <c r="K186" s="64" t="s">
        <v>358</v>
      </c>
      <c r="L186" s="64" t="s">
        <v>359</v>
      </c>
      <c r="M186" s="64" t="s">
        <v>1741</v>
      </c>
      <c r="N186" s="64" t="s">
        <v>1017</v>
      </c>
      <c r="O186" s="64"/>
      <c r="P186" s="64"/>
      <c r="Q186" s="64"/>
      <c r="R186" s="64"/>
    </row>
    <row r="187" spans="8:18" x14ac:dyDescent="0.35">
      <c r="H187" s="64" t="s">
        <v>1346</v>
      </c>
      <c r="I187" s="64" t="s">
        <v>94</v>
      </c>
      <c r="J187" s="64" t="s">
        <v>360</v>
      </c>
      <c r="K187" s="64" t="s">
        <v>361</v>
      </c>
      <c r="L187" s="64" t="s">
        <v>362</v>
      </c>
      <c r="M187" s="64" t="s">
        <v>1741</v>
      </c>
      <c r="N187" s="64" t="s">
        <v>1017</v>
      </c>
      <c r="O187" s="64"/>
      <c r="P187" s="64"/>
      <c r="Q187" s="64"/>
      <c r="R187" s="64"/>
    </row>
    <row r="188" spans="8:18" x14ac:dyDescent="0.35">
      <c r="H188" s="64" t="s">
        <v>1347</v>
      </c>
      <c r="I188" s="64" t="s">
        <v>95</v>
      </c>
      <c r="J188" s="64" t="s">
        <v>363</v>
      </c>
      <c r="K188" s="64" t="s">
        <v>364</v>
      </c>
      <c r="L188" s="64" t="s">
        <v>365</v>
      </c>
      <c r="M188" s="64" t="s">
        <v>1741</v>
      </c>
      <c r="N188" s="64" t="s">
        <v>1017</v>
      </c>
      <c r="O188" s="64"/>
      <c r="P188" s="64"/>
      <c r="Q188" s="64"/>
      <c r="R188" s="64"/>
    </row>
    <row r="189" spans="8:18" x14ac:dyDescent="0.35">
      <c r="H189" s="64" t="s">
        <v>1348</v>
      </c>
      <c r="I189" s="64" t="s">
        <v>96</v>
      </c>
      <c r="J189" s="64" t="s">
        <v>366</v>
      </c>
      <c r="K189" s="64" t="s">
        <v>367</v>
      </c>
      <c r="L189" s="64" t="s">
        <v>368</v>
      </c>
      <c r="M189" s="64" t="s">
        <v>1741</v>
      </c>
      <c r="N189" s="64" t="s">
        <v>1017</v>
      </c>
      <c r="O189" s="64"/>
      <c r="P189" s="64"/>
      <c r="Q189" s="64"/>
      <c r="R189" s="64"/>
    </row>
    <row r="190" spans="8:18" x14ac:dyDescent="0.35">
      <c r="H190" s="64" t="s">
        <v>1349</v>
      </c>
      <c r="I190" s="64" t="s">
        <v>97</v>
      </c>
      <c r="J190" s="64" t="s">
        <v>369</v>
      </c>
      <c r="K190" s="64" t="s">
        <v>370</v>
      </c>
      <c r="L190" s="64" t="s">
        <v>371</v>
      </c>
      <c r="M190" s="64" t="s">
        <v>1741</v>
      </c>
      <c r="N190" s="64" t="s">
        <v>1017</v>
      </c>
      <c r="O190" s="64"/>
      <c r="P190" s="64"/>
      <c r="Q190" s="64"/>
      <c r="R190" s="64"/>
    </row>
    <row r="191" spans="8:18" x14ac:dyDescent="0.35">
      <c r="H191" s="64" t="s">
        <v>1350</v>
      </c>
      <c r="I191" s="64" t="s">
        <v>98</v>
      </c>
      <c r="J191" s="64" t="s">
        <v>372</v>
      </c>
      <c r="K191" s="64" t="s">
        <v>373</v>
      </c>
      <c r="L191" s="64" t="s">
        <v>374</v>
      </c>
      <c r="M191" s="64" t="s">
        <v>1741</v>
      </c>
      <c r="N191" s="64" t="s">
        <v>1017</v>
      </c>
      <c r="O191" s="64"/>
      <c r="P191" s="64"/>
      <c r="Q191" s="64"/>
      <c r="R191" s="64"/>
    </row>
    <row r="192" spans="8:18" x14ac:dyDescent="0.35">
      <c r="H192" s="64" t="s">
        <v>1351</v>
      </c>
      <c r="I192" s="64" t="s">
        <v>99</v>
      </c>
      <c r="J192" s="64" t="s">
        <v>375</v>
      </c>
      <c r="K192" s="64" t="s">
        <v>376</v>
      </c>
      <c r="L192" s="64" t="s">
        <v>377</v>
      </c>
      <c r="M192" s="64" t="s">
        <v>1741</v>
      </c>
      <c r="N192" s="64" t="s">
        <v>1017</v>
      </c>
      <c r="O192" s="64"/>
      <c r="P192" s="64"/>
      <c r="Q192" s="64"/>
      <c r="R192" s="64"/>
    </row>
    <row r="193" spans="8:18" x14ac:dyDescent="0.35">
      <c r="H193" s="64" t="s">
        <v>1352</v>
      </c>
      <c r="I193" s="64" t="s">
        <v>100</v>
      </c>
      <c r="J193" s="64" t="s">
        <v>378</v>
      </c>
      <c r="K193" s="64" t="s">
        <v>379</v>
      </c>
      <c r="L193" s="64" t="s">
        <v>380</v>
      </c>
      <c r="M193" s="64" t="s">
        <v>1741</v>
      </c>
      <c r="N193" s="64" t="s">
        <v>1017</v>
      </c>
      <c r="O193" s="64"/>
      <c r="P193" s="64"/>
      <c r="Q193" s="64"/>
      <c r="R193" s="64"/>
    </row>
    <row r="194" spans="8:18" x14ac:dyDescent="0.35">
      <c r="H194" s="64" t="s">
        <v>1354</v>
      </c>
      <c r="I194" s="64" t="s">
        <v>102</v>
      </c>
      <c r="J194" s="64" t="s">
        <v>382</v>
      </c>
      <c r="K194" s="64" t="s">
        <v>383</v>
      </c>
      <c r="L194" s="64" t="s">
        <v>384</v>
      </c>
      <c r="M194" s="64" t="s">
        <v>1741</v>
      </c>
      <c r="N194" s="64" t="s">
        <v>1017</v>
      </c>
      <c r="O194" s="64"/>
      <c r="P194" s="64"/>
      <c r="Q194" s="64"/>
      <c r="R194" s="64"/>
    </row>
    <row r="195" spans="8:18" x14ac:dyDescent="0.35">
      <c r="H195" s="64" t="s">
        <v>1355</v>
      </c>
      <c r="I195" s="64" t="s">
        <v>103</v>
      </c>
      <c r="J195" s="64" t="s">
        <v>385</v>
      </c>
      <c r="K195" s="64" t="s">
        <v>386</v>
      </c>
      <c r="L195" s="64" t="s">
        <v>387</v>
      </c>
      <c r="M195" s="64" t="s">
        <v>1741</v>
      </c>
      <c r="N195" s="64" t="s">
        <v>1017</v>
      </c>
      <c r="O195" s="64"/>
      <c r="P195" s="64"/>
      <c r="Q195" s="64"/>
      <c r="R195" s="64"/>
    </row>
    <row r="196" spans="8:18" x14ac:dyDescent="0.35">
      <c r="H196" s="64" t="s">
        <v>1356</v>
      </c>
      <c r="I196" s="64" t="s">
        <v>104</v>
      </c>
      <c r="J196" s="64" t="s">
        <v>388</v>
      </c>
      <c r="K196" s="64" t="s">
        <v>389</v>
      </c>
      <c r="L196" s="64" t="s">
        <v>390</v>
      </c>
      <c r="M196" s="64" t="s">
        <v>1741</v>
      </c>
      <c r="N196" s="64" t="s">
        <v>1017</v>
      </c>
      <c r="O196" s="64"/>
      <c r="P196" s="64"/>
      <c r="Q196" s="64"/>
      <c r="R196" s="64"/>
    </row>
    <row r="197" spans="8:18" x14ac:dyDescent="0.35">
      <c r="H197" s="64" t="s">
        <v>1357</v>
      </c>
      <c r="I197" s="64" t="s">
        <v>105</v>
      </c>
      <c r="J197" s="64" t="s">
        <v>391</v>
      </c>
      <c r="K197" s="64" t="s">
        <v>392</v>
      </c>
      <c r="L197" s="64" t="s">
        <v>393</v>
      </c>
      <c r="M197" s="64" t="s">
        <v>1741</v>
      </c>
      <c r="N197" s="64" t="s">
        <v>1017</v>
      </c>
      <c r="O197" s="64"/>
      <c r="P197" s="64"/>
      <c r="Q197" s="64"/>
      <c r="R197" s="64"/>
    </row>
    <row r="198" spans="8:18" x14ac:dyDescent="0.35">
      <c r="H198" s="64" t="s">
        <v>1358</v>
      </c>
      <c r="I198" s="64" t="s">
        <v>106</v>
      </c>
      <c r="J198" s="64" t="s">
        <v>394</v>
      </c>
      <c r="K198" s="64" t="s">
        <v>395</v>
      </c>
      <c r="L198" s="64" t="s">
        <v>396</v>
      </c>
      <c r="M198" s="64" t="s">
        <v>1741</v>
      </c>
      <c r="N198" s="64" t="s">
        <v>1017</v>
      </c>
      <c r="O198" s="64"/>
      <c r="P198" s="64"/>
      <c r="Q198" s="64"/>
      <c r="R198" s="64"/>
    </row>
    <row r="199" spans="8:18" x14ac:dyDescent="0.35">
      <c r="H199" s="64" t="s">
        <v>1359</v>
      </c>
      <c r="I199" s="64" t="s">
        <v>107</v>
      </c>
      <c r="J199" s="64" t="s">
        <v>397</v>
      </c>
      <c r="K199" s="64" t="s">
        <v>398</v>
      </c>
      <c r="L199" s="64" t="s">
        <v>399</v>
      </c>
      <c r="M199" s="64" t="s">
        <v>1741</v>
      </c>
      <c r="N199" s="64" t="s">
        <v>1017</v>
      </c>
      <c r="O199" s="64"/>
      <c r="P199" s="64"/>
      <c r="Q199" s="64"/>
      <c r="R199" s="64"/>
    </row>
    <row r="200" spans="8:18" x14ac:dyDescent="0.35">
      <c r="H200" s="64" t="s">
        <v>1360</v>
      </c>
      <c r="I200" s="64" t="s">
        <v>108</v>
      </c>
      <c r="J200" s="64" t="s">
        <v>400</v>
      </c>
      <c r="K200" s="64" t="s">
        <v>401</v>
      </c>
      <c r="L200" s="64" t="s">
        <v>402</v>
      </c>
      <c r="M200" s="64" t="s">
        <v>1741</v>
      </c>
      <c r="N200" s="64" t="s">
        <v>1017</v>
      </c>
      <c r="O200" s="64"/>
      <c r="P200" s="64"/>
      <c r="Q200" s="64"/>
      <c r="R200" s="64"/>
    </row>
    <row r="201" spans="8:18" x14ac:dyDescent="0.35">
      <c r="H201" s="64" t="s">
        <v>1361</v>
      </c>
      <c r="I201" s="64" t="s">
        <v>109</v>
      </c>
      <c r="J201" s="64" t="s">
        <v>403</v>
      </c>
      <c r="K201" s="64" t="s">
        <v>404</v>
      </c>
      <c r="L201" s="64" t="s">
        <v>405</v>
      </c>
      <c r="M201" s="64" t="s">
        <v>1741</v>
      </c>
      <c r="N201" s="64" t="s">
        <v>1017</v>
      </c>
      <c r="O201" s="64"/>
      <c r="P201" s="64"/>
      <c r="Q201" s="64"/>
      <c r="R201" s="64"/>
    </row>
    <row r="202" spans="8:18" x14ac:dyDescent="0.35">
      <c r="H202" s="64" t="s">
        <v>1333</v>
      </c>
      <c r="I202" s="64" t="s">
        <v>81</v>
      </c>
      <c r="J202" s="64" t="s">
        <v>321</v>
      </c>
      <c r="K202" s="64" t="s">
        <v>322</v>
      </c>
      <c r="L202" s="64" t="s">
        <v>323</v>
      </c>
      <c r="M202" s="64" t="s">
        <v>1741</v>
      </c>
      <c r="N202" s="206" t="s">
        <v>1081</v>
      </c>
      <c r="O202" s="64"/>
      <c r="P202" s="64"/>
      <c r="Q202" s="64"/>
      <c r="R202" s="64"/>
    </row>
    <row r="203" spans="8:18" x14ac:dyDescent="0.35">
      <c r="H203" s="64" t="s">
        <v>1353</v>
      </c>
      <c r="I203" s="64" t="s">
        <v>101</v>
      </c>
      <c r="J203" s="64" t="s">
        <v>381</v>
      </c>
      <c r="K203" s="64"/>
      <c r="L203" s="64"/>
      <c r="M203" s="64" t="s">
        <v>1741</v>
      </c>
      <c r="N203" s="206" t="s">
        <v>1081</v>
      </c>
      <c r="O203" s="64"/>
      <c r="P203" s="64"/>
      <c r="Q203" s="64"/>
      <c r="R203" s="64"/>
    </row>
    <row r="204" spans="8:18" x14ac:dyDescent="0.35">
      <c r="H204" s="64" t="s">
        <v>1340</v>
      </c>
      <c r="I204" s="64" t="s">
        <v>88</v>
      </c>
      <c r="J204" s="64" t="s">
        <v>342</v>
      </c>
      <c r="K204" s="64" t="s">
        <v>343</v>
      </c>
      <c r="L204" s="64" t="s">
        <v>344</v>
      </c>
      <c r="M204" s="96" t="s">
        <v>1741</v>
      </c>
      <c r="N204" s="207" t="s">
        <v>1070</v>
      </c>
      <c r="O204" s="64"/>
    </row>
  </sheetData>
  <sheetProtection algorithmName="SHA-512" hashValue="KAwoQiK6YMMQWi48rR0k2B6VwqsoaIXv18nHNMaml5058wxyinUUA4RegiK8vVXKbzic72tkBsd2982wNoLoKQ==" saltValue="nhfHkcRTEs3FRaK/qVtLIg==" spinCount="100000" sheet="1" objects="1" scenarios="1" formatCells="0" autoFilter="0"/>
  <mergeCells count="20">
    <mergeCell ref="T95:U95"/>
    <mergeCell ref="T7:U7"/>
    <mergeCell ref="T31:U31"/>
    <mergeCell ref="T57:U57"/>
    <mergeCell ref="T15:U15"/>
    <mergeCell ref="T64:U64"/>
    <mergeCell ref="T71:U71"/>
    <mergeCell ref="T79:U79"/>
    <mergeCell ref="T88:U88"/>
    <mergeCell ref="T46:U46"/>
    <mergeCell ref="W83:X83"/>
    <mergeCell ref="A1:F1"/>
    <mergeCell ref="H1:N1"/>
    <mergeCell ref="T1:U1"/>
    <mergeCell ref="W22:Y22"/>
    <mergeCell ref="P1:R1"/>
    <mergeCell ref="W73:X73"/>
    <mergeCell ref="W42:X42"/>
    <mergeCell ref="W50:X50"/>
    <mergeCell ref="W60:X60"/>
  </mergeCells>
  <phoneticPr fontId="2" type="noConversion"/>
  <hyperlinks>
    <hyperlink ref="X1" r:id="rId1" display="Coverage (attributes see Rec 16-14(4a))" xr:uid="{530D2A4D-563C-4B5F-9B6D-658C0331FF41}"/>
    <hyperlink ref="Y1" r:id="rId2" display="Couverture (attributs voir Rec. 16-14(4a))" xr:uid="{8045CC1D-F1B1-48A5-8B1B-59A4A802C705}"/>
    <hyperlink ref="Z1" r:id="rId3" display="Cobertura (atributos véase Rec. 16-14(4a))" xr:uid="{608022D8-843C-47C4-B213-CFF5652292DC}"/>
  </hyperlinks>
  <pageMargins left="0.7" right="0.7" top="0.75" bottom="0.75" header="0.3" footer="0.3"/>
  <pageSetup paperSize="9" orientation="portrait" horizontalDpi="1200" verticalDpi="1200" r:id="rId4"/>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6A03-E4A8-45FC-8FCB-F822BCF0C229}">
  <sheetPr codeName="Sheet3"/>
  <dimension ref="A1:H87"/>
  <sheetViews>
    <sheetView zoomScale="115" zoomScaleNormal="115" workbookViewId="0">
      <selection activeCell="H21" sqref="H21"/>
    </sheetView>
  </sheetViews>
  <sheetFormatPr defaultColWidth="11.765625" defaultRowHeight="10.75" x14ac:dyDescent="0.4"/>
  <cols>
    <col min="1" max="1" width="6.07421875" style="51" bestFit="1" customWidth="1"/>
    <col min="2" max="2" width="9.765625" style="51" customWidth="1"/>
    <col min="3" max="3" width="10" style="51" customWidth="1"/>
    <col min="4" max="4" width="16.4609375" style="51" customWidth="1"/>
    <col min="5" max="5" width="18.61328125" style="51" customWidth="1"/>
    <col min="6" max="6" width="18.4609375" style="51" bestFit="1" customWidth="1"/>
    <col min="7" max="7" width="13.4609375" style="51" bestFit="1" customWidth="1"/>
    <col min="8" max="8" width="95.3828125" style="51" customWidth="1"/>
    <col min="9" max="16384" width="11.765625" style="51"/>
  </cols>
  <sheetData>
    <row r="1" spans="1:8" ht="12" x14ac:dyDescent="0.4">
      <c r="A1" s="395" t="str">
        <f>VLOOKUP("G00",tblTranslation[],LangNameID,FALSE) &amp;" ( "&amp;Idiom&amp;" )"</f>
        <v>Instructions to complete the form ( ENG )</v>
      </c>
      <c r="B1" s="395"/>
      <c r="C1" s="395"/>
      <c r="D1" s="395"/>
      <c r="E1" s="395"/>
      <c r="F1" s="395"/>
      <c r="G1" s="395"/>
      <c r="H1" s="395"/>
    </row>
    <row r="2" spans="1:8" x14ac:dyDescent="0.4">
      <c r="A2" s="396" t="str">
        <f>VLOOKUP("G01",tblTranslation[],LangFieldID,FALSE)</f>
        <v>General</v>
      </c>
      <c r="B2" s="396"/>
      <c r="C2" s="396"/>
      <c r="D2" s="396"/>
      <c r="E2" s="396"/>
      <c r="F2" s="35"/>
      <c r="G2" s="36"/>
    </row>
    <row r="3" spans="1:8" x14ac:dyDescent="0.4">
      <c r="A3" s="37" t="s">
        <v>607</v>
      </c>
      <c r="B3" s="398" t="str">
        <f>VLOOKUP("G01a",tblTranslation[],LangNameID,FALSE)</f>
        <v>Complete as far as possible the Header and Detail sections (don't leave fields empty when information is known)</v>
      </c>
      <c r="C3" s="398"/>
      <c r="D3" s="398"/>
      <c r="E3" s="398"/>
      <c r="F3" s="398"/>
      <c r="G3" s="398"/>
      <c r="H3" s="398"/>
    </row>
    <row r="4" spans="1:8" x14ac:dyDescent="0.4">
      <c r="A4" s="2" t="s">
        <v>608</v>
      </c>
      <c r="B4" s="398" t="str">
        <f>VLOOKUP("G01b",tblTranslation[],LangNameID,FALSE)</f>
        <v>In Header section, only white cells can be filled (manually or by selecting from the Combo Box the corresponding code)</v>
      </c>
      <c r="C4" s="398"/>
      <c r="D4" s="398"/>
      <c r="E4" s="398"/>
      <c r="F4" s="398"/>
      <c r="G4" s="398"/>
      <c r="H4" s="398"/>
    </row>
    <row r="5" spans="1:8" x14ac:dyDescent="0.4">
      <c r="A5" s="2" t="s">
        <v>609</v>
      </c>
      <c r="B5" s="399" t="str">
        <f>VLOOKUP("G01c",tblTranslation[],LangNameID,FALSE)</f>
        <v>Always use ICCAT standard codes (when element "OTHERS" of various fields is required it must be explicitly described in "Notes")</v>
      </c>
      <c r="C5" s="399"/>
      <c r="D5" s="399"/>
      <c r="E5" s="399"/>
      <c r="F5" s="399"/>
      <c r="G5" s="399"/>
      <c r="H5" s="399"/>
    </row>
    <row r="6" spans="1:8" x14ac:dyDescent="0.4">
      <c r="A6" s="2" t="s">
        <v>610</v>
      </c>
      <c r="B6" s="398" t="str">
        <f>VLOOKUP("G01d",tblTranslation[],LangNameID,FALSE)</f>
        <v>Recommendation for users with databases: To paste an entire dataset into the Detail section (must have the same structure and format) use "Paste special (values)"</v>
      </c>
      <c r="C6" s="398"/>
      <c r="D6" s="398"/>
      <c r="E6" s="398"/>
      <c r="F6" s="398"/>
      <c r="G6" s="398"/>
      <c r="H6" s="398"/>
    </row>
    <row r="7" spans="1:8" x14ac:dyDescent="0.4">
      <c r="A7" s="2" t="s">
        <v>611</v>
      </c>
      <c r="B7" s="398" t="str">
        <f>VLOOKUP("G01e",tblTranslation[],LangNameID,FALSE)</f>
        <v>Leave "blank" the fields for which you don't collect information</v>
      </c>
      <c r="C7" s="398"/>
      <c r="D7" s="398"/>
      <c r="E7" s="398"/>
      <c r="F7" s="398"/>
      <c r="G7" s="398"/>
      <c r="H7" s="398"/>
    </row>
    <row r="8" spans="1:8" x14ac:dyDescent="0.4">
      <c r="A8" s="2"/>
      <c r="B8" s="2"/>
      <c r="C8" s="28"/>
      <c r="D8" s="28"/>
      <c r="E8" s="28"/>
      <c r="F8" s="28"/>
      <c r="G8" s="38"/>
      <c r="H8" s="2"/>
    </row>
    <row r="9" spans="1:8" x14ac:dyDescent="0.4">
      <c r="A9" s="397" t="str">
        <f>VLOOKUP("S00",tblTranslation[],LangFieldID,FALSE)</f>
        <v>Specific (by field)</v>
      </c>
      <c r="B9" s="397"/>
      <c r="C9" s="397"/>
      <c r="D9" s="397"/>
      <c r="E9" s="397"/>
      <c r="F9" s="28"/>
      <c r="G9" s="38"/>
      <c r="H9" s="2"/>
    </row>
    <row r="10" spans="1:8" x14ac:dyDescent="0.4">
      <c r="A10" s="39" t="str">
        <f>VLOOKUP("SC01",tblTranslation[],LangFieldID,FALSE)</f>
        <v>Form</v>
      </c>
      <c r="B10" s="40" t="str">
        <f>VLOOKUP("SC02",tblTranslation[],LangFieldID,FALSE)</f>
        <v>Sub-form</v>
      </c>
      <c r="C10" s="40" t="str">
        <f>VLOOKUP("SC03",tblTranslation[],LangFieldID,FALSE)</f>
        <v>Part</v>
      </c>
      <c r="D10" s="40" t="str">
        <f>VLOOKUP("SC04",tblTranslation[],LangFieldID,FALSE)</f>
        <v>Section</v>
      </c>
      <c r="E10" s="40" t="str">
        <f>VLOOKUP("SC05",tblTranslation[],LangFieldID,FALSE)</f>
        <v>Sub-section</v>
      </c>
      <c r="F10" s="40" t="str">
        <f>VLOOKUP("SC06",tblTranslation[],LangFieldID,FALSE)</f>
        <v>Field (name)</v>
      </c>
      <c r="G10" s="41" t="str">
        <f>VLOOKUP("SC07",tblTranslation[],LangFieldID,FALSE)</f>
        <v>Field (format)</v>
      </c>
      <c r="H10" s="451" t="str">
        <f>VLOOKUP("SC08",tblTranslation[],LangFieldID,FALSE)</f>
        <v>Description</v>
      </c>
    </row>
    <row r="11" spans="1:8" x14ac:dyDescent="0.4">
      <c r="A11" s="420" t="str">
        <f>VLOOKUP("T00",tblTranslation[],LangFieldID,FALSE)</f>
        <v>ST09-DomObPrg</v>
      </c>
      <c r="B11" s="400" t="str">
        <f>VLOOKUP("T03",tblTranslation[],LangFieldID,FALSE)</f>
        <v>ST09A</v>
      </c>
      <c r="C11" s="414" t="str">
        <f>VLOOKUP("H00",tblTranslation[],LangFieldID,FALSE)</f>
        <v>Header</v>
      </c>
      <c r="D11" s="403" t="str">
        <f>VLOOKUP("T02",tblTranslation[],LangFieldID,FALSE)</f>
        <v>Title</v>
      </c>
      <c r="E11" s="403"/>
      <c r="F11" s="56" t="str">
        <f>VLOOKUP("tVersion",tblTranslation[],LangFieldID,FALSE)</f>
        <v>Version</v>
      </c>
      <c r="G11" s="163" t="str">
        <f>VLOOKUP("tVersion",tblTranslation[],7,FALSE)</f>
        <v>(fixed)</v>
      </c>
      <c r="H11" s="42" t="str">
        <f>VLOOKUP("tVersion",tblTranslation[],LangNameID,FALSE)</f>
        <v>Always use the lastest version of this form</v>
      </c>
    </row>
    <row r="12" spans="1:8" x14ac:dyDescent="0.4">
      <c r="A12" s="420"/>
      <c r="B12" s="400"/>
      <c r="C12" s="415"/>
      <c r="D12" s="403"/>
      <c r="E12" s="403"/>
      <c r="F12" s="56" t="str">
        <f>VLOOKUP("tLang",tblTranslation[],LangFieldID,FALSE)</f>
        <v>Language</v>
      </c>
      <c r="G12" s="163" t="str">
        <f>VLOOKUP("tLang",tblTranslation[],7,FALSE)</f>
        <v>ICCAT code</v>
      </c>
      <c r="H12" s="42" t="str">
        <f>VLOOKUP("tLang",tblTranslation[],LangNameID,FALSE)</f>
        <v>Choose the language (ENG, FRA, ESP) for form translation</v>
      </c>
    </row>
    <row r="13" spans="1:8" x14ac:dyDescent="0.4">
      <c r="A13" s="420"/>
      <c r="B13" s="400"/>
      <c r="C13" s="415"/>
      <c r="D13" s="402" t="str">
        <f>VLOOKUP("H10",tblTranslation[],LangFieldID,FALSE)</f>
        <v>Statistical Correspondent</v>
      </c>
      <c r="E13" s="403" t="str">
        <f>VLOOKUP("H11",tblTranslation[],LangFieldID,FALSE)</f>
        <v>Identification</v>
      </c>
      <c r="F13" s="57" t="str">
        <f>VLOOKUP("hname",tblTranslation[],LangFieldID,FALSE)</f>
        <v>Name</v>
      </c>
      <c r="G13" s="452" t="str">
        <f>VLOOKUP("hName",tblTranslation[],7,FALSE)</f>
        <v>string</v>
      </c>
      <c r="H13" s="42" t="str">
        <f>VLOOKUP("hName",tblTranslation[],LangNameID,FALSE)</f>
        <v>Name (full OR Name &amp; Surname) of the Statistical Correspondent (officially nominated by the CPC)</v>
      </c>
    </row>
    <row r="14" spans="1:8" x14ac:dyDescent="0.4">
      <c r="A14" s="420"/>
      <c r="B14" s="400"/>
      <c r="C14" s="415"/>
      <c r="D14" s="402"/>
      <c r="E14" s="403"/>
      <c r="F14" s="57" t="str">
        <f>VLOOKUP("hemail",tblTranslation[],LangFieldID,FALSE)</f>
        <v>E-mail</v>
      </c>
      <c r="G14" s="452" t="str">
        <f>VLOOKUP("hEmail",tblTranslation[],7,FALSE)</f>
        <v>string</v>
      </c>
      <c r="H14" s="42" t="str">
        <f>VLOOKUP("hemail",tblTranslation[],LangNameID,FALSE)</f>
        <v>Email address of the Statistical Correspondent</v>
      </c>
    </row>
    <row r="15" spans="1:8" x14ac:dyDescent="0.4">
      <c r="A15" s="420"/>
      <c r="B15" s="400"/>
      <c r="C15" s="415"/>
      <c r="D15" s="402"/>
      <c r="E15" s="403"/>
      <c r="F15" s="57" t="str">
        <f>VLOOKUP("hphone",tblTranslation[],LangFieldID,FALSE)</f>
        <v>Phone</v>
      </c>
      <c r="G15" s="452" t="str">
        <f>VLOOKUP("hPhone",tblTranslation[],7,FALSE)</f>
        <v>string</v>
      </c>
      <c r="H15" s="42" t="str">
        <f>VLOOKUP("hphone",tblTranslation[],LangNameID,FALSE)</f>
        <v>Telephone number of the Statistical Correspondent</v>
      </c>
    </row>
    <row r="16" spans="1:8" x14ac:dyDescent="0.4">
      <c r="A16" s="420"/>
      <c r="B16" s="400"/>
      <c r="C16" s="415"/>
      <c r="D16" s="402"/>
      <c r="E16" s="403" t="str">
        <f>VLOOKUP("H12",tblTranslation[],LangFieldID,FALSE)</f>
        <v>Affiliation</v>
      </c>
      <c r="F16" s="57" t="str">
        <f>VLOOKUP("hInstit",tblTranslation[],LangFieldID,FALSE)</f>
        <v>Institution</v>
      </c>
      <c r="G16" s="452" t="str">
        <f>VLOOKUP("hInstit",tblTranslation[],7,FALSE)</f>
        <v>string</v>
      </c>
      <c r="H16" s="42" t="str">
        <f>VLOOKUP("hInstit",tblTranslation[],LangNameID,FALSE)</f>
        <v>Institute (ministry, agency, research Institute, etc.) to which the Statistical Correspondent is affiliated</v>
      </c>
    </row>
    <row r="17" spans="1:8" x14ac:dyDescent="0.4">
      <c r="A17" s="420"/>
      <c r="B17" s="400"/>
      <c r="C17" s="415"/>
      <c r="D17" s="402"/>
      <c r="E17" s="403"/>
      <c r="F17" s="57" t="str">
        <f>VLOOKUP("hDepart",tblTranslation[],LangFieldID,FALSE)</f>
        <v>Department</v>
      </c>
      <c r="G17" s="452" t="str">
        <f>VLOOKUP("hDepart",tblTranslation[],7,FALSE)</f>
        <v>string</v>
      </c>
      <c r="H17" s="42" t="str">
        <f>VLOOKUP("hDepart",tblTranslation[],LangNameID,FALSE)</f>
        <v>Department within the Institution, where applicable</v>
      </c>
    </row>
    <row r="18" spans="1:8" x14ac:dyDescent="0.4">
      <c r="A18" s="420"/>
      <c r="B18" s="400"/>
      <c r="C18" s="415"/>
      <c r="D18" s="402"/>
      <c r="E18" s="403"/>
      <c r="F18" s="57" t="str">
        <f>VLOOKUP("hAddress",tblTranslation[],LangFieldID,FALSE)</f>
        <v>Address</v>
      </c>
      <c r="G18" s="452" t="str">
        <f>VLOOKUP("hAddress",tblTranslation[],7,FALSE)</f>
        <v>string</v>
      </c>
      <c r="H18" s="42" t="str">
        <f>VLOOKUP("hAddress",tblTranslation[],LangNameID,FALSE)</f>
        <v>Postal address of the institution (street, number, city, state)</v>
      </c>
    </row>
    <row r="19" spans="1:8" x14ac:dyDescent="0.4">
      <c r="A19" s="420"/>
      <c r="B19" s="400"/>
      <c r="C19" s="415"/>
      <c r="D19" s="402"/>
      <c r="E19" s="403"/>
      <c r="F19" s="162" t="str">
        <f>VLOOKUP("hcountry",tblTranslation[],LangFieldID,FALSE)</f>
        <v>Country</v>
      </c>
      <c r="G19" s="452" t="str">
        <f>VLOOKUP("hCountry",tblTranslation[],7,FALSE)</f>
        <v>ICCAT code</v>
      </c>
      <c r="H19" s="42" t="str">
        <f>VLOOKUP("hCOuntry",tblTranslation[],LangNameID,FALSE)</f>
        <v>Country in which the Institution is based</v>
      </c>
    </row>
    <row r="20" spans="1:8" x14ac:dyDescent="0.4">
      <c r="A20" s="420"/>
      <c r="B20" s="400"/>
      <c r="C20" s="415"/>
      <c r="D20" s="401" t="str">
        <f>VLOOKUP("H20",tblTranslation[],LangFieldID,FALSE)</f>
        <v>Secretariat use only</v>
      </c>
      <c r="E20" s="401"/>
      <c r="F20" s="57" t="str">
        <f>VLOOKUP("hDaterep",tblTranslation[],LangFieldID,FALSE)</f>
        <v>Date reported</v>
      </c>
      <c r="G20" s="452" t="str">
        <f>VLOOKUP("hDaterep",tblTranslation[],7,FALSE)</f>
        <v>date</v>
      </c>
      <c r="H20" s="42" t="str">
        <f>VLOOKUP("hDaterep",tblTranslation[],LangNameID,FALSE)</f>
        <v>Secretariat use only</v>
      </c>
    </row>
    <row r="21" spans="1:8" x14ac:dyDescent="0.4">
      <c r="A21" s="420"/>
      <c r="B21" s="400"/>
      <c r="C21" s="415"/>
      <c r="D21" s="401"/>
      <c r="E21" s="401"/>
      <c r="F21" s="57" t="str">
        <f>VLOOKUP("hRef",tblTranslation[],LangFieldID,FALSE)</f>
        <v>Reference Nº</v>
      </c>
      <c r="G21" s="452" t="str">
        <f>VLOOKUP("hRef",tblTranslation[],7,FALSE)</f>
        <v>ICCAT code</v>
      </c>
      <c r="H21" s="42" t="str">
        <f>VLOOKUP("hRef",tblTranslation[],LangNameID,FALSE)</f>
        <v>Secretariat use only</v>
      </c>
    </row>
    <row r="22" spans="1:8" x14ac:dyDescent="0.4">
      <c r="A22" s="420"/>
      <c r="B22" s="400"/>
      <c r="C22" s="415"/>
      <c r="D22" s="401"/>
      <c r="E22" s="401"/>
      <c r="F22" s="57" t="str">
        <f>VLOOKUP("hFname",tblTranslation[],LangFieldID,FALSE)</f>
        <v>File name (proposed)</v>
      </c>
      <c r="G22" s="452" t="str">
        <f>VLOOKUP("hFname",tblTranslation[],7,FALSE)</f>
        <v>string</v>
      </c>
      <c r="H22" s="42" t="str">
        <f>VLOOKUP("hFname",tblTranslation[],LangNameID,FALSE)</f>
        <v>Send the form to ICCAT with the proposed file name (if required, suffix it with an ID at the end)</v>
      </c>
    </row>
    <row r="23" spans="1:8" x14ac:dyDescent="0.4">
      <c r="A23" s="420"/>
      <c r="B23" s="400"/>
      <c r="C23" s="415"/>
      <c r="D23" s="401"/>
      <c r="E23" s="401"/>
      <c r="F23" s="42" t="str">
        <f>VLOOKUP("hFilter1",tblTranslation[],LangFieldID,FALSE)</f>
        <v>Filter 1</v>
      </c>
      <c r="G23" s="163" t="str">
        <f>VLOOKUP("hFilter1",tblTranslation[],7,FALSE)</f>
        <v>boolean</v>
      </c>
      <c r="H23" s="42" t="str">
        <f>VLOOKUP("hFilter1",tblTranslation[],LangNameID,FALSE)</f>
        <v>Secretariat use only</v>
      </c>
    </row>
    <row r="24" spans="1:8" x14ac:dyDescent="0.4">
      <c r="A24" s="420"/>
      <c r="B24" s="400"/>
      <c r="C24" s="415"/>
      <c r="D24" s="401"/>
      <c r="E24" s="401"/>
      <c r="F24" s="42" t="str">
        <f>VLOOKUP("hFilter2",tblTranslation[],LangFieldID,FALSE)</f>
        <v>Filter 2</v>
      </c>
      <c r="G24" s="163" t="str">
        <f>VLOOKUP("hFilter2",tblTranslation[],7,FALSE)</f>
        <v>boolean</v>
      </c>
      <c r="H24" s="42" t="str">
        <f>VLOOKUP("hFilter2",tblTranslation[],LangNameID,FALSE)</f>
        <v>Secretariat use only</v>
      </c>
    </row>
    <row r="25" spans="1:8" x14ac:dyDescent="0.4">
      <c r="A25" s="420"/>
      <c r="B25" s="400"/>
      <c r="C25" s="415"/>
      <c r="D25" s="405" t="str">
        <f>VLOOKUP("H30",tblTranslation[],LangFieldID,FALSE)</f>
        <v>Data set characteristics</v>
      </c>
      <c r="E25" s="406"/>
      <c r="F25" s="162" t="str">
        <f>VLOOKUP("hFlagrep",tblTranslation[],LangFieldID,FALSE)</f>
        <v>Reporting Flag</v>
      </c>
      <c r="G25" s="452" t="str">
        <f>VLOOKUP("hFlagrep",tblTranslation[],7,FALSE)</f>
        <v>ICCAT code</v>
      </c>
      <c r="H25" s="42" t="str">
        <f>VLOOKUP("hFlagrep",tblTranslation[],LangNameID,FALSE)</f>
        <v>Choose the flag CPC reporting the data (ICCAT codes)</v>
      </c>
    </row>
    <row r="26" spans="1:8" x14ac:dyDescent="0.4">
      <c r="A26" s="420"/>
      <c r="B26" s="400"/>
      <c r="C26" s="415"/>
      <c r="D26" s="407"/>
      <c r="E26" s="408"/>
      <c r="F26" s="57" t="str">
        <f>VLOOKUP("hYearFrom",tblTranslation[],LangFieldID,FALSE)</f>
        <v>Years covered (from)</v>
      </c>
      <c r="G26" s="452" t="str">
        <f>VLOOKUP("hYearFrom",tblTranslation[],7,FALSE)</f>
        <v>integer</v>
      </c>
      <c r="H26" s="42" t="str">
        <f>VLOOKUP("hYearFrom",tblTranslation[],LangNameID,FALSE)</f>
        <v>One or more years can be added to the form. Add the first (from) year (4 digits) to which the data relate</v>
      </c>
    </row>
    <row r="27" spans="1:8" x14ac:dyDescent="0.4">
      <c r="A27" s="420"/>
      <c r="B27" s="400"/>
      <c r="C27" s="415"/>
      <c r="D27" s="407"/>
      <c r="E27" s="408"/>
      <c r="F27" s="57" t="str">
        <f>VLOOKUP("hYearTo",tblTranslation[],LangFieldID,FALSE)</f>
        <v>(to)</v>
      </c>
      <c r="G27" s="452" t="str">
        <f>VLOOKUP("hYearTo",tblTranslation[],7,FALSE)</f>
        <v>integer</v>
      </c>
      <c r="H27" s="42" t="str">
        <f>VLOOKUP("hYearTo",tblTranslation[],LangNameID,FALSE)</f>
        <v>One or more years can be added to the form. Add the last (to) year (4 digits) to which the data relate</v>
      </c>
    </row>
    <row r="28" spans="1:8" x14ac:dyDescent="0.4">
      <c r="A28" s="420"/>
      <c r="B28" s="400"/>
      <c r="C28" s="415"/>
      <c r="D28" s="407"/>
      <c r="E28" s="408"/>
      <c r="F28" s="57" t="str">
        <f>VLOOKUP("hDCollSource",tblTranslation[],LangFieldID,FALSE)</f>
        <v>Data collection based on</v>
      </c>
      <c r="G28" s="452" t="str">
        <f>VLOOKUP("hDCollSource",tblTranslation[],7,FALSE)</f>
        <v>ICCAT code</v>
      </c>
      <c r="H28" s="450" t="str">
        <f>VLOOKUP("hDCollSource",tblTranslation[],LangNameID,FALSE)</f>
        <v>Select the source of the observer data collection here presented (human observers, EMS, both, etc.)</v>
      </c>
    </row>
    <row r="29" spans="1:8" x14ac:dyDescent="0.4">
      <c r="A29" s="420"/>
      <c r="B29" s="400"/>
      <c r="C29" s="415"/>
      <c r="D29" s="407"/>
      <c r="E29" s="408"/>
      <c r="F29" s="162" t="str">
        <f>VLOOKUP("hVersion",tblTranslation[],LangFieldID,FALSE)</f>
        <v>Version reported</v>
      </c>
      <c r="G29" s="452" t="str">
        <f>VLOOKUP("hVersion",tblTranslation[],7,FALSE)</f>
        <v>ICCAT code</v>
      </c>
      <c r="H29" s="42" t="str">
        <f>VLOOKUP("hName",tblTranslation[],LangNameID,FALSE)</f>
        <v>Name (full OR Name &amp; Surname) of the Statistical Correspondent (officially nominated by the CPC)</v>
      </c>
    </row>
    <row r="30" spans="1:8" x14ac:dyDescent="0.4">
      <c r="A30" s="420"/>
      <c r="B30" s="400"/>
      <c r="C30" s="415"/>
      <c r="D30" s="407"/>
      <c r="E30" s="408"/>
      <c r="F30" s="162" t="str">
        <f>VLOOKUP("hContent",tblTranslation[],LangFieldID,FALSE)</f>
        <v>Content (data)</v>
      </c>
      <c r="G30" s="452" t="str">
        <f>VLOOKUP("hContent",tblTranslation[],7,FALSE)</f>
        <v>ICCAT code</v>
      </c>
      <c r="H30" s="42" t="str">
        <f>VLOOKUP("hContent",tblTranslation[],LangNameID,FALSE)</f>
        <v>Specify if the overall data content is NEW (full set OR partial set) OR a REVISION (full set OR partial set)</v>
      </c>
    </row>
    <row r="31" spans="1:8" x14ac:dyDescent="0.4">
      <c r="A31" s="420"/>
      <c r="B31" s="400"/>
      <c r="C31" s="415"/>
      <c r="D31" s="409"/>
      <c r="E31" s="410"/>
      <c r="F31" s="57" t="str">
        <f>VLOOKUP("hNotes",tblTranslation[],LangFieldID,FALSE)</f>
        <v>Notes</v>
      </c>
      <c r="G31" s="452" t="str">
        <f>VLOOKUP("hNotes",tblTranslation[],7,FALSE)</f>
        <v>string</v>
      </c>
      <c r="H31" s="42" t="str">
        <f>VLOOKUP("hNotes",tblTranslation[],LangNameID,FALSE)</f>
        <v>Add additional (supplementary) notes to the overall dataset (if needed)</v>
      </c>
    </row>
    <row r="32" spans="1:8" x14ac:dyDescent="0.4">
      <c r="A32" s="420"/>
      <c r="B32" s="400"/>
      <c r="C32" s="415"/>
      <c r="D32" s="432" t="str">
        <f>VLOOKUP("H40",tblTranslation[],LangFieldID,FALSE)</f>
        <v>Domestic Observer Prog. (summary)</v>
      </c>
      <c r="E32" s="433"/>
      <c r="F32" s="55" t="str">
        <f>VLOOKUP("hObProgYN",tblTranslation[],LangFieldID,FALSE)</f>
        <v>With Observer Program (Y/N)?</v>
      </c>
      <c r="G32" s="452" t="str">
        <f>VLOOKUP("hObProgYN",tblTranslation[],7,FALSE)</f>
        <v>boolean</v>
      </c>
      <c r="H32" s="42" t="str">
        <f>VLOOKUP("hObProgYN",tblTranslation[],LangNameID,FALSE)</f>
        <v>Does the CPC have an observer program ? (Yes/No)</v>
      </c>
    </row>
    <row r="33" spans="1:8" x14ac:dyDescent="0.4">
      <c r="A33" s="420"/>
      <c r="B33" s="400"/>
      <c r="C33" s="415"/>
      <c r="D33" s="434"/>
      <c r="E33" s="435"/>
      <c r="F33" s="55" t="str">
        <f>VLOOKUP("hObProgYear1",tblTranslation[],LangFieldID,FALSE)</f>
        <v>Year (begin)</v>
      </c>
      <c r="G33" s="452" t="str">
        <f>VLOOKUP("hObProgYear1",tblTranslation[],7,FALSE)</f>
        <v>integer</v>
      </c>
      <c r="H33" s="42" t="str">
        <f>VLOOKUP("hObProgYear1",tblTranslation[],LangNameID,FALSE)</f>
        <v>Specify the first year of the domestic observer program</v>
      </c>
    </row>
    <row r="34" spans="1:8" x14ac:dyDescent="0.4">
      <c r="A34" s="420"/>
      <c r="B34" s="400"/>
      <c r="C34" s="415"/>
      <c r="D34" s="417" t="str">
        <f>VLOOKUP("H41",tblTranslation[],LangFieldID,FALSE)</f>
        <v>Fisheries monitored / coverage</v>
      </c>
      <c r="E34" s="429" t="str">
        <f>VLOOKUP("H42",tblTranslation[],LangFieldID,FALSE)</f>
        <v>Coverage by gear (Rec 16-14(4a))</v>
      </c>
      <c r="F34" s="55" t="str">
        <f>VLOOKUP("hGearGCov",tblTranslation[],LangFieldID,FALSE)</f>
        <v>GearG+Cov. (cod)</v>
      </c>
      <c r="G34" s="452" t="str">
        <f>VLOOKUP("hGearGCov",tblTranslation[],7,FALSE)</f>
        <v>ICCAT code</v>
      </c>
      <c r="H34" s="42" t="str">
        <f>VLOOKUP("hGearGCov",tblTranslation[],LangNameID,FALSE)</f>
        <v>Select the most appropriate "Gear Group + Coverage" combination (by Fishery)</v>
      </c>
    </row>
    <row r="35" spans="1:8" x14ac:dyDescent="0.4">
      <c r="A35" s="420"/>
      <c r="B35" s="400"/>
      <c r="C35" s="415"/>
      <c r="D35" s="418"/>
      <c r="E35" s="430"/>
      <c r="F35" s="55" t="str">
        <f>VLOOKUP("hCoverRatio",tblTranslation[],LangFieldID,FALSE)</f>
        <v>C. Rate (CR, %)</v>
      </c>
      <c r="G35" s="452" t="str">
        <f>VLOOKUP("hCoverRatio",tblTranslation[],7,FALSE)</f>
        <v>integer</v>
      </c>
      <c r="H35" s="42" t="str">
        <f>VLOOKUP("hCoverRatio",tblTranslation[],LangNameID,FALSE)</f>
        <v>Specify the mean coverage rate (CR in %, where 0 &lt;CR &lt;= 100)</v>
      </c>
    </row>
    <row r="36" spans="1:8" x14ac:dyDescent="0.4">
      <c r="A36" s="420"/>
      <c r="B36" s="400"/>
      <c r="C36" s="416"/>
      <c r="D36" s="419"/>
      <c r="E36" s="431"/>
      <c r="F36" s="55" t="str">
        <f>VLOOKUP("hMinCovRatio",tblTranslation[],LangFieldID,FALSE)</f>
        <v>Min (CR, %)</v>
      </c>
      <c r="G36" s="452" t="str">
        <f>VLOOKUP("hMinCovRatio",tblTranslation[],7,FALSE)</f>
        <v>integer</v>
      </c>
      <c r="H36" s="42" t="str">
        <f>VLOOKUP("hMinCovRatio",tblTranslation[],LangNameID,FALSE)</f>
        <v>Informative (minimum coverage rate on Rec., by fishery)</v>
      </c>
    </row>
    <row r="37" spans="1:8" ht="32.15" x14ac:dyDescent="0.4">
      <c r="A37" s="420"/>
      <c r="B37" s="400"/>
      <c r="C37" s="404" t="str">
        <f>VLOOKUP("D00",tblTranslation[],LangFieldID,FALSE)</f>
        <v>Detail</v>
      </c>
      <c r="D37" s="411" t="str">
        <f>VLOOKUP("D10",tblTranslation[],LangFieldID,FALSE)</f>
        <v>Fishing operations &amp; fleets</v>
      </c>
      <c r="E37" s="187" t="str">
        <f>VLOOKUP("D11",tblTranslation[],LangFieldID,FALSE)</f>
        <v>Fish. Oper. (FO)</v>
      </c>
      <c r="F37" s="185" t="str">
        <f>VLOOKUP("FOpGrpCdA",tblTranslation[],LangFieldID,FALSE)</f>
        <v>FO group ID</v>
      </c>
      <c r="G37" s="452" t="str">
        <f>VLOOKUP("FOpGrpCdA",tblTranslation[],7,FALSE)</f>
        <v>integer</v>
      </c>
      <c r="H37" s="42" t="str">
        <f>VLOOKUP("FOpGrpCdA",tblTranslation[],LangNameID,FALSE)</f>
        <v>The Fishing Operation (FO) Group unique identifier, is a unique code (free form) used in each row of ST09A (stratum) that characterises one (single FO) or a group of FOs (from 1 or more vessels) with all the corresponding fields of that stratum. This code is then used (chosen) in sub-forms ST09B (catches) and ST09C (samples)</v>
      </c>
    </row>
    <row r="38" spans="1:8" x14ac:dyDescent="0.4">
      <c r="A38" s="420"/>
      <c r="B38" s="400"/>
      <c r="C38" s="404"/>
      <c r="D38" s="411"/>
      <c r="E38" s="411" t="str">
        <f>VLOOKUP("D12",tblTranslation[],LangFieldID,FALSE)</f>
        <v>Fleet attributes</v>
      </c>
      <c r="F38" s="46" t="str">
        <f>VLOOKUP("FlagVesCd",tblTranslation[],LangFieldID,FALSE)</f>
        <v>Flag of Vessel (cod)</v>
      </c>
      <c r="G38" s="452" t="str">
        <f>VLOOKUP("FlagVesCd",tblTranslation[],7,FALSE)</f>
        <v>ICCAT code</v>
      </c>
      <c r="H38" s="42" t="str">
        <f>VLOOKUP("FlagVesCd",tblTranslation[],LangNameID,FALSE)</f>
        <v>Choose the flag of the vessel to which the data apply (whether national or foreign flagged vessel)</v>
      </c>
    </row>
    <row r="39" spans="1:8" ht="21.45" x14ac:dyDescent="0.4">
      <c r="A39" s="420"/>
      <c r="B39" s="400"/>
      <c r="C39" s="404"/>
      <c r="D39" s="411"/>
      <c r="E39" s="411"/>
      <c r="F39" s="185" t="str">
        <f>VLOOKUP("FleetSuffix",tblTranslation[],LangFieldID,FALSE)</f>
        <v xml:space="preserve">Fleet suffix </v>
      </c>
      <c r="G39" s="452" t="str">
        <f>VLOOKUP("FleetSuffix",tblTranslation[],7,FALSE)</f>
        <v>string</v>
      </c>
      <c r="H39" s="42" t="str">
        <f>VLOOKUP("FleetSuffix",tblTranslation[],LangNameID,FALSE)</f>
        <v>This field should be completed by those CPCs operating various fisheries with an independent data collection system (e.g. Portugal-Azores, Spain-Fuenterrabía, etc.). Additional fleet sufixes (former base ports/zones) can be adopted.</v>
      </c>
    </row>
    <row r="40" spans="1:8" x14ac:dyDescent="0.4">
      <c r="A40" s="420"/>
      <c r="B40" s="400"/>
      <c r="C40" s="404"/>
      <c r="D40" s="411"/>
      <c r="E40" s="411"/>
      <c r="F40" s="46" t="str">
        <f>VLOOKUP("LOAClassCd",tblTranslation[],LangFieldID,FALSE)</f>
        <v>Vessel (size class)</v>
      </c>
      <c r="G40" s="452" t="str">
        <f>VLOOKUP("LOAClassCd",tblTranslation[],7,FALSE)</f>
        <v>ICCAT code</v>
      </c>
      <c r="H40" s="42" t="str">
        <f>VLOOKUP("LOAClassCd",tblTranslation[],LangNameID,FALSE)</f>
        <v>Choose the vessel size class (LOA)</v>
      </c>
    </row>
    <row r="41" spans="1:8" x14ac:dyDescent="0.4">
      <c r="A41" s="420"/>
      <c r="B41" s="400"/>
      <c r="C41" s="404"/>
      <c r="D41" s="411" t="str">
        <f>VLOOKUP("D20",tblTranslation[],LangFieldID,FALSE)</f>
        <v>Temporal attributes</v>
      </c>
      <c r="E41" s="411" t="str">
        <f>VLOOKUP("D21",tblTranslation[],LangFieldID,FALSE)</f>
        <v>Year, month/trimester</v>
      </c>
      <c r="F41" s="185" t="str">
        <f>VLOOKUP("YearC",tblTranslation[],LangFieldID,FALSE)</f>
        <v xml:space="preserve">Year </v>
      </c>
      <c r="G41" s="452" t="str">
        <f>VLOOKUP("YearC",tblTranslation[],7,FALSE)</f>
        <v>integer</v>
      </c>
      <c r="H41" s="42" t="str">
        <f>VLOOKUP("YearC",tblTranslation[],LangNameID,FALSE)</f>
        <v>Specify the calendar year when the observations occurred</v>
      </c>
    </row>
    <row r="42" spans="1:8" x14ac:dyDescent="0.4">
      <c r="A42" s="420"/>
      <c r="B42" s="400"/>
      <c r="C42" s="404"/>
      <c r="D42" s="411"/>
      <c r="E42" s="411"/>
      <c r="F42" s="46" t="str">
        <f>VLOOKUP("TPeriodID",tblTranslation[],LangFieldID,FALSE)</f>
        <v>T. Period (ID)</v>
      </c>
      <c r="G42" s="452" t="str">
        <f>VLOOKUP("TPeriodID",tblTranslation[],7,FALSE)</f>
        <v>ICCAT code</v>
      </c>
      <c r="H42" s="42" t="str">
        <f>VLOOKUP("TPeriodID",tblTranslation[],LangNameID,FALSE)</f>
        <v>Provide the time period (month: 1-12; quarter: 13-16) for the relevant strata</v>
      </c>
    </row>
    <row r="43" spans="1:8" x14ac:dyDescent="0.4">
      <c r="A43" s="420"/>
      <c r="B43" s="400"/>
      <c r="C43" s="404"/>
      <c r="D43" s="411" t="str">
        <f>VLOOKUP("D30",tblTranslation[],LangFieldID,FALSE)</f>
        <v>Geographical attributes</v>
      </c>
      <c r="E43" s="351" t="str">
        <f>VLOOKUP("D31",tblTranslation[],LangFieldID,FALSE)</f>
        <v>Resolution and position (Lat, Lon)</v>
      </c>
      <c r="F43" s="185" t="str">
        <f>VLOOKUP("SquareRes",tblTranslation[],LangFieldID,FALSE)</f>
        <v>Square type (cod)</v>
      </c>
      <c r="G43" s="452" t="str">
        <f>VLOOKUP("SquareRes",tblTranslation[],7,FALSE)</f>
        <v>ICCAT code</v>
      </c>
      <c r="H43" s="42" t="str">
        <f>VLOOKUP("SquareRes",tblTranslation[],LangNameID,FALSE)</f>
        <v>Specify the square type (LatLon, 1x1, 5x5) used in the geographical resolution</v>
      </c>
    </row>
    <row r="44" spans="1:8" x14ac:dyDescent="0.4">
      <c r="A44" s="420"/>
      <c r="B44" s="400"/>
      <c r="C44" s="404"/>
      <c r="D44" s="411"/>
      <c r="E44" s="351"/>
      <c r="F44" s="187" t="str">
        <f>VLOOKUP("LatCtd",tblTranslation[],LangFieldID,FALSE)</f>
        <v>Lat (centroid)
(± dd.ddd)</v>
      </c>
      <c r="G44" s="452" t="str">
        <f>VLOOKUP("LatCtd",tblTranslation[],7,FALSE)</f>
        <v>double</v>
      </c>
      <c r="H44" s="42" t="str">
        <f>VLOOKUP("LatCtd",tblTranslation[],LangNameID,FALSE)</f>
        <v>Latitude (decimal degrees, N(+), S(-)) as the centroid of the square type chosen (LatLon: exact; 1x1: ±0.5; 5x5: ±2.5)</v>
      </c>
    </row>
    <row r="45" spans="1:8" x14ac:dyDescent="0.4">
      <c r="A45" s="420"/>
      <c r="B45" s="400"/>
      <c r="C45" s="404"/>
      <c r="D45" s="411"/>
      <c r="E45" s="351"/>
      <c r="F45" s="187" t="str">
        <f>VLOOKUP("LonCtd",tblTranslation[],LangFieldID,FALSE)</f>
        <v>Lon (centroid)
(± dd.ddd)</v>
      </c>
      <c r="G45" s="452" t="str">
        <f>VLOOKUP("LonCtd",tblTranslation[],7,FALSE)</f>
        <v>double</v>
      </c>
      <c r="H45" s="42" t="str">
        <f>VLOOKUP("LonCtd",tblTranslation[],LangNameID,FALSE)</f>
        <v>Longitude (decimal degrees, E(+), W(-)) as the centroid of the square type chosen (LatLon: exact; 1x1: ±0.5; 5x5: ±2.5)</v>
      </c>
    </row>
    <row r="46" spans="1:8" x14ac:dyDescent="0.4">
      <c r="A46" s="420"/>
      <c r="B46" s="400"/>
      <c r="C46" s="404"/>
      <c r="D46" s="411" t="str">
        <f>VLOOKUP("D40",tblTranslation[],LangFieldID,FALSE)</f>
        <v>Effort attributes</v>
      </c>
      <c r="E46" s="412" t="str">
        <f>VLOOKUP("D41",tblTranslation[],LangFieldID,FALSE)</f>
        <v>All fishing gears</v>
      </c>
      <c r="F46" s="46" t="str">
        <f>VLOOKUP("GearGrpCd",tblTranslation[],LangFieldID,FALSE)</f>
        <v>Gear group (cod)</v>
      </c>
      <c r="G46" s="452" t="str">
        <f>VLOOKUP("GearGrpCd",tblTranslation[],7,FALSE)</f>
        <v>ICCAT code</v>
      </c>
      <c r="H46" s="42" t="str">
        <f>VLOOKUP("GearGrpCd",tblTranslation[],LangNameID,FALSE)</f>
        <v>Choose the most appropriate Gear group code</v>
      </c>
    </row>
    <row r="47" spans="1:8" x14ac:dyDescent="0.4">
      <c r="A47" s="420"/>
      <c r="B47" s="400"/>
      <c r="C47" s="404"/>
      <c r="D47" s="411"/>
      <c r="E47" s="412"/>
      <c r="F47" s="185" t="str">
        <f>VLOOKUP("NoVessels",tblTranslation[],LangFieldID,FALSE)</f>
        <v>Nº vessels</v>
      </c>
      <c r="G47" s="452" t="str">
        <f>VLOOKUP("NoVessels",tblTranslation[],7,FALSE)</f>
        <v>Integer</v>
      </c>
      <c r="H47" s="42" t="str">
        <f>VLOOKUP("NoVessels",tblTranslation[],LangNameID,FALSE)</f>
        <v>Provide the number of vessels that are included in the strata as defined in the Fish Operation ID above</v>
      </c>
    </row>
    <row r="48" spans="1:8" x14ac:dyDescent="0.4">
      <c r="A48" s="420"/>
      <c r="B48" s="400"/>
      <c r="C48" s="404"/>
      <c r="D48" s="411"/>
      <c r="E48" s="412"/>
      <c r="F48" s="185" t="str">
        <f>VLOOKUP("NoFishOpsObs",tblTranslation[],LangFieldID,FALSE)</f>
        <v>Nº Fish. Oper. (observed)</v>
      </c>
      <c r="G48" s="452" t="str">
        <f>VLOOKUP("NoFishOpsObs",tblTranslation[],7,FALSE)</f>
        <v>integer</v>
      </c>
      <c r="H48" s="42" t="str">
        <f>VLOOKUP("NoFishOpsObs",tblTranslation[],LangNameID,FALSE)</f>
        <v>Provide the "observed" number of fishing operations (set, hauls, etc.) in the stratum</v>
      </c>
    </row>
    <row r="49" spans="1:8" x14ac:dyDescent="0.4">
      <c r="A49" s="420"/>
      <c r="B49" s="400"/>
      <c r="C49" s="404"/>
      <c r="D49" s="411"/>
      <c r="E49" s="412"/>
      <c r="F49" s="46" t="str">
        <f>VLOOKUP("FOpTypeCd",tblTranslation[],LangFieldID,FALSE)</f>
        <v>Fish Oper. Type (cod)</v>
      </c>
      <c r="G49" s="452" t="str">
        <f>VLOOKUP("FOpTypeCd",tblTranslation[],7,FALSE)</f>
        <v>ICCAT code</v>
      </c>
      <c r="H49" s="42" t="str">
        <f>VLOOKUP("FOpTypeCd",tblTranslation[],LangNameID,FALSE)</f>
        <v>Choose the Fishing Operation type</v>
      </c>
    </row>
    <row r="50" spans="1:8" ht="21.45" x14ac:dyDescent="0.4">
      <c r="A50" s="420"/>
      <c r="B50" s="400"/>
      <c r="C50" s="404"/>
      <c r="D50" s="411"/>
      <c r="E50" s="412"/>
      <c r="F50" s="46" t="str">
        <f>VLOOKUP("SchoolTypeCd",tblTranslation[],LangFieldID,FALSE)</f>
        <v>School type (cod)</v>
      </c>
      <c r="G50" s="452" t="str">
        <f>VLOOKUP("SchoolTypeCd",tblTranslation[],7,FALSE)</f>
        <v>ICCAT code</v>
      </c>
      <c r="H50" s="42" t="str">
        <f>VLOOKUP("SchoolTypeCd",tblTranslation[],LangNameID,FALSE)</f>
        <v>Specify if the FOs were on FAD or free schools (PS only). For all other gears types use school type="n/a".  If "other" is selected, it must be described in field "Notes"</v>
      </c>
    </row>
    <row r="51" spans="1:8" x14ac:dyDescent="0.4">
      <c r="A51" s="420"/>
      <c r="B51" s="400"/>
      <c r="C51" s="404"/>
      <c r="D51" s="411"/>
      <c r="E51" s="412" t="str">
        <f>VLOOKUP("D42",tblTranslation[],LangFieldID,FALSE)</f>
        <v>Longline (LL) only</v>
      </c>
      <c r="F51" s="46" t="str">
        <f>VLOOKUP("LLTypeCd",tblTranslation[],LangFieldID,FALSE)</f>
        <v>LL type</v>
      </c>
      <c r="G51" s="452" t="str">
        <f>VLOOKUP("LLTypeCd",tblTranslation[],7,FALSE)</f>
        <v>ICCAT code</v>
      </c>
      <c r="H51" s="42" t="str">
        <f>VLOOKUP("LLTypeCd",tblTranslation[],LangNameID,FALSE)</f>
        <v>Provide the longline type</v>
      </c>
    </row>
    <row r="52" spans="1:8" x14ac:dyDescent="0.4">
      <c r="A52" s="420"/>
      <c r="B52" s="400"/>
      <c r="C52" s="404"/>
      <c r="D52" s="411"/>
      <c r="E52" s="412"/>
      <c r="F52" s="185" t="str">
        <f>VLOOKUP("NoHooksTot",tblTranslation[],LangFieldID,FALSE)</f>
        <v>Nº hooks (total)</v>
      </c>
      <c r="G52" s="452" t="str">
        <f>VLOOKUP("NoHooksTot",tblTranslation[],7,FALSE)</f>
        <v>integer</v>
      </c>
      <c r="H52" s="42" t="str">
        <f>VLOOKUP("NoHooksTot",tblTranslation[],LangNameID,FALSE)</f>
        <v>Provide the total number of hooks used on each stratum</v>
      </c>
    </row>
    <row r="53" spans="1:8" x14ac:dyDescent="0.4">
      <c r="A53" s="420"/>
      <c r="B53" s="400"/>
      <c r="C53" s="404"/>
      <c r="D53" s="411"/>
      <c r="E53" s="412"/>
      <c r="F53" s="185" t="str">
        <f>VLOOKUP("NoHooksObs",tblTranslation[],LangFieldID,FALSE)</f>
        <v>No. hooks (observed)</v>
      </c>
      <c r="G53" s="452" t="str">
        <f>VLOOKUP("NoHooksObs",tblTranslation[],7,FALSE)</f>
        <v>integer</v>
      </c>
      <c r="H53" s="42" t="str">
        <f>VLOOKUP("NoHooksObs",tblTranslation[],LangNameID,FALSE)</f>
        <v>Provide the number of hooks actually observed on the stratum</v>
      </c>
    </row>
    <row r="54" spans="1:8" x14ac:dyDescent="0.4">
      <c r="A54" s="420"/>
      <c r="B54" s="400"/>
      <c r="C54" s="404"/>
      <c r="D54" s="411"/>
      <c r="E54" s="412"/>
      <c r="F54" s="46" t="str">
        <f>VLOOKUP("HookTypCd",tblTranslation[],LangFieldID,FALSE)</f>
        <v>Hook type (main)</v>
      </c>
      <c r="G54" s="452" t="str">
        <f>VLOOKUP("HookTypCd",tblTranslation[],7,FALSE)</f>
        <v>ICCAT code</v>
      </c>
      <c r="H54" s="42" t="str">
        <f>VLOOKUP("HookTypCd",tblTranslation[],LangNameID,FALSE)</f>
        <v>Select the type of hook used in the majority of the "LL sets" on the stratum</v>
      </c>
    </row>
    <row r="55" spans="1:8" x14ac:dyDescent="0.4">
      <c r="A55" s="420"/>
      <c r="B55" s="400"/>
      <c r="C55" s="404"/>
      <c r="D55" s="411"/>
      <c r="E55" s="412"/>
      <c r="F55" s="46" t="str">
        <f>VLOOKUP("FOpDepthCd",tblTranslation[],LangFieldID,FALSE)</f>
        <v>Set depth (hooks per basket)</v>
      </c>
      <c r="G55" s="452" t="str">
        <f>VLOOKUP("FOpDepthCd",tblTranslation[],7,FALSE)</f>
        <v>ICCAT code</v>
      </c>
      <c r="H55" s="42" t="str">
        <f>VLOOKUP("FOpDepthCd",tblTranslation[],LangNameID,FALSE)</f>
        <v>Choose the mean depth (class) of the Fishing Operation (FO) group that best matches your case (proxy ~ number of hooks/basket)</v>
      </c>
    </row>
    <row r="56" spans="1:8" x14ac:dyDescent="0.4">
      <c r="A56" s="420"/>
      <c r="B56" s="400"/>
      <c r="C56" s="404"/>
      <c r="D56" s="411" t="str">
        <f>VLOOKUP("D50",tblTranslation[],LangFieldID,FALSE)</f>
        <v>Mitigation measures (MM) on bycatch species</v>
      </c>
      <c r="E56" s="413" t="str">
        <f>VLOOKUP("D51",tblTranslation[],LangFieldID,FALSE)</f>
        <v>Seabirds</v>
      </c>
      <c r="F56" s="46" t="str">
        <f>VLOOKUP("MM1sb",tblTranslation[],LangFieldID,FALSE)</f>
        <v>MM 1</v>
      </c>
      <c r="G56" s="452" t="str">
        <f>VLOOKUP("MM1sb",tblTranslation[],7,FALSE)</f>
        <v>ICCAT code</v>
      </c>
      <c r="H56" s="42" t="str">
        <f>VLOOKUP("MM1sb",tblTranslation[],LangNameID,FALSE)</f>
        <v>Choose the 1st seabird mitigation measure (if  OTH1/2 options used, describe them in Notes)</v>
      </c>
    </row>
    <row r="57" spans="1:8" x14ac:dyDescent="0.4">
      <c r="A57" s="420"/>
      <c r="B57" s="400"/>
      <c r="C57" s="404"/>
      <c r="D57" s="411"/>
      <c r="E57" s="413"/>
      <c r="F57" s="46" t="str">
        <f>VLOOKUP("MM2sb",tblTranslation[],LangFieldID,FALSE)</f>
        <v>MM 2</v>
      </c>
      <c r="G57" s="452" t="str">
        <f>VLOOKUP("MM2sb",tblTranslation[],7,FALSE)</f>
        <v>ICCAT code</v>
      </c>
      <c r="H57" s="42" t="str">
        <f>VLOOKUP("MM2sb",tblTranslation[],LangNameID,FALSE)</f>
        <v>Choose the 2nd seabird mitigation measure (if  OTH1/2 options used, describe them in Notes)</v>
      </c>
    </row>
    <row r="58" spans="1:8" x14ac:dyDescent="0.4">
      <c r="A58" s="420"/>
      <c r="B58" s="400"/>
      <c r="C58" s="404"/>
      <c r="D58" s="411"/>
      <c r="E58" s="187" t="str">
        <f>VLOOKUP("D52",tblTranslation[],LangFieldID,FALSE)</f>
        <v>Other bycatch</v>
      </c>
      <c r="F58" s="46" t="str">
        <f>VLOOKUP("MM3ot",tblTranslation[],LangFieldID,FALSE)</f>
        <v>MM 3</v>
      </c>
      <c r="G58" s="452" t="str">
        <f>VLOOKUP("MM3ot",tblTranslation[],7,FALSE)</f>
        <v>ICCAT code</v>
      </c>
      <c r="H58" s="42" t="str">
        <f>VLOOKUP("MM3ot",tblTranslation[],LangNameID,FALSE)</f>
        <v>Choose a generic bycatch mitigation measure (if OTH1/2 options used, describe them in Notes)</v>
      </c>
    </row>
    <row r="59" spans="1:8" x14ac:dyDescent="0.4">
      <c r="A59" s="420"/>
      <c r="B59" s="400"/>
      <c r="C59" s="404"/>
      <c r="D59" s="411"/>
      <c r="E59" s="187" t="str">
        <f>VLOOKUP("D53",tblTranslation[],LangFieldID,FALSE)</f>
        <v>Additional notes</v>
      </c>
      <c r="F59" s="185" t="str">
        <f>VLOOKUP("MMdescrip",tblTranslation[],LangFieldID,FALSE)</f>
        <v>Description (MM)</v>
      </c>
      <c r="G59" s="452" t="str">
        <f>VLOOKUP("MMdescrip",tblTranslation[],7,FALSE)</f>
        <v>string</v>
      </c>
      <c r="H59" s="42" t="str">
        <f>VLOOKUP("MMdescrip",tblTranslation[],LangNameID,FALSE)</f>
        <v>For additional notes on the mitigation measures chosen (also used to describe options "OTH1/OTH2" if used)</v>
      </c>
    </row>
    <row r="60" spans="1:8" x14ac:dyDescent="0.4">
      <c r="A60" s="420"/>
      <c r="B60" s="420" t="str">
        <f>VLOOKUP("T04",tblTranslation[],LangFieldID,FALSE)</f>
        <v>ST09B</v>
      </c>
      <c r="C60" s="426" t="str">
        <f>VLOOKUP("H00",tblTranslation[],LangFieldID,FALSE)</f>
        <v>Header</v>
      </c>
      <c r="D60" s="426"/>
      <c r="E60" s="426"/>
      <c r="F60" s="426"/>
      <c r="G60" s="453" t="str">
        <f>VLOOKUP("H00",tblTranslation[],7,FALSE)</f>
        <v>(auto)</v>
      </c>
      <c r="H60" s="42" t="str">
        <f>VLOOKUP("H00",tblTranslation[],LangNameID,FALSE)</f>
        <v>(automatic completion)</v>
      </c>
    </row>
    <row r="61" spans="1:8" x14ac:dyDescent="0.4">
      <c r="A61" s="420"/>
      <c r="B61" s="420"/>
      <c r="C61" s="424" t="str">
        <f>VLOOKUP("D00",tblTranslation[],LangFieldID,FALSE)</f>
        <v>Detail</v>
      </c>
      <c r="D61" s="428" t="str">
        <f>VLOOKUP("D60",tblTranslation[],LangFieldID,FALSE)</f>
        <v>Catch composition by fishing operation</v>
      </c>
      <c r="E61" s="189" t="str">
        <f>VLOOKUP("D61",tblTranslation[],LangFieldID,FALSE)</f>
        <v>Fish. Oper. (FO)</v>
      </c>
      <c r="F61" s="120" t="str">
        <f>VLOOKUP("FOpGrpCdB",tblTranslation[],LangFieldID,FALSE)</f>
        <v>FO group ID</v>
      </c>
      <c r="G61" s="163" t="str">
        <f>VLOOKUP("FOpGrpCdB",tblTranslation[],7,FALSE)</f>
        <v>integer</v>
      </c>
      <c r="H61" s="42" t="str">
        <f>VLOOKUP("FOpGrpCdB",tblTranslation[],LangNameID,FALSE)</f>
        <v>Select a "FO group ID" registered in sub-form ST09A</v>
      </c>
    </row>
    <row r="62" spans="1:8" x14ac:dyDescent="0.4">
      <c r="A62" s="420"/>
      <c r="B62" s="420"/>
      <c r="C62" s="424"/>
      <c r="D62" s="428"/>
      <c r="E62" s="427" t="str">
        <f>VLOOKUP("D62",tblTranslation[],LangFieldID,FALSE)</f>
        <v>Species (attributes)</v>
      </c>
      <c r="F62" s="121" t="str">
        <f>VLOOKUP("SpcCdB",tblTranslation[],LangFieldID,FALSE)</f>
        <v>Species (cod)</v>
      </c>
      <c r="G62" s="163" t="str">
        <f>VLOOKUP("SpcCdB",tblTranslation[],7,FALSE)</f>
        <v>ICCAT code</v>
      </c>
      <c r="H62" s="42" t="str">
        <f>VLOOKUP("SpcCdB",tblTranslation[],LangNameID,FALSE)</f>
        <v>Choose the species code (ICCAT codes)</v>
      </c>
    </row>
    <row r="63" spans="1:8" x14ac:dyDescent="0.4">
      <c r="A63" s="420"/>
      <c r="B63" s="420"/>
      <c r="C63" s="424"/>
      <c r="D63" s="428"/>
      <c r="E63" s="427"/>
      <c r="F63" s="120" t="str">
        <f>VLOOKUP("TargetYN",tblTranslation[],LangFieldID,FALSE)</f>
        <v>Targeted (Y/N)?</v>
      </c>
      <c r="G63" s="163" t="str">
        <f>VLOOKUP("TargetYN",tblTranslation[],7,FALSE)</f>
        <v>boolean</v>
      </c>
      <c r="H63" s="42" t="str">
        <f>VLOOKUP("TargetYN",tblTranslation[],LangNameID,FALSE)</f>
        <v>Provide the main target species for the fishing operations</v>
      </c>
    </row>
    <row r="64" spans="1:8" x14ac:dyDescent="0.4">
      <c r="A64" s="420"/>
      <c r="B64" s="420"/>
      <c r="C64" s="424"/>
      <c r="D64" s="428"/>
      <c r="E64" s="427" t="str">
        <f>VLOOKUP("D63",tblTranslation[],LangFieldID,FALSE)</f>
        <v>Catches (retained)</v>
      </c>
      <c r="F64" s="120" t="str">
        <f>VLOOKUP("CatchWkg",tblTranslation[],LangFieldID,FALSE)</f>
        <v>Weight (kg)</v>
      </c>
      <c r="G64" s="163" t="str">
        <f>VLOOKUP("CatchWkg",tblTranslation[],7,FALSE)</f>
        <v>integer</v>
      </c>
      <c r="H64" s="42" t="str">
        <f>VLOOKUP("CatchWkg",tblTranslation[],LangNameID,FALSE)</f>
        <v>Provide the total weight of the individuals captured by species and strata</v>
      </c>
    </row>
    <row r="65" spans="1:8" x14ac:dyDescent="0.4">
      <c r="A65" s="420"/>
      <c r="B65" s="420"/>
      <c r="C65" s="424"/>
      <c r="D65" s="428"/>
      <c r="E65" s="427"/>
      <c r="F65" s="121" t="str">
        <f>VLOOKUP("ProdTypCd",tblTranslation[],LangFieldID,FALSE)</f>
        <v>Product type (cod)</v>
      </c>
      <c r="G65" s="163" t="str">
        <f>VLOOKUP("ProdTypCd",tblTranslation[],7,FALSE)</f>
        <v>ICCAT code</v>
      </c>
      <c r="H65" s="42" t="str">
        <f>VLOOKUP("ProdTypCd",tblTranslation[],LangNameID,FALSE)</f>
        <v>For each species choose type of product (round weight, dressed weight, etc.) of the catch reported (ICCAT code)</v>
      </c>
    </row>
    <row r="66" spans="1:8" x14ac:dyDescent="0.4">
      <c r="A66" s="420"/>
      <c r="B66" s="420"/>
      <c r="C66" s="424"/>
      <c r="D66" s="428"/>
      <c r="E66" s="427"/>
      <c r="F66" s="120" t="str">
        <f>VLOOKUP("CatchNo",tblTranslation[],LangFieldID,FALSE)</f>
        <v>Number</v>
      </c>
      <c r="G66" s="163" t="str">
        <f>VLOOKUP("CatchNo",tblTranslation[],7,FALSE)</f>
        <v>integer</v>
      </c>
      <c r="H66" s="42" t="str">
        <f>VLOOKUP("CatchNo",tblTranslation[],LangNameID,FALSE)</f>
        <v>Specify the number of individuals captured per species by strata</v>
      </c>
    </row>
    <row r="67" spans="1:8" x14ac:dyDescent="0.4">
      <c r="A67" s="420"/>
      <c r="B67" s="420"/>
      <c r="C67" s="424"/>
      <c r="D67" s="428"/>
      <c r="E67" s="427" t="str">
        <f>VLOOKUP("D64",tblTranslation[],LangFieldID,FALSE)</f>
        <v>Discards (Number)</v>
      </c>
      <c r="F67" s="120" t="str">
        <f>VLOOKUP("NoDD",tblTranslation[],LangFieldID,FALSE)</f>
        <v>Dead (DD)</v>
      </c>
      <c r="G67" s="163" t="str">
        <f>VLOOKUP("NoDD",tblTranslation[],7,FALSE)</f>
        <v>integer</v>
      </c>
      <c r="H67" s="42" t="str">
        <f>VLOOKUP("NoDD",tblTranslation[],LangNameID,FALSE)</f>
        <v>Specify the number of individuals discarded dead per species by strata</v>
      </c>
    </row>
    <row r="68" spans="1:8" x14ac:dyDescent="0.4">
      <c r="A68" s="420"/>
      <c r="B68" s="420"/>
      <c r="C68" s="424"/>
      <c r="D68" s="428"/>
      <c r="E68" s="427"/>
      <c r="F68" s="120" t="str">
        <f>VLOOKUP("NoDL",tblTranslation[],LangFieldID,FALSE)</f>
        <v>Alive (DL)</v>
      </c>
      <c r="G68" s="163" t="str">
        <f>VLOOKUP("NoDL",tblTranslation[],7,FALSE)</f>
        <v>integer</v>
      </c>
      <c r="H68" s="42" t="str">
        <f>VLOOKUP("NoDL",tblTranslation[],LangNameID,FALSE)</f>
        <v>Specify the number of individuals discarded alive per species by strata</v>
      </c>
    </row>
    <row r="69" spans="1:8" x14ac:dyDescent="0.4">
      <c r="A69" s="420"/>
      <c r="B69" s="420"/>
      <c r="C69" s="424"/>
      <c r="D69" s="428"/>
      <c r="E69" s="427"/>
      <c r="F69" s="120" t="str">
        <f>VLOOKUP("NoUkn",tblTranslation[],LangFieldID,FALSE)</f>
        <v>Unknown</v>
      </c>
      <c r="G69" s="163" t="str">
        <f>VLOOKUP("NoUkn",tblTranslation[],7,FALSE)</f>
        <v>integer</v>
      </c>
      <c r="H69" s="42" t="str">
        <f>VLOOKUP("NoUkn",tblTranslation[],LangNameID,FALSE)</f>
        <v>Specify the number of individuals of unknown status per species by strata</v>
      </c>
    </row>
    <row r="70" spans="1:8" x14ac:dyDescent="0.4">
      <c r="A70" s="420"/>
      <c r="B70" s="420"/>
      <c r="C70" s="424"/>
      <c r="D70" s="428"/>
      <c r="E70" s="119" t="str">
        <f>VLOOKUP("D65",tblTranslation[],LangFieldID,FALSE)</f>
        <v>Sampling (data)</v>
      </c>
      <c r="F70" s="120" t="str">
        <f>VLOOKUP("NoSampled",tblTranslation[],LangFieldID,FALSE)</f>
        <v>Nº sampled</v>
      </c>
      <c r="G70" s="163" t="str">
        <f>VLOOKUP("NoSampled",tblTranslation[],7,FALSE)</f>
        <v>integer</v>
      </c>
      <c r="H70" s="42" t="str">
        <f>VLOOKUP("NoSampled",tblTranslation[],LangNameID,FALSE)</f>
        <v>Specify the number of individuals sampled per species by strata</v>
      </c>
    </row>
    <row r="71" spans="1:8" x14ac:dyDescent="0.4">
      <c r="A71" s="420"/>
      <c r="B71" s="420" t="str">
        <f>VLOOKUP("T05",tblTranslation[],LangFieldID,FALSE)</f>
        <v>ST09C</v>
      </c>
      <c r="C71" s="423" t="str">
        <f>VLOOKUP("H00",tblTranslation[],LangFieldID,FALSE)</f>
        <v>Header</v>
      </c>
      <c r="D71" s="423"/>
      <c r="E71" s="423"/>
      <c r="F71" s="423"/>
      <c r="G71" s="453" t="str">
        <f>VLOOKUP("H00",tblTranslation[],7,FALSE)</f>
        <v>(auto)</v>
      </c>
      <c r="H71" s="42" t="str">
        <f>VLOOKUP("H00",tblTranslation[],LangNameID,FALSE)</f>
        <v>(automatic completion)</v>
      </c>
    </row>
    <row r="72" spans="1:8" x14ac:dyDescent="0.4">
      <c r="A72" s="420"/>
      <c r="B72" s="420"/>
      <c r="C72" s="421" t="s">
        <v>625</v>
      </c>
      <c r="D72" s="425" t="str">
        <f>VLOOKUP("D70",tblTranslation[],LangFieldID,FALSE)</f>
        <v>Specimens &amp; fishing operations (FO)</v>
      </c>
      <c r="E72" s="422" t="str">
        <f>VLOOKUP("D71",tblTranslation[],LangFieldID,FALSE)</f>
        <v>Specimen Identifier</v>
      </c>
      <c r="F72" s="183" t="str">
        <f>VLOOKUP("SpecimenID",tblTranslation[],LangFieldID,FALSE)</f>
        <v>Unique specimen ID</v>
      </c>
      <c r="G72" s="163" t="str">
        <f>VLOOKUP("SpecimenID",tblTranslation[],7,FALSE)</f>
        <v>integer</v>
      </c>
      <c r="H72" s="42" t="str">
        <f>VLOOKUP("SpecimenID",tblTranslation[],LangNameID,FALSE)</f>
        <v>Provide the unique specimen ID</v>
      </c>
    </row>
    <row r="73" spans="1:8" x14ac:dyDescent="0.4">
      <c r="A73" s="420"/>
      <c r="B73" s="420"/>
      <c r="C73" s="421"/>
      <c r="D73" s="425"/>
      <c r="E73" s="422"/>
      <c r="F73" s="183" t="str">
        <f>VLOOKUP("FOpGrpCdC",tblTranslation[],LangFieldID,FALSE)</f>
        <v>FO group ID</v>
      </c>
      <c r="G73" s="163" t="str">
        <f>VLOOKUP("FOpGrpCdC",tblTranslation[],7,FALSE)</f>
        <v>integer</v>
      </c>
      <c r="H73" s="42" t="str">
        <f>VLOOKUP("FOpGrpCdC",tblTranslation[],LangNameID,FALSE)</f>
        <v>Select the FO group ID first registered in sub-form ST09A</v>
      </c>
    </row>
    <row r="74" spans="1:8" x14ac:dyDescent="0.4">
      <c r="A74" s="420"/>
      <c r="B74" s="420"/>
      <c r="C74" s="421"/>
      <c r="D74" s="425"/>
      <c r="E74" s="422"/>
      <c r="F74" s="184" t="str">
        <f>VLOOKUP("SpcCdC",tblTranslation[],LangFieldID,FALSE)</f>
        <v>Species (cod)</v>
      </c>
      <c r="G74" s="163" t="str">
        <f>VLOOKUP("SpcCdC",tblTranslation[],7,FALSE)</f>
        <v>ICCAT code</v>
      </c>
      <c r="H74" s="42" t="str">
        <f>VLOOKUP("SpcCdC",tblTranslation[],LangNameID,FALSE)</f>
        <v>Choose the species code (ICCAT codes)</v>
      </c>
    </row>
    <row r="75" spans="1:8" x14ac:dyDescent="0.4">
      <c r="A75" s="420"/>
      <c r="B75" s="420"/>
      <c r="C75" s="421"/>
      <c r="D75" s="425" t="str">
        <f>VLOOKUP("D80",tblTranslation[],LangFieldID,FALSE)</f>
        <v>Biological data (observed)</v>
      </c>
      <c r="E75" s="188" t="str">
        <f>VLOOKUP("D81",tblTranslation[],LangFieldID,FALSE)</f>
        <v>Sex</v>
      </c>
      <c r="F75" s="184" t="str">
        <f>VLOOKUP("SexCd",tblTranslation[],LangFieldID,FALSE)</f>
        <v>Sex (cod)</v>
      </c>
      <c r="G75" s="163" t="str">
        <f>VLOOKUP("SexCd",tblTranslation[],7,FALSE)</f>
        <v>ICCAT code</v>
      </c>
      <c r="H75" s="42" t="str">
        <f>VLOOKUP("SexCd",tblTranslation[],LangNameID,FALSE)</f>
        <v>Provide the sex of the specimen (M=male, F=Female, Unk=unknown)</v>
      </c>
    </row>
    <row r="76" spans="1:8" x14ac:dyDescent="0.4">
      <c r="A76" s="420"/>
      <c r="B76" s="420"/>
      <c r="C76" s="421"/>
      <c r="D76" s="425"/>
      <c r="E76" s="422" t="str">
        <f>VLOOKUP("D82",tblTranslation[],LangFieldID,FALSE)</f>
        <v>Size</v>
      </c>
      <c r="F76" s="183" t="str">
        <f>VLOOKUP("SizeCM",tblTranslation[],LangFieldID,FALSE)</f>
        <v>Length (cm)</v>
      </c>
      <c r="G76" s="163" t="str">
        <f>VLOOKUP("SizeCM",tblTranslation[],7,FALSE)</f>
        <v>integer</v>
      </c>
      <c r="H76" s="42" t="str">
        <f>VLOOKUP("SizeCM",tblTranslation[],LangNameID,FALSE)</f>
        <v>Provide the size</v>
      </c>
    </row>
    <row r="77" spans="1:8" x14ac:dyDescent="0.4">
      <c r="A77" s="420"/>
      <c r="B77" s="420"/>
      <c r="C77" s="421"/>
      <c r="D77" s="425"/>
      <c r="E77" s="422"/>
      <c r="F77" s="184" t="str">
        <f>VLOOKUP("SzClassCd",tblTranslation[],LangFieldID,FALSE)</f>
        <v>Size class type (cod)</v>
      </c>
      <c r="G77" s="163" t="s">
        <v>1430</v>
      </c>
      <c r="H77" s="42" t="str">
        <f>VLOOKUP("SzClassCd",tblTranslation[],LangNameID,FALSE)</f>
        <v>Specify the length type</v>
      </c>
    </row>
    <row r="78" spans="1:8" x14ac:dyDescent="0.4">
      <c r="A78" s="420"/>
      <c r="B78" s="420"/>
      <c r="C78" s="421"/>
      <c r="D78" s="425"/>
      <c r="E78" s="422" t="str">
        <f>VLOOKUP("D83",tblTranslation[],LangFieldID,FALSE)</f>
        <v>Weight</v>
      </c>
      <c r="F78" s="183" t="str">
        <f>VLOOKUP("WgtKG",tblTranslation[],LangFieldID,FALSE)</f>
        <v>Weight (kg)</v>
      </c>
      <c r="G78" s="163" t="str">
        <f>VLOOKUP("WgtKG",tblTranslation[],7,FALSE)</f>
        <v>integer</v>
      </c>
      <c r="H78" s="42" t="str">
        <f>VLOOKUP("WgtKG",tblTranslation[],LangNameID,FALSE)</f>
        <v>Provide the fish weight in kg</v>
      </c>
    </row>
    <row r="79" spans="1:8" x14ac:dyDescent="0.4">
      <c r="A79" s="420"/>
      <c r="B79" s="420"/>
      <c r="C79" s="421"/>
      <c r="D79" s="425"/>
      <c r="E79" s="422"/>
      <c r="F79" s="184" t="str">
        <f>VLOOKUP("WgtTypCd",tblTranslation[],LangFieldID,FALSE)</f>
        <v>Product type (cod)</v>
      </c>
      <c r="G79" s="163" t="str">
        <f>VLOOKUP("WgtTypCd",tblTranslation[],7,FALSE)</f>
        <v>ICCAT code</v>
      </c>
      <c r="H79" s="42" t="str">
        <f>VLOOKUP("WgtTypCd",tblTranslation[],LangNameID,FALSE)</f>
        <v>For each species choose type of product (round weight, dressed weight, etc.) of the catch reported (ICCAT code)</v>
      </c>
    </row>
    <row r="80" spans="1:8" x14ac:dyDescent="0.4">
      <c r="A80" s="420"/>
      <c r="B80" s="420"/>
      <c r="C80" s="421"/>
      <c r="D80" s="425"/>
      <c r="E80" s="436" t="str">
        <f>VLOOKUP("D84",tblTranslation[],LangFieldID,FALSE)</f>
        <v>Samples obtained (Y/N)</v>
      </c>
      <c r="F80" s="183" t="str">
        <f>VLOOKUP("GenetiYN",tblTranslation[],LangFieldID,FALSE)</f>
        <v>Genetics?</v>
      </c>
      <c r="G80" s="163" t="str">
        <f>VLOOKUP("GenetiYN",tblTranslation[],7,FALSE)</f>
        <v>boolean</v>
      </c>
      <c r="H80" s="42" t="str">
        <f>VLOOKUP("GenetiYN",tblTranslation[],LangNameID,FALSE)</f>
        <v>Were genetic samples taken for this stratum?</v>
      </c>
    </row>
    <row r="81" spans="1:8" x14ac:dyDescent="0.4">
      <c r="A81" s="420"/>
      <c r="B81" s="420"/>
      <c r="C81" s="421"/>
      <c r="D81" s="425"/>
      <c r="E81" s="436"/>
      <c r="F81" s="183" t="str">
        <f>VLOOKUP("OtolitYN",tblTranslation[],LangFieldID,FALSE)</f>
        <v>Otoliths?</v>
      </c>
      <c r="G81" s="163" t="str">
        <f>VLOOKUP("OtolitYN",tblTranslation[],7,FALSE)</f>
        <v>boolean</v>
      </c>
      <c r="H81" s="42" t="str">
        <f>VLOOKUP("OtolitYN",tblTranslation[],LangNameID,FALSE)</f>
        <v>Were any otoliths sampled for this stratum (Y/N)?</v>
      </c>
    </row>
    <row r="82" spans="1:8" x14ac:dyDescent="0.4">
      <c r="A82" s="420"/>
      <c r="B82" s="420"/>
      <c r="C82" s="421"/>
      <c r="D82" s="425"/>
      <c r="E82" s="436"/>
      <c r="F82" s="183" t="str">
        <f>VLOOKUP("StomacYN",tblTranslation[],LangFieldID,FALSE)</f>
        <v>Stomach?</v>
      </c>
      <c r="G82" s="163" t="str">
        <f>VLOOKUP("StomacYN",tblTranslation[],7,FALSE)</f>
        <v>boolean</v>
      </c>
      <c r="H82" s="42" t="str">
        <f>VLOOKUP("StomacYN",tblTranslation[],LangNameID,FALSE)</f>
        <v>Were stomach contents sampled for this stratum (Y/N)?</v>
      </c>
    </row>
    <row r="83" spans="1:8" x14ac:dyDescent="0.4">
      <c r="A83" s="420"/>
      <c r="B83" s="420"/>
      <c r="C83" s="421"/>
      <c r="D83" s="425"/>
      <c r="E83" s="436"/>
      <c r="F83" s="183" t="str">
        <f>VLOOKUP("GonadsYN",tblTranslation[],LangFieldID,FALSE)</f>
        <v>Gonads?</v>
      </c>
      <c r="G83" s="163" t="str">
        <f>VLOOKUP("GonadsYN",tblTranslation[],7,FALSE)</f>
        <v>boolean</v>
      </c>
      <c r="H83" s="42" t="str">
        <f>VLOOKUP("GonadsYN",tblTranslation[],LangNameID,FALSE)</f>
        <v>Were gonads sampled for this stratum (Y/N)?</v>
      </c>
    </row>
    <row r="84" spans="1:8" x14ac:dyDescent="0.4">
      <c r="A84" s="420"/>
      <c r="B84" s="420"/>
      <c r="C84" s="421"/>
      <c r="D84" s="425" t="str">
        <f>VLOOKUP("D90",tblTranslation[],LangFieldID,FALSE)</f>
        <v>Release attributes and others</v>
      </c>
      <c r="E84" s="436" t="str">
        <f>VLOOKUP("D91",tblTranslation[],LangFieldID,FALSE)</f>
        <v>Condition (external injuries)</v>
      </c>
      <c r="F84" s="183" t="str">
        <f>VLOOKUP("RelYN",tblTranslation[],LangFieldID,FALSE)</f>
        <v>Released?</v>
      </c>
      <c r="G84" s="163" t="str">
        <f>VLOOKUP("RelYN",tblTranslation[],7,FALSE)</f>
        <v>boolean</v>
      </c>
      <c r="H84" s="42" t="str">
        <f>VLOOKUP("RelYN",tblTranslation[],LangNameID,FALSE)</f>
        <v>Specify if the fish was released</v>
      </c>
    </row>
    <row r="85" spans="1:8" x14ac:dyDescent="0.4">
      <c r="A85" s="420"/>
      <c r="B85" s="420"/>
      <c r="C85" s="421"/>
      <c r="D85" s="425"/>
      <c r="E85" s="436"/>
      <c r="F85" s="184" t="str">
        <f>VLOOKUP("InjurScCd",tblTranslation[],LangFieldID,FALSE)</f>
        <v>Injuries (scale)</v>
      </c>
      <c r="G85" s="163" t="str">
        <f>VLOOKUP("InjurScCd",tblTranslation[],7,FALSE)</f>
        <v>ICCAT code</v>
      </c>
      <c r="H85" s="42" t="str">
        <f>VLOOKUP("InjurScCd",tblTranslation[],LangNameID,FALSE)</f>
        <v>Select the condition of the individuals at the time of being released</v>
      </c>
    </row>
    <row r="86" spans="1:8" x14ac:dyDescent="0.4">
      <c r="A86" s="420"/>
      <c r="B86" s="420"/>
      <c r="C86" s="421"/>
      <c r="D86" s="425"/>
      <c r="E86" s="437" t="str">
        <f>VLOOKUP("D92",tblTranslation[],LangFieldID,FALSE)</f>
        <v>Others</v>
      </c>
      <c r="F86" s="183" t="str">
        <f>VLOOKUP("TagNo",tblTranslation[],LangFieldID,FALSE)</f>
        <v>Tag number</v>
      </c>
      <c r="G86" s="163" t="str">
        <f>VLOOKUP("TagNo",tblTranslation[],7,FALSE)</f>
        <v>string</v>
      </c>
      <c r="H86" s="42" t="str">
        <f>VLOOKUP("TagNo",tblTranslation[],LangNameID,FALSE)</f>
        <v>Provide the tag number</v>
      </c>
    </row>
    <row r="87" spans="1:8" x14ac:dyDescent="0.4">
      <c r="A87" s="420"/>
      <c r="B87" s="420"/>
      <c r="C87" s="421"/>
      <c r="D87" s="425"/>
      <c r="E87" s="438"/>
      <c r="F87" s="183" t="str">
        <f>VLOOKUP("SampObs",tblTranslation[],LangFieldID,FALSE)</f>
        <v>Notes</v>
      </c>
      <c r="G87" s="163" t="str">
        <f>VLOOKUP("SampObs",tblTranslation[],7,FALSE)</f>
        <v>string</v>
      </c>
      <c r="H87" s="42" t="str">
        <f>VLOOKUP("SampObs",tblTranslation[],LangNameID,FALSE)</f>
        <v xml:space="preserve">Additional notes on the specimen sampled </v>
      </c>
    </row>
  </sheetData>
  <sheetProtection algorithmName="SHA-512" hashValue="9VFwYQJRaWH9abaLF90rFtvcQD6T06M4a+n9r5Nmx3rw/PbAe2IV21vvq1CHjeqT0CbfxlbmJ74O2hl72oXm0g==" saltValue="WP8KhjIj4iB242nG1bIgGQ==" spinCount="100000" sheet="1" objects="1" scenarios="1" formatCells="0" autoFilter="0"/>
  <autoFilter ref="A10:H87" xr:uid="{48AAE07F-49A1-4267-B69A-6A74622ACC35}"/>
  <mergeCells count="51">
    <mergeCell ref="E34:E36"/>
    <mergeCell ref="D32:E33"/>
    <mergeCell ref="D84:D87"/>
    <mergeCell ref="E80:E83"/>
    <mergeCell ref="D75:D83"/>
    <mergeCell ref="E84:E85"/>
    <mergeCell ref="E86:E87"/>
    <mergeCell ref="D41:D42"/>
    <mergeCell ref="E41:E42"/>
    <mergeCell ref="D43:D45"/>
    <mergeCell ref="E43:E45"/>
    <mergeCell ref="A11:A87"/>
    <mergeCell ref="B71:B87"/>
    <mergeCell ref="C72:C87"/>
    <mergeCell ref="E72:E74"/>
    <mergeCell ref="E76:E77"/>
    <mergeCell ref="E78:E79"/>
    <mergeCell ref="C71:F71"/>
    <mergeCell ref="C61:C70"/>
    <mergeCell ref="B60:B70"/>
    <mergeCell ref="D72:D74"/>
    <mergeCell ref="C60:F60"/>
    <mergeCell ref="E62:E63"/>
    <mergeCell ref="E64:E66"/>
    <mergeCell ref="E67:E69"/>
    <mergeCell ref="D61:D70"/>
    <mergeCell ref="E38:E40"/>
    <mergeCell ref="B11:B59"/>
    <mergeCell ref="D20:E24"/>
    <mergeCell ref="D13:D19"/>
    <mergeCell ref="D11:E12"/>
    <mergeCell ref="C37:C59"/>
    <mergeCell ref="E13:E15"/>
    <mergeCell ref="E16:E19"/>
    <mergeCell ref="D25:E31"/>
    <mergeCell ref="D46:D55"/>
    <mergeCell ref="E46:E50"/>
    <mergeCell ref="E51:E55"/>
    <mergeCell ref="D56:D59"/>
    <mergeCell ref="E56:E57"/>
    <mergeCell ref="D37:D40"/>
    <mergeCell ref="C11:C36"/>
    <mergeCell ref="D34:D36"/>
    <mergeCell ref="A1:H1"/>
    <mergeCell ref="A2:E2"/>
    <mergeCell ref="A9:E9"/>
    <mergeCell ref="B3:H3"/>
    <mergeCell ref="B4:H4"/>
    <mergeCell ref="B5:H5"/>
    <mergeCell ref="B6:H6"/>
    <mergeCell ref="B7:H7"/>
  </mergeCells>
  <hyperlinks>
    <hyperlink ref="F62" location="SpeciesCode" display="SpeciesCode" xr:uid="{A07C35D2-944D-46FE-90CA-1DD161B4610B}"/>
    <hyperlink ref="F19" location="FlagName" display="FlagName" xr:uid="{63568EFC-38B8-4DAF-A79E-8F7B89E4EFBC}"/>
    <hyperlink ref="F25" location="FlagCode" display="FlagCode" xr:uid="{6B808D9A-6C46-4091-99C3-0DEDF9AD509E}"/>
    <hyperlink ref="F29" location="Version" display="Version" xr:uid="{D418BD02-6FA7-42F3-BB60-A57B96EF9971}"/>
    <hyperlink ref="F30" location="Content" display="Content" xr:uid="{DF283A8D-B019-4BAE-B57A-4D431E66CBA3}"/>
    <hyperlink ref="F38" location="FlagA3ISO" display="FlagA3ISO" xr:uid="{D5854395-357B-4C4A-830D-841DA22DB7EB}"/>
    <hyperlink ref="F40" location="LOACLassCode" display="LOACLassCode" xr:uid="{4EEBD242-32B9-423B-A9BD-31843D248F25}"/>
    <hyperlink ref="F42" location="TPeriodID" display="TPeriodID" xr:uid="{E2AEC6CE-38D7-4918-A8CE-C2E45080BD41}"/>
    <hyperlink ref="F46" location="GearGrpCode" display="GearGrpCode" xr:uid="{82712EE3-3376-433E-ACEB-FB9E4186C617}"/>
    <hyperlink ref="F49" location="FOperTypeCode" display="FOperTypeCode" xr:uid="{11C55CC5-4279-41B6-80F5-0A6E57A8A292}"/>
    <hyperlink ref="F50" location="SchoolTypeCode" display="SchoolTypeCode" xr:uid="{EB5FF199-F768-459F-ABF0-B51D12F36469}"/>
    <hyperlink ref="F51" location="GearCode" display="GearCode" xr:uid="{F156D83E-7B49-41F6-B0DD-B15398DEC195}"/>
    <hyperlink ref="F54" location="HookTypeCode" display="HookTypeCode" xr:uid="{09B0E1E6-8D89-429A-9E43-67A26D29B887}"/>
    <hyperlink ref="F56:F57" location="MitMeasCode" display="MitMeasCode" xr:uid="{F767E258-485F-4DBD-812B-572381615118}"/>
    <hyperlink ref="F58" location="MitMeasCode2" display="MitMeasCode2" xr:uid="{834B4509-6A33-4C2B-B3F3-D65202FC5217}"/>
    <hyperlink ref="F65" location="ProdTypeCode" display="ProdTypeCode" xr:uid="{E29C087E-BB64-46B6-9718-C82A1B7C14F1}"/>
    <hyperlink ref="F74" location="SpeciesCode" display="SpeciesCode" xr:uid="{D49C9507-9464-4612-A16F-FC15F53FA35F}"/>
    <hyperlink ref="F75" location="SexCode" display="SexCode" xr:uid="{D3DACF25-B9B9-44E5-B37A-DC9AC965C072}"/>
    <hyperlink ref="F79" location="ProdTypeCode" display="ProdTypeCode" xr:uid="{FAAC9744-8359-4BB8-A62B-63A6D0F3A70B}"/>
    <hyperlink ref="F85" location="CondCode" display="CondCode" xr:uid="{68937A2B-B4D5-45E4-924F-CC485EA3898B}"/>
    <hyperlink ref="F77" location="FreqTypeCode" display="FreqTypeCode" xr:uid="{0A5187B0-69D1-4DD2-A3C4-DFEB710E6440}"/>
    <hyperlink ref="F55" location="SetDepthCode" display="SetDepthCode" xr:uid="{FC754D04-FE3D-443C-A3F2-A30E03D92136}"/>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2EA90-4786-446E-B3B8-4BAB0AA8C0D0}">
  <sheetPr codeName="Sheet5"/>
  <dimension ref="A1:M151"/>
  <sheetViews>
    <sheetView zoomScaleNormal="100" workbookViewId="0">
      <pane ySplit="4" topLeftCell="A44" activePane="bottomLeft" state="frozen"/>
      <selection pane="bottomLeft" activeCell="H155" sqref="H155"/>
    </sheetView>
  </sheetViews>
  <sheetFormatPr defaultColWidth="7.07421875" defaultRowHeight="10.75" x14ac:dyDescent="0.4"/>
  <cols>
    <col min="1" max="1" width="12.07421875" style="2" bestFit="1" customWidth="1"/>
    <col min="2" max="2" width="7.765625" style="2" bestFit="1" customWidth="1"/>
    <col min="3" max="3" width="7.4609375" style="2" bestFit="1" customWidth="1"/>
    <col min="4" max="4" width="9.765625" style="2" bestFit="1" customWidth="1"/>
    <col min="5" max="6" width="7.4609375" style="2" bestFit="1" customWidth="1"/>
    <col min="7" max="7" width="8.765625" style="2" bestFit="1" customWidth="1"/>
    <col min="8" max="9" width="25.07421875" style="2" customWidth="1"/>
    <col min="10" max="10" width="31.3046875" style="2" bestFit="1" customWidth="1"/>
    <col min="11" max="13" width="38.765625" style="2" customWidth="1"/>
    <col min="14" max="16384" width="7.07421875" style="2"/>
  </cols>
  <sheetData>
    <row r="1" spans="1:13" x14ac:dyDescent="0.4">
      <c r="A1" s="439" t="s">
        <v>1402</v>
      </c>
      <c r="B1" s="439"/>
      <c r="C1" s="439"/>
      <c r="D1" s="439"/>
      <c r="E1" s="439"/>
      <c r="F1" s="439"/>
      <c r="G1" s="1"/>
      <c r="H1" s="2" t="s">
        <v>1403</v>
      </c>
      <c r="I1" s="102">
        <f>IF(Idiom="ENG",8,IF(Idiom="FRA",9,10))</f>
        <v>8</v>
      </c>
    </row>
    <row r="2" spans="1:13" x14ac:dyDescent="0.4">
      <c r="A2" s="1"/>
      <c r="B2" s="1"/>
      <c r="C2" s="1"/>
      <c r="D2" s="1"/>
      <c r="E2" s="1"/>
      <c r="F2" s="1"/>
      <c r="G2" s="1"/>
      <c r="H2" s="2" t="s">
        <v>1404</v>
      </c>
      <c r="I2" s="102">
        <f>IF(Idiom="ENG",11,IF(Idiom="FRA",12,13))</f>
        <v>11</v>
      </c>
    </row>
    <row r="4" spans="1:13" x14ac:dyDescent="0.4">
      <c r="A4" s="3" t="s">
        <v>1405</v>
      </c>
      <c r="B4" s="3" t="s">
        <v>1778</v>
      </c>
      <c r="C4" s="3" t="s">
        <v>1781</v>
      </c>
      <c r="D4" s="3" t="s">
        <v>1782</v>
      </c>
      <c r="E4" s="3" t="s">
        <v>628</v>
      </c>
      <c r="F4" s="3" t="s">
        <v>1406</v>
      </c>
      <c r="G4" s="3" t="s">
        <v>1407</v>
      </c>
      <c r="H4" s="4" t="s">
        <v>1408</v>
      </c>
      <c r="I4" s="4" t="s">
        <v>1409</v>
      </c>
      <c r="J4" s="4" t="s">
        <v>1410</v>
      </c>
      <c r="K4" s="5" t="s">
        <v>1411</v>
      </c>
      <c r="L4" s="5" t="s">
        <v>1412</v>
      </c>
      <c r="M4" s="5" t="s">
        <v>1413</v>
      </c>
    </row>
    <row r="5" spans="1:13" s="1" customFormat="1" hidden="1" x14ac:dyDescent="0.4">
      <c r="A5" s="98" t="s">
        <v>1414</v>
      </c>
      <c r="B5" s="217">
        <v>1</v>
      </c>
      <c r="C5" s="217" t="s">
        <v>1783</v>
      </c>
      <c r="D5" s="98" t="s">
        <v>1784</v>
      </c>
      <c r="E5" s="98" t="s">
        <v>1766</v>
      </c>
      <c r="F5" s="98" t="s">
        <v>1415</v>
      </c>
      <c r="G5" s="98" t="s">
        <v>1397</v>
      </c>
      <c r="H5" s="99" t="s">
        <v>1899</v>
      </c>
      <c r="I5" s="99" t="s">
        <v>1899</v>
      </c>
      <c r="J5" s="99" t="s">
        <v>1899</v>
      </c>
      <c r="K5" s="191" t="s">
        <v>2474</v>
      </c>
      <c r="L5" s="191" t="s">
        <v>2475</v>
      </c>
      <c r="M5" s="191" t="s">
        <v>2476</v>
      </c>
    </row>
    <row r="6" spans="1:13" s="28" customFormat="1" ht="21.45" hidden="1" x14ac:dyDescent="0.4">
      <c r="A6" s="171" t="s">
        <v>1416</v>
      </c>
      <c r="B6" s="217">
        <v>2</v>
      </c>
      <c r="C6" s="217" t="s">
        <v>1783</v>
      </c>
      <c r="D6" s="98" t="s">
        <v>1784</v>
      </c>
      <c r="E6" s="98" t="s">
        <v>1766</v>
      </c>
      <c r="F6" s="98" t="s">
        <v>1417</v>
      </c>
      <c r="G6" s="98" t="s">
        <v>1397</v>
      </c>
      <c r="H6" s="99" t="s">
        <v>1418</v>
      </c>
      <c r="I6" s="99" t="s">
        <v>1419</v>
      </c>
      <c r="J6" s="99" t="s">
        <v>1420</v>
      </c>
      <c r="K6" s="99" t="s">
        <v>590</v>
      </c>
      <c r="L6" s="99" t="s">
        <v>1421</v>
      </c>
      <c r="M6" s="99" t="s">
        <v>1422</v>
      </c>
    </row>
    <row r="7" spans="1:13" s="28" customFormat="1" hidden="1" x14ac:dyDescent="0.4">
      <c r="A7" s="217" t="s">
        <v>1423</v>
      </c>
      <c r="B7" s="217">
        <v>3</v>
      </c>
      <c r="C7" s="217" t="s">
        <v>1783</v>
      </c>
      <c r="D7" s="217" t="s">
        <v>1784</v>
      </c>
      <c r="E7" s="98" t="s">
        <v>1766</v>
      </c>
      <c r="F7" s="217" t="s">
        <v>1425</v>
      </c>
      <c r="G7" s="217" t="s">
        <v>1397</v>
      </c>
      <c r="H7" s="100" t="s">
        <v>1766</v>
      </c>
      <c r="I7" s="100" t="s">
        <v>1767</v>
      </c>
      <c r="J7" s="100" t="s">
        <v>1768</v>
      </c>
      <c r="K7" s="99" t="s">
        <v>1397</v>
      </c>
      <c r="L7" s="101" t="s">
        <v>1397</v>
      </c>
      <c r="M7" s="99" t="s">
        <v>1397</v>
      </c>
    </row>
    <row r="8" spans="1:13" hidden="1" x14ac:dyDescent="0.4">
      <c r="A8" s="98" t="s">
        <v>1424</v>
      </c>
      <c r="B8" s="217">
        <v>4</v>
      </c>
      <c r="C8" s="98" t="s">
        <v>1783</v>
      </c>
      <c r="D8" s="98" t="s">
        <v>1784</v>
      </c>
      <c r="E8" s="98" t="s">
        <v>1766</v>
      </c>
      <c r="F8" s="98" t="s">
        <v>1425</v>
      </c>
      <c r="G8" s="98" t="s">
        <v>1397</v>
      </c>
      <c r="H8" s="99" t="s">
        <v>1784</v>
      </c>
      <c r="I8" s="99" t="s">
        <v>1784</v>
      </c>
      <c r="J8" s="99" t="s">
        <v>1784</v>
      </c>
      <c r="K8" s="99" t="s">
        <v>1397</v>
      </c>
      <c r="L8" s="101" t="s">
        <v>1397</v>
      </c>
      <c r="M8" s="99" t="s">
        <v>1397</v>
      </c>
    </row>
    <row r="9" spans="1:13" hidden="1" x14ac:dyDescent="0.4">
      <c r="A9" s="98" t="s">
        <v>1426</v>
      </c>
      <c r="B9" s="217">
        <v>5</v>
      </c>
      <c r="C9" s="98" t="s">
        <v>1783</v>
      </c>
      <c r="D9" s="98" t="s">
        <v>1784</v>
      </c>
      <c r="E9" s="98" t="s">
        <v>1766</v>
      </c>
      <c r="F9" s="98" t="s">
        <v>1425</v>
      </c>
      <c r="G9" s="98" t="s">
        <v>1397</v>
      </c>
      <c r="H9" s="99" t="s">
        <v>1790</v>
      </c>
      <c r="I9" s="99" t="s">
        <v>1790</v>
      </c>
      <c r="J9" s="99" t="s">
        <v>1790</v>
      </c>
      <c r="K9" s="99" t="s">
        <v>1397</v>
      </c>
      <c r="L9" s="101" t="s">
        <v>1397</v>
      </c>
      <c r="M9" s="99" t="s">
        <v>1397</v>
      </c>
    </row>
    <row r="10" spans="1:13" hidden="1" x14ac:dyDescent="0.4">
      <c r="A10" s="98" t="s">
        <v>2292</v>
      </c>
      <c r="B10" s="217">
        <v>6</v>
      </c>
      <c r="C10" s="98" t="s">
        <v>1783</v>
      </c>
      <c r="D10" s="98" t="s">
        <v>1784</v>
      </c>
      <c r="E10" s="98" t="s">
        <v>1766</v>
      </c>
      <c r="F10" s="98" t="s">
        <v>1425</v>
      </c>
      <c r="G10" s="98" t="s">
        <v>1397</v>
      </c>
      <c r="H10" s="99" t="s">
        <v>1944</v>
      </c>
      <c r="I10" s="99" t="s">
        <v>1944</v>
      </c>
      <c r="J10" s="99" t="s">
        <v>1944</v>
      </c>
      <c r="K10" s="99" t="s">
        <v>1397</v>
      </c>
      <c r="L10" s="101" t="s">
        <v>1397</v>
      </c>
      <c r="M10" s="99" t="s">
        <v>1397</v>
      </c>
    </row>
    <row r="11" spans="1:13" hidden="1" x14ac:dyDescent="0.4">
      <c r="A11" s="98" t="s">
        <v>1779</v>
      </c>
      <c r="B11" s="217">
        <v>7</v>
      </c>
      <c r="C11" s="98" t="s">
        <v>1783</v>
      </c>
      <c r="D11" s="98" t="s">
        <v>1784</v>
      </c>
      <c r="E11" s="98" t="s">
        <v>1766</v>
      </c>
      <c r="F11" s="98" t="s">
        <v>1427</v>
      </c>
      <c r="G11" s="98" t="s">
        <v>1428</v>
      </c>
      <c r="H11" s="99" t="s">
        <v>1398</v>
      </c>
      <c r="I11" s="99" t="s">
        <v>1398</v>
      </c>
      <c r="J11" s="99" t="s">
        <v>1429</v>
      </c>
      <c r="K11" s="99" t="s">
        <v>1785</v>
      </c>
      <c r="L11" s="101" t="s">
        <v>1786</v>
      </c>
      <c r="M11" s="99" t="s">
        <v>1787</v>
      </c>
    </row>
    <row r="12" spans="1:13" ht="21.45" hidden="1" x14ac:dyDescent="0.4">
      <c r="A12" s="98" t="s">
        <v>1780</v>
      </c>
      <c r="B12" s="217">
        <v>8</v>
      </c>
      <c r="C12" s="98" t="s">
        <v>1783</v>
      </c>
      <c r="D12" s="98" t="s">
        <v>1784</v>
      </c>
      <c r="E12" s="98" t="s">
        <v>1766</v>
      </c>
      <c r="F12" s="98" t="s">
        <v>1427</v>
      </c>
      <c r="G12" s="98" t="s">
        <v>1430</v>
      </c>
      <c r="H12" s="99" t="s">
        <v>589</v>
      </c>
      <c r="I12" s="99" t="s">
        <v>1431</v>
      </c>
      <c r="J12" s="99" t="s">
        <v>1432</v>
      </c>
      <c r="K12" s="99" t="s">
        <v>1788</v>
      </c>
      <c r="L12" s="101" t="s">
        <v>1789</v>
      </c>
      <c r="M12" s="99" t="s">
        <v>2301</v>
      </c>
    </row>
    <row r="13" spans="1:13" x14ac:dyDescent="0.4">
      <c r="A13" s="98" t="s">
        <v>1433</v>
      </c>
      <c r="B13" s="217">
        <v>9</v>
      </c>
      <c r="C13" s="98" t="s">
        <v>1783</v>
      </c>
      <c r="D13" s="98" t="s">
        <v>1784</v>
      </c>
      <c r="E13" s="98" t="s">
        <v>624</v>
      </c>
      <c r="F13" s="98" t="s">
        <v>1415</v>
      </c>
      <c r="G13" s="98" t="s">
        <v>1436</v>
      </c>
      <c r="H13" s="99" t="s">
        <v>624</v>
      </c>
      <c r="I13" s="99" t="s">
        <v>1434</v>
      </c>
      <c r="J13" s="99" t="s">
        <v>1435</v>
      </c>
      <c r="K13" s="179" t="s">
        <v>1856</v>
      </c>
      <c r="L13" s="179" t="s">
        <v>1857</v>
      </c>
      <c r="M13" s="179" t="s">
        <v>1858</v>
      </c>
    </row>
    <row r="14" spans="1:13" x14ac:dyDescent="0.4">
      <c r="A14" s="98" t="s">
        <v>1437</v>
      </c>
      <c r="B14" s="217">
        <v>10</v>
      </c>
      <c r="C14" s="98" t="s">
        <v>1783</v>
      </c>
      <c r="D14" s="98" t="s">
        <v>1784</v>
      </c>
      <c r="E14" s="98" t="s">
        <v>624</v>
      </c>
      <c r="F14" s="98" t="s">
        <v>1425</v>
      </c>
      <c r="G14" s="98" t="s">
        <v>1397</v>
      </c>
      <c r="H14" s="99" t="s">
        <v>591</v>
      </c>
      <c r="I14" s="99" t="s">
        <v>1438</v>
      </c>
      <c r="J14" s="99" t="s">
        <v>1439</v>
      </c>
      <c r="K14" s="99" t="s">
        <v>1397</v>
      </c>
      <c r="L14" s="101" t="s">
        <v>1397</v>
      </c>
      <c r="M14" s="99" t="s">
        <v>1397</v>
      </c>
    </row>
    <row r="15" spans="1:13" x14ac:dyDescent="0.4">
      <c r="A15" s="98" t="s">
        <v>1440</v>
      </c>
      <c r="B15" s="217">
        <v>11</v>
      </c>
      <c r="C15" s="98" t="s">
        <v>1783</v>
      </c>
      <c r="D15" s="98" t="s">
        <v>1784</v>
      </c>
      <c r="E15" s="98" t="s">
        <v>624</v>
      </c>
      <c r="F15" s="98" t="s">
        <v>1441</v>
      </c>
      <c r="G15" s="98" t="s">
        <v>1397</v>
      </c>
      <c r="H15" s="99" t="s">
        <v>592</v>
      </c>
      <c r="I15" s="99" t="s">
        <v>592</v>
      </c>
      <c r="J15" s="99" t="s">
        <v>1442</v>
      </c>
      <c r="K15" s="99" t="s">
        <v>1397</v>
      </c>
      <c r="L15" s="101" t="s">
        <v>1397</v>
      </c>
      <c r="M15" s="99" t="s">
        <v>1397</v>
      </c>
    </row>
    <row r="16" spans="1:13" x14ac:dyDescent="0.4">
      <c r="A16" s="98" t="s">
        <v>1443</v>
      </c>
      <c r="B16" s="217">
        <v>12</v>
      </c>
      <c r="C16" s="98" t="s">
        <v>1783</v>
      </c>
      <c r="D16" s="98" t="s">
        <v>1784</v>
      </c>
      <c r="E16" s="98" t="s">
        <v>624</v>
      </c>
      <c r="F16" s="98" t="s">
        <v>1441</v>
      </c>
      <c r="G16" s="98" t="s">
        <v>1397</v>
      </c>
      <c r="H16" s="99" t="s">
        <v>597</v>
      </c>
      <c r="I16" s="99" t="s">
        <v>597</v>
      </c>
      <c r="J16" s="99" t="s">
        <v>1444</v>
      </c>
      <c r="K16" s="99" t="s">
        <v>1397</v>
      </c>
      <c r="L16" s="101" t="s">
        <v>1397</v>
      </c>
      <c r="M16" s="99" t="s">
        <v>1397</v>
      </c>
    </row>
    <row r="17" spans="1:13" x14ac:dyDescent="0.4">
      <c r="A17" s="98" t="s">
        <v>1445</v>
      </c>
      <c r="B17" s="217">
        <v>13</v>
      </c>
      <c r="C17" s="98" t="s">
        <v>1783</v>
      </c>
      <c r="D17" s="98" t="s">
        <v>1784</v>
      </c>
      <c r="E17" s="98" t="s">
        <v>624</v>
      </c>
      <c r="F17" s="98" t="s">
        <v>1425</v>
      </c>
      <c r="G17" s="98" t="s">
        <v>1397</v>
      </c>
      <c r="H17" s="99" t="s">
        <v>1446</v>
      </c>
      <c r="I17" s="99" t="s">
        <v>1447</v>
      </c>
      <c r="J17" s="99" t="s">
        <v>1448</v>
      </c>
      <c r="K17" s="99" t="s">
        <v>1397</v>
      </c>
      <c r="L17" s="101" t="s">
        <v>1397</v>
      </c>
      <c r="M17" s="99" t="s">
        <v>1397</v>
      </c>
    </row>
    <row r="18" spans="1:13" x14ac:dyDescent="0.4">
      <c r="A18" s="98" t="s">
        <v>1449</v>
      </c>
      <c r="B18" s="217">
        <v>14</v>
      </c>
      <c r="C18" s="98" t="s">
        <v>1783</v>
      </c>
      <c r="D18" s="98" t="s">
        <v>1784</v>
      </c>
      <c r="E18" s="98" t="s">
        <v>624</v>
      </c>
      <c r="F18" s="98" t="s">
        <v>1441</v>
      </c>
      <c r="G18" s="98" t="s">
        <v>1397</v>
      </c>
      <c r="H18" s="99" t="s">
        <v>1450</v>
      </c>
      <c r="I18" s="99" t="s">
        <v>1451</v>
      </c>
      <c r="J18" s="99" t="s">
        <v>1452</v>
      </c>
      <c r="K18" s="99" t="s">
        <v>1397</v>
      </c>
      <c r="L18" s="101" t="s">
        <v>1397</v>
      </c>
      <c r="M18" s="99" t="s">
        <v>1397</v>
      </c>
    </row>
    <row r="19" spans="1:13" x14ac:dyDescent="0.4">
      <c r="A19" s="98" t="s">
        <v>1453</v>
      </c>
      <c r="B19" s="217">
        <v>15</v>
      </c>
      <c r="C19" s="98" t="s">
        <v>1783</v>
      </c>
      <c r="D19" s="98" t="s">
        <v>1784</v>
      </c>
      <c r="E19" s="98" t="s">
        <v>624</v>
      </c>
      <c r="F19" s="98" t="s">
        <v>1425</v>
      </c>
      <c r="G19" s="98" t="s">
        <v>1397</v>
      </c>
      <c r="H19" s="99" t="s">
        <v>605</v>
      </c>
      <c r="I19" s="99" t="s">
        <v>1454</v>
      </c>
      <c r="J19" s="99" t="s">
        <v>1455</v>
      </c>
      <c r="K19" s="99" t="s">
        <v>1397</v>
      </c>
      <c r="L19" s="101" t="s">
        <v>1397</v>
      </c>
      <c r="M19" s="99" t="s">
        <v>1397</v>
      </c>
    </row>
    <row r="20" spans="1:13" x14ac:dyDescent="0.4">
      <c r="A20" s="98" t="s">
        <v>1456</v>
      </c>
      <c r="B20" s="217">
        <v>16</v>
      </c>
      <c r="C20" s="98" t="s">
        <v>1783</v>
      </c>
      <c r="D20" s="98" t="s">
        <v>1784</v>
      </c>
      <c r="E20" s="98" t="s">
        <v>624</v>
      </c>
      <c r="F20" s="98" t="s">
        <v>1441</v>
      </c>
      <c r="G20" s="98" t="s">
        <v>1397</v>
      </c>
      <c r="H20" s="99" t="s">
        <v>1457</v>
      </c>
      <c r="I20" s="99" t="s">
        <v>1458</v>
      </c>
      <c r="J20" s="99" t="s">
        <v>1459</v>
      </c>
      <c r="K20" s="99" t="s">
        <v>1397</v>
      </c>
      <c r="L20" s="101" t="s">
        <v>1397</v>
      </c>
      <c r="M20" s="99" t="s">
        <v>1397</v>
      </c>
    </row>
    <row r="21" spans="1:13" ht="21.45" x14ac:dyDescent="0.4">
      <c r="A21" s="98" t="s">
        <v>1460</v>
      </c>
      <c r="B21" s="217">
        <v>17</v>
      </c>
      <c r="C21" s="98" t="s">
        <v>1783</v>
      </c>
      <c r="D21" s="98" t="s">
        <v>1784</v>
      </c>
      <c r="E21" s="98" t="s">
        <v>624</v>
      </c>
      <c r="F21" s="98" t="s">
        <v>1425</v>
      </c>
      <c r="G21" s="98" t="s">
        <v>1397</v>
      </c>
      <c r="H21" s="99" t="s">
        <v>2294</v>
      </c>
      <c r="I21" s="99" t="s">
        <v>2296</v>
      </c>
      <c r="J21" s="99" t="s">
        <v>2295</v>
      </c>
      <c r="K21" s="99" t="s">
        <v>1397</v>
      </c>
      <c r="L21" s="99" t="s">
        <v>1397</v>
      </c>
      <c r="M21" s="99" t="s">
        <v>1397</v>
      </c>
    </row>
    <row r="22" spans="1:13" x14ac:dyDescent="0.4">
      <c r="A22" s="98" t="s">
        <v>2056</v>
      </c>
      <c r="B22" s="217">
        <v>18</v>
      </c>
      <c r="C22" s="98" t="s">
        <v>2043</v>
      </c>
      <c r="D22" s="98" t="s">
        <v>1784</v>
      </c>
      <c r="E22" s="98" t="s">
        <v>624</v>
      </c>
      <c r="F22" s="98" t="s">
        <v>1441</v>
      </c>
      <c r="G22" s="98" t="s">
        <v>1397</v>
      </c>
      <c r="H22" s="99" t="s">
        <v>2060</v>
      </c>
      <c r="I22" s="99" t="s">
        <v>2059</v>
      </c>
      <c r="J22" s="182" t="s">
        <v>2061</v>
      </c>
      <c r="K22" s="99" t="s">
        <v>1397</v>
      </c>
      <c r="L22" s="101" t="s">
        <v>1397</v>
      </c>
      <c r="M22" s="99" t="s">
        <v>1397</v>
      </c>
    </row>
    <row r="23" spans="1:13" x14ac:dyDescent="0.3">
      <c r="A23" s="98" t="s">
        <v>2062</v>
      </c>
      <c r="B23" s="217">
        <v>19</v>
      </c>
      <c r="C23" s="98" t="s">
        <v>2043</v>
      </c>
      <c r="D23" s="98" t="s">
        <v>1784</v>
      </c>
      <c r="E23" s="98" t="s">
        <v>624</v>
      </c>
      <c r="F23" s="98" t="s">
        <v>1441</v>
      </c>
      <c r="G23" s="98" t="s">
        <v>1397</v>
      </c>
      <c r="H23" s="219" t="s">
        <v>2722</v>
      </c>
      <c r="I23" s="219" t="s">
        <v>2723</v>
      </c>
      <c r="J23" s="219" t="s">
        <v>2724</v>
      </c>
      <c r="K23" s="99" t="s">
        <v>1397</v>
      </c>
      <c r="L23" s="101" t="s">
        <v>1397</v>
      </c>
      <c r="M23" s="99" t="s">
        <v>1397</v>
      </c>
    </row>
    <row r="24" spans="1:13" ht="21.45" x14ac:dyDescent="0.4">
      <c r="A24" s="98" t="s">
        <v>1461</v>
      </c>
      <c r="B24" s="217">
        <v>20</v>
      </c>
      <c r="C24" s="98" t="s">
        <v>1783</v>
      </c>
      <c r="D24" s="98" t="s">
        <v>1784</v>
      </c>
      <c r="E24" s="98" t="s">
        <v>624</v>
      </c>
      <c r="F24" s="98" t="s">
        <v>1427</v>
      </c>
      <c r="G24" s="98" t="s">
        <v>1462</v>
      </c>
      <c r="H24" s="99" t="s">
        <v>593</v>
      </c>
      <c r="I24" s="99" t="s">
        <v>1463</v>
      </c>
      <c r="J24" s="99" t="s">
        <v>1464</v>
      </c>
      <c r="K24" s="99" t="s">
        <v>1791</v>
      </c>
      <c r="L24" s="101" t="s">
        <v>1792</v>
      </c>
      <c r="M24" s="99" t="s">
        <v>1793</v>
      </c>
    </row>
    <row r="25" spans="1:13" x14ac:dyDescent="0.4">
      <c r="A25" s="98" t="s">
        <v>1465</v>
      </c>
      <c r="B25" s="217">
        <v>21</v>
      </c>
      <c r="C25" s="98" t="s">
        <v>1783</v>
      </c>
      <c r="D25" s="98" t="s">
        <v>1784</v>
      </c>
      <c r="E25" s="98" t="s">
        <v>624</v>
      </c>
      <c r="F25" s="98" t="s">
        <v>1427</v>
      </c>
      <c r="G25" s="98" t="s">
        <v>1462</v>
      </c>
      <c r="H25" s="99" t="s">
        <v>1466</v>
      </c>
      <c r="I25" s="99" t="s">
        <v>1466</v>
      </c>
      <c r="J25" s="99" t="s">
        <v>1466</v>
      </c>
      <c r="K25" s="99" t="s">
        <v>1810</v>
      </c>
      <c r="L25" s="101" t="s">
        <v>1811</v>
      </c>
      <c r="M25" s="99" t="s">
        <v>1812</v>
      </c>
    </row>
    <row r="26" spans="1:13" x14ac:dyDescent="0.4">
      <c r="A26" s="98" t="s">
        <v>1467</v>
      </c>
      <c r="B26" s="217">
        <v>22</v>
      </c>
      <c r="C26" s="98" t="s">
        <v>1783</v>
      </c>
      <c r="D26" s="98" t="s">
        <v>1784</v>
      </c>
      <c r="E26" s="98" t="s">
        <v>624</v>
      </c>
      <c r="F26" s="98" t="s">
        <v>1427</v>
      </c>
      <c r="G26" s="98" t="s">
        <v>1462</v>
      </c>
      <c r="H26" s="99" t="s">
        <v>595</v>
      </c>
      <c r="I26" s="99" t="s">
        <v>1468</v>
      </c>
      <c r="J26" s="99" t="s">
        <v>1469</v>
      </c>
      <c r="K26" s="99" t="s">
        <v>1794</v>
      </c>
      <c r="L26" s="101" t="s">
        <v>1795</v>
      </c>
      <c r="M26" s="99" t="s">
        <v>1796</v>
      </c>
    </row>
    <row r="27" spans="1:13" ht="21.45" x14ac:dyDescent="0.4">
      <c r="A27" s="98" t="s">
        <v>1470</v>
      </c>
      <c r="B27" s="217">
        <v>23</v>
      </c>
      <c r="C27" s="98" t="s">
        <v>1783</v>
      </c>
      <c r="D27" s="98" t="s">
        <v>1784</v>
      </c>
      <c r="E27" s="98" t="s">
        <v>624</v>
      </c>
      <c r="F27" s="98" t="s">
        <v>1427</v>
      </c>
      <c r="G27" s="98" t="s">
        <v>1462</v>
      </c>
      <c r="H27" s="99" t="s">
        <v>598</v>
      </c>
      <c r="I27" s="99" t="s">
        <v>598</v>
      </c>
      <c r="J27" s="99" t="s">
        <v>1471</v>
      </c>
      <c r="K27" s="99" t="s">
        <v>1813</v>
      </c>
      <c r="L27" s="101" t="s">
        <v>1814</v>
      </c>
      <c r="M27" s="99" t="s">
        <v>1815</v>
      </c>
    </row>
    <row r="28" spans="1:13" x14ac:dyDescent="0.4">
      <c r="A28" s="98" t="s">
        <v>1472</v>
      </c>
      <c r="B28" s="217">
        <v>24</v>
      </c>
      <c r="C28" s="98" t="s">
        <v>1783</v>
      </c>
      <c r="D28" s="98" t="s">
        <v>1784</v>
      </c>
      <c r="E28" s="98" t="s">
        <v>624</v>
      </c>
      <c r="F28" s="98" t="s">
        <v>1427</v>
      </c>
      <c r="G28" s="98" t="s">
        <v>1462</v>
      </c>
      <c r="H28" s="99" t="s">
        <v>601</v>
      </c>
      <c r="I28" s="99" t="s">
        <v>1473</v>
      </c>
      <c r="J28" s="99" t="s">
        <v>1474</v>
      </c>
      <c r="K28" s="99" t="s">
        <v>1797</v>
      </c>
      <c r="L28" s="101" t="s">
        <v>1798</v>
      </c>
      <c r="M28" s="99" t="s">
        <v>1799</v>
      </c>
    </row>
    <row r="29" spans="1:13" x14ac:dyDescent="0.4">
      <c r="A29" s="98" t="s">
        <v>1475</v>
      </c>
      <c r="B29" s="217">
        <v>25</v>
      </c>
      <c r="C29" s="98" t="s">
        <v>1783</v>
      </c>
      <c r="D29" s="98" t="s">
        <v>1784</v>
      </c>
      <c r="E29" s="98" t="s">
        <v>624</v>
      </c>
      <c r="F29" s="98" t="s">
        <v>1427</v>
      </c>
      <c r="G29" s="98" t="s">
        <v>1462</v>
      </c>
      <c r="H29" s="99" t="s">
        <v>602</v>
      </c>
      <c r="I29" s="99" t="s">
        <v>1476</v>
      </c>
      <c r="J29" s="99" t="s">
        <v>1477</v>
      </c>
      <c r="K29" s="99" t="s">
        <v>1800</v>
      </c>
      <c r="L29" s="101" t="s">
        <v>1801</v>
      </c>
      <c r="M29" s="99" t="s">
        <v>1802</v>
      </c>
    </row>
    <row r="30" spans="1:13" x14ac:dyDescent="0.4">
      <c r="A30" s="98" t="s">
        <v>1478</v>
      </c>
      <c r="B30" s="217">
        <v>26</v>
      </c>
      <c r="C30" s="98" t="s">
        <v>1783</v>
      </c>
      <c r="D30" s="98" t="s">
        <v>1784</v>
      </c>
      <c r="E30" s="98" t="s">
        <v>624</v>
      </c>
      <c r="F30" s="98" t="s">
        <v>1427</v>
      </c>
      <c r="G30" s="98" t="s">
        <v>1430</v>
      </c>
      <c r="H30" s="99" t="s">
        <v>604</v>
      </c>
      <c r="I30" s="99" t="s">
        <v>1479</v>
      </c>
      <c r="J30" s="99" t="s">
        <v>1480</v>
      </c>
      <c r="K30" s="99" t="s">
        <v>1803</v>
      </c>
      <c r="L30" s="101" t="s">
        <v>1804</v>
      </c>
      <c r="M30" s="99" t="s">
        <v>1805</v>
      </c>
    </row>
    <row r="31" spans="1:13" x14ac:dyDescent="0.4">
      <c r="A31" s="98" t="s">
        <v>1853</v>
      </c>
      <c r="B31" s="217">
        <v>27</v>
      </c>
      <c r="C31" s="98" t="s">
        <v>1783</v>
      </c>
      <c r="D31" s="98" t="s">
        <v>1784</v>
      </c>
      <c r="E31" s="98" t="s">
        <v>624</v>
      </c>
      <c r="F31" s="98" t="s">
        <v>1427</v>
      </c>
      <c r="G31" s="98" t="s">
        <v>1492</v>
      </c>
      <c r="H31" s="99" t="s">
        <v>594</v>
      </c>
      <c r="I31" s="99" t="s">
        <v>1493</v>
      </c>
      <c r="J31" s="99" t="s">
        <v>1494</v>
      </c>
      <c r="K31" s="99" t="s">
        <v>1446</v>
      </c>
      <c r="L31" s="101" t="s">
        <v>1447</v>
      </c>
      <c r="M31" s="99" t="s">
        <v>1495</v>
      </c>
    </row>
    <row r="32" spans="1:13" x14ac:dyDescent="0.4">
      <c r="A32" s="98" t="s">
        <v>1496</v>
      </c>
      <c r="B32" s="217">
        <v>28</v>
      </c>
      <c r="C32" s="98" t="s">
        <v>1783</v>
      </c>
      <c r="D32" s="98" t="s">
        <v>1784</v>
      </c>
      <c r="E32" s="98" t="s">
        <v>624</v>
      </c>
      <c r="F32" s="98" t="s">
        <v>1427</v>
      </c>
      <c r="G32" s="98" t="s">
        <v>1430</v>
      </c>
      <c r="H32" s="99" t="s">
        <v>596</v>
      </c>
      <c r="I32" s="99" t="s">
        <v>1497</v>
      </c>
      <c r="J32" s="99" t="s">
        <v>1498</v>
      </c>
      <c r="K32" s="99" t="s">
        <v>1446</v>
      </c>
      <c r="L32" s="101" t="s">
        <v>1447</v>
      </c>
      <c r="M32" s="99" t="s">
        <v>1448</v>
      </c>
    </row>
    <row r="33" spans="1:13" ht="21.45" x14ac:dyDescent="0.4">
      <c r="A33" s="98" t="s">
        <v>1772</v>
      </c>
      <c r="B33" s="217">
        <v>29</v>
      </c>
      <c r="C33" s="98" t="s">
        <v>1783</v>
      </c>
      <c r="D33" s="98" t="s">
        <v>1784</v>
      </c>
      <c r="E33" s="98" t="s">
        <v>624</v>
      </c>
      <c r="F33" s="98" t="s">
        <v>1427</v>
      </c>
      <c r="G33" s="98" t="s">
        <v>1462</v>
      </c>
      <c r="H33" s="99" t="s">
        <v>599</v>
      </c>
      <c r="I33" s="99" t="s">
        <v>1499</v>
      </c>
      <c r="J33" s="99" t="s">
        <v>1500</v>
      </c>
      <c r="K33" s="99" t="s">
        <v>1501</v>
      </c>
      <c r="L33" s="101" t="s">
        <v>1809</v>
      </c>
      <c r="M33" s="99" t="s">
        <v>1502</v>
      </c>
    </row>
    <row r="34" spans="1:13" x14ac:dyDescent="0.4">
      <c r="A34" s="98" t="s">
        <v>1503</v>
      </c>
      <c r="B34" s="217">
        <v>30</v>
      </c>
      <c r="C34" s="98" t="s">
        <v>1783</v>
      </c>
      <c r="D34" s="98" t="s">
        <v>1784</v>
      </c>
      <c r="E34" s="98" t="s">
        <v>624</v>
      </c>
      <c r="F34" s="98" t="s">
        <v>1427</v>
      </c>
      <c r="G34" s="98" t="s">
        <v>1504</v>
      </c>
      <c r="H34" s="99" t="s">
        <v>1505</v>
      </c>
      <c r="I34" s="99" t="s">
        <v>1506</v>
      </c>
      <c r="J34" s="99" t="s">
        <v>1507</v>
      </c>
      <c r="K34" s="99" t="s">
        <v>1446</v>
      </c>
      <c r="L34" s="101" t="s">
        <v>1447</v>
      </c>
      <c r="M34" s="99" t="s">
        <v>1495</v>
      </c>
    </row>
    <row r="35" spans="1:13" x14ac:dyDescent="0.4">
      <c r="A35" s="98" t="s">
        <v>1508</v>
      </c>
      <c r="B35" s="217">
        <v>31</v>
      </c>
      <c r="C35" s="98" t="s">
        <v>1783</v>
      </c>
      <c r="D35" s="98" t="s">
        <v>1784</v>
      </c>
      <c r="E35" s="98" t="s">
        <v>624</v>
      </c>
      <c r="F35" s="98" t="s">
        <v>1427</v>
      </c>
      <c r="G35" s="98" t="s">
        <v>1504</v>
      </c>
      <c r="H35" s="99" t="s">
        <v>1509</v>
      </c>
      <c r="I35" s="99" t="s">
        <v>1510</v>
      </c>
      <c r="J35" s="99" t="s">
        <v>1511</v>
      </c>
      <c r="K35" s="99" t="s">
        <v>1446</v>
      </c>
      <c r="L35" s="101" t="s">
        <v>1447</v>
      </c>
      <c r="M35" s="99" t="s">
        <v>1495</v>
      </c>
    </row>
    <row r="36" spans="1:13" ht="21.45" x14ac:dyDescent="0.4">
      <c r="A36" s="98" t="s">
        <v>2047</v>
      </c>
      <c r="B36" s="217">
        <v>32</v>
      </c>
      <c r="C36" s="98" t="s">
        <v>1783</v>
      </c>
      <c r="D36" s="98" t="s">
        <v>1784</v>
      </c>
      <c r="E36" s="98" t="s">
        <v>624</v>
      </c>
      <c r="F36" s="98" t="s">
        <v>1427</v>
      </c>
      <c r="G36" s="98" t="s">
        <v>1430</v>
      </c>
      <c r="H36" s="99" t="s">
        <v>1481</v>
      </c>
      <c r="I36" s="99" t="s">
        <v>1482</v>
      </c>
      <c r="J36" s="99" t="s">
        <v>1483</v>
      </c>
      <c r="K36" s="99" t="s">
        <v>2360</v>
      </c>
      <c r="L36" s="101" t="s">
        <v>1816</v>
      </c>
      <c r="M36" s="99" t="s">
        <v>1817</v>
      </c>
    </row>
    <row r="37" spans="1:13" ht="32.15" x14ac:dyDescent="0.4">
      <c r="A37" s="167" t="s">
        <v>1951</v>
      </c>
      <c r="B37" s="217">
        <v>33</v>
      </c>
      <c r="C37" s="168" t="s">
        <v>1783</v>
      </c>
      <c r="D37" s="168" t="s">
        <v>1784</v>
      </c>
      <c r="E37" s="168" t="s">
        <v>624</v>
      </c>
      <c r="F37" s="98" t="s">
        <v>1427</v>
      </c>
      <c r="G37" s="168" t="s">
        <v>1484</v>
      </c>
      <c r="H37" s="179" t="s">
        <v>1952</v>
      </c>
      <c r="I37" s="179" t="s">
        <v>1953</v>
      </c>
      <c r="J37" s="179" t="s">
        <v>1954</v>
      </c>
      <c r="K37" s="179" t="s">
        <v>1955</v>
      </c>
      <c r="L37" s="180" t="s">
        <v>1956</v>
      </c>
      <c r="M37" s="181" t="s">
        <v>1957</v>
      </c>
    </row>
    <row r="38" spans="1:13" ht="32.15" x14ac:dyDescent="0.4">
      <c r="A38" s="167" t="s">
        <v>1958</v>
      </c>
      <c r="B38" s="217">
        <v>34</v>
      </c>
      <c r="C38" s="168" t="s">
        <v>1783</v>
      </c>
      <c r="D38" s="168" t="s">
        <v>1784</v>
      </c>
      <c r="E38" s="168" t="s">
        <v>624</v>
      </c>
      <c r="F38" s="98" t="s">
        <v>1427</v>
      </c>
      <c r="G38" s="168" t="s">
        <v>1484</v>
      </c>
      <c r="H38" s="179" t="s">
        <v>1959</v>
      </c>
      <c r="I38" s="179" t="s">
        <v>1960</v>
      </c>
      <c r="J38" s="179" t="s">
        <v>1961</v>
      </c>
      <c r="K38" s="179" t="s">
        <v>1962</v>
      </c>
      <c r="L38" s="180" t="s">
        <v>1963</v>
      </c>
      <c r="M38" s="181" t="s">
        <v>1964</v>
      </c>
    </row>
    <row r="39" spans="1:13" ht="21.45" x14ac:dyDescent="0.4">
      <c r="A39" s="98" t="s">
        <v>1485</v>
      </c>
      <c r="B39" s="217">
        <v>35</v>
      </c>
      <c r="C39" s="98" t="s">
        <v>1783</v>
      </c>
      <c r="D39" s="98" t="s">
        <v>1784</v>
      </c>
      <c r="E39" s="98" t="s">
        <v>624</v>
      </c>
      <c r="F39" s="98" t="s">
        <v>1427</v>
      </c>
      <c r="G39" s="98" t="s">
        <v>1430</v>
      </c>
      <c r="H39" s="99" t="s">
        <v>606</v>
      </c>
      <c r="I39" s="99" t="s">
        <v>1486</v>
      </c>
      <c r="J39" s="99" t="s">
        <v>1487</v>
      </c>
      <c r="K39" s="99" t="s">
        <v>1806</v>
      </c>
      <c r="L39" s="101" t="s">
        <v>1807</v>
      </c>
      <c r="M39" s="99" t="s">
        <v>1808</v>
      </c>
    </row>
    <row r="40" spans="1:13" ht="32.15" x14ac:dyDescent="0.4">
      <c r="A40" s="98" t="s">
        <v>1488</v>
      </c>
      <c r="B40" s="217">
        <v>36</v>
      </c>
      <c r="C40" s="98" t="s">
        <v>1783</v>
      </c>
      <c r="D40" s="98" t="s">
        <v>1784</v>
      </c>
      <c r="E40" s="98" t="s">
        <v>624</v>
      </c>
      <c r="F40" s="98" t="s">
        <v>1427</v>
      </c>
      <c r="G40" s="98" t="s">
        <v>1430</v>
      </c>
      <c r="H40" s="99" t="s">
        <v>1489</v>
      </c>
      <c r="I40" s="99" t="s">
        <v>1490</v>
      </c>
      <c r="J40" s="99" t="s">
        <v>1491</v>
      </c>
      <c r="K40" s="99" t="s">
        <v>1818</v>
      </c>
      <c r="L40" s="101" t="s">
        <v>1819</v>
      </c>
      <c r="M40" s="99" t="s">
        <v>1820</v>
      </c>
    </row>
    <row r="41" spans="1:13" ht="21.45" x14ac:dyDescent="0.4">
      <c r="A41" s="98" t="s">
        <v>1512</v>
      </c>
      <c r="B41" s="217">
        <v>37</v>
      </c>
      <c r="C41" s="98" t="s">
        <v>1783</v>
      </c>
      <c r="D41" s="98" t="s">
        <v>1784</v>
      </c>
      <c r="E41" s="98" t="s">
        <v>624</v>
      </c>
      <c r="F41" s="98" t="s">
        <v>1427</v>
      </c>
      <c r="G41" s="98" t="s">
        <v>1462</v>
      </c>
      <c r="H41" s="99" t="s">
        <v>603</v>
      </c>
      <c r="I41" s="99" t="s">
        <v>603</v>
      </c>
      <c r="J41" s="99" t="s">
        <v>1513</v>
      </c>
      <c r="K41" s="99" t="s">
        <v>2361</v>
      </c>
      <c r="L41" s="101" t="s">
        <v>1821</v>
      </c>
      <c r="M41" s="99" t="s">
        <v>1822</v>
      </c>
    </row>
    <row r="42" spans="1:13" x14ac:dyDescent="0.4">
      <c r="A42" s="98" t="s">
        <v>2728</v>
      </c>
      <c r="B42" s="217">
        <v>20</v>
      </c>
      <c r="C42" s="98" t="s">
        <v>1783</v>
      </c>
      <c r="D42" s="98" t="s">
        <v>1784</v>
      </c>
      <c r="E42" s="98" t="s">
        <v>624</v>
      </c>
      <c r="F42" s="98" t="s">
        <v>1441</v>
      </c>
      <c r="G42" s="98" t="s">
        <v>1504</v>
      </c>
      <c r="H42" s="99" t="s">
        <v>2732</v>
      </c>
      <c r="I42" s="191" t="s">
        <v>2733</v>
      </c>
      <c r="J42" s="191" t="s">
        <v>2734</v>
      </c>
      <c r="K42" s="99" t="s">
        <v>2729</v>
      </c>
      <c r="L42" s="191" t="s">
        <v>2730</v>
      </c>
      <c r="M42" s="191" t="s">
        <v>2731</v>
      </c>
    </row>
    <row r="43" spans="1:13" ht="21.45" x14ac:dyDescent="0.4">
      <c r="A43" s="98" t="s">
        <v>2293</v>
      </c>
      <c r="B43" s="217">
        <v>38</v>
      </c>
      <c r="C43" s="98" t="s">
        <v>1783</v>
      </c>
      <c r="D43" s="98" t="s">
        <v>1784</v>
      </c>
      <c r="E43" s="98" t="s">
        <v>624</v>
      </c>
      <c r="F43" s="98" t="s">
        <v>1427</v>
      </c>
      <c r="G43" s="98" t="s">
        <v>1484</v>
      </c>
      <c r="H43" s="99" t="s">
        <v>2362</v>
      </c>
      <c r="I43" s="99" t="s">
        <v>2358</v>
      </c>
      <c r="J43" s="99" t="s">
        <v>2357</v>
      </c>
      <c r="K43" s="99" t="s">
        <v>2735</v>
      </c>
      <c r="L43" s="101" t="s">
        <v>2736</v>
      </c>
      <c r="M43" s="99" t="s">
        <v>2737</v>
      </c>
    </row>
    <row r="44" spans="1:13" ht="21.45" x14ac:dyDescent="0.4">
      <c r="A44" s="98" t="s">
        <v>2738</v>
      </c>
      <c r="B44" s="217">
        <v>39</v>
      </c>
      <c r="C44" s="98" t="s">
        <v>1783</v>
      </c>
      <c r="D44" s="98" t="s">
        <v>1784</v>
      </c>
      <c r="E44" s="98" t="s">
        <v>624</v>
      </c>
      <c r="F44" s="98" t="s">
        <v>1427</v>
      </c>
      <c r="G44" s="98" t="s">
        <v>1430</v>
      </c>
      <c r="H44" s="302" t="s">
        <v>2726</v>
      </c>
      <c r="I44" s="191" t="s">
        <v>2725</v>
      </c>
      <c r="J44" s="191" t="s">
        <v>2727</v>
      </c>
      <c r="K44" s="99" t="s">
        <v>2739</v>
      </c>
      <c r="L44" s="276" t="s">
        <v>2740</v>
      </c>
      <c r="M44" s="191" t="s">
        <v>2741</v>
      </c>
    </row>
    <row r="45" spans="1:13" ht="21.45" x14ac:dyDescent="0.4">
      <c r="A45" s="98" t="s">
        <v>2759</v>
      </c>
      <c r="B45" s="217">
        <v>40</v>
      </c>
      <c r="C45" s="98" t="s">
        <v>1783</v>
      </c>
      <c r="D45" s="98" t="s">
        <v>1784</v>
      </c>
      <c r="E45" s="98" t="s">
        <v>624</v>
      </c>
      <c r="F45" s="98" t="s">
        <v>1427</v>
      </c>
      <c r="G45" s="98" t="s">
        <v>1430</v>
      </c>
      <c r="H45" s="302" t="s">
        <v>2769</v>
      </c>
      <c r="I45" s="191" t="s">
        <v>2770</v>
      </c>
      <c r="J45" s="191" t="s">
        <v>2771</v>
      </c>
      <c r="K45" s="99" t="s">
        <v>2772</v>
      </c>
      <c r="L45" s="276" t="s">
        <v>2773</v>
      </c>
      <c r="M45" s="191" t="s">
        <v>2774</v>
      </c>
    </row>
    <row r="46" spans="1:13" ht="21.45" x14ac:dyDescent="0.4">
      <c r="A46" s="98" t="s">
        <v>2057</v>
      </c>
      <c r="B46" s="217">
        <v>40</v>
      </c>
      <c r="C46" s="98" t="s">
        <v>1783</v>
      </c>
      <c r="D46" s="98" t="s">
        <v>1784</v>
      </c>
      <c r="E46" s="98" t="s">
        <v>624</v>
      </c>
      <c r="F46" s="98" t="s">
        <v>1427</v>
      </c>
      <c r="G46" s="98" t="s">
        <v>1484</v>
      </c>
      <c r="H46" s="99" t="s">
        <v>2334</v>
      </c>
      <c r="I46" s="99" t="s">
        <v>2335</v>
      </c>
      <c r="J46" s="99" t="s">
        <v>2336</v>
      </c>
      <c r="K46" s="99" t="s">
        <v>2337</v>
      </c>
      <c r="L46" s="99" t="s">
        <v>2364</v>
      </c>
      <c r="M46" s="99" t="s">
        <v>2365</v>
      </c>
    </row>
    <row r="47" spans="1:13" ht="21.45" x14ac:dyDescent="0.4">
      <c r="A47" s="98" t="s">
        <v>2744</v>
      </c>
      <c r="B47" s="217">
        <v>41</v>
      </c>
      <c r="C47" s="98" t="s">
        <v>1783</v>
      </c>
      <c r="D47" s="98" t="s">
        <v>1784</v>
      </c>
      <c r="E47" s="98" t="s">
        <v>624</v>
      </c>
      <c r="F47" s="98" t="s">
        <v>1427</v>
      </c>
      <c r="G47" s="98" t="s">
        <v>1484</v>
      </c>
      <c r="H47" s="99" t="s">
        <v>2746</v>
      </c>
      <c r="I47" s="99" t="s">
        <v>2746</v>
      </c>
      <c r="J47" s="99" t="s">
        <v>2746</v>
      </c>
      <c r="K47" s="99" t="s">
        <v>2750</v>
      </c>
      <c r="L47" s="191" t="s">
        <v>2748</v>
      </c>
      <c r="M47" s="191" t="s">
        <v>2749</v>
      </c>
    </row>
    <row r="48" spans="1:13" s="1" customFormat="1" x14ac:dyDescent="0.4">
      <c r="A48" s="98" t="s">
        <v>2689</v>
      </c>
      <c r="B48" s="217">
        <v>42</v>
      </c>
      <c r="C48" s="98" t="s">
        <v>1783</v>
      </c>
      <c r="D48" s="98" t="s">
        <v>1784</v>
      </c>
      <c r="E48" s="98" t="s">
        <v>624</v>
      </c>
      <c r="F48" s="98" t="s">
        <v>2082</v>
      </c>
      <c r="G48" s="98" t="s">
        <v>1397</v>
      </c>
      <c r="H48" s="99" t="s">
        <v>2690</v>
      </c>
      <c r="I48" s="99" t="s">
        <v>2691</v>
      </c>
      <c r="J48" s="100" t="s">
        <v>2692</v>
      </c>
      <c r="K48" s="99" t="s">
        <v>1397</v>
      </c>
      <c r="L48" s="101" t="s">
        <v>1397</v>
      </c>
      <c r="M48" s="99" t="s">
        <v>1397</v>
      </c>
    </row>
    <row r="49" spans="1:13" s="1" customFormat="1" ht="10.75" customHeight="1" x14ac:dyDescent="0.4">
      <c r="A49" s="98" t="s">
        <v>2693</v>
      </c>
      <c r="B49" s="217">
        <v>43</v>
      </c>
      <c r="C49" s="98" t="s">
        <v>1783</v>
      </c>
      <c r="D49" s="98" t="s">
        <v>1784</v>
      </c>
      <c r="E49" s="98" t="s">
        <v>624</v>
      </c>
      <c r="F49" s="98" t="s">
        <v>2082</v>
      </c>
      <c r="G49" s="98" t="s">
        <v>1397</v>
      </c>
      <c r="H49" s="99" t="s">
        <v>2694</v>
      </c>
      <c r="I49" s="99" t="s">
        <v>2695</v>
      </c>
      <c r="J49" s="100" t="s">
        <v>2696</v>
      </c>
      <c r="K49" s="99" t="s">
        <v>1397</v>
      </c>
      <c r="L49" s="101" t="s">
        <v>1397</v>
      </c>
      <c r="M49" s="99" t="s">
        <v>1397</v>
      </c>
    </row>
    <row r="50" spans="1:13" s="1" customFormat="1" x14ac:dyDescent="0.4">
      <c r="A50" s="98" t="s">
        <v>2697</v>
      </c>
      <c r="B50" s="217">
        <v>44</v>
      </c>
      <c r="C50" s="98" t="s">
        <v>1783</v>
      </c>
      <c r="D50" s="98" t="s">
        <v>1784</v>
      </c>
      <c r="E50" s="98" t="s">
        <v>624</v>
      </c>
      <c r="F50" s="98" t="s">
        <v>2082</v>
      </c>
      <c r="G50" s="98" t="s">
        <v>1397</v>
      </c>
      <c r="H50" s="99" t="s">
        <v>2698</v>
      </c>
      <c r="I50" s="99" t="s">
        <v>2699</v>
      </c>
      <c r="J50" s="100" t="s">
        <v>2700</v>
      </c>
      <c r="K50" s="99" t="s">
        <v>1397</v>
      </c>
      <c r="L50" s="101" t="s">
        <v>1397</v>
      </c>
      <c r="M50" s="99" t="s">
        <v>1397</v>
      </c>
    </row>
    <row r="51" spans="1:13" s="1" customFormat="1" x14ac:dyDescent="0.4">
      <c r="A51" s="98" t="s">
        <v>2701</v>
      </c>
      <c r="B51" s="217">
        <v>45</v>
      </c>
      <c r="C51" s="98" t="s">
        <v>2043</v>
      </c>
      <c r="D51" s="98" t="s">
        <v>1784</v>
      </c>
      <c r="E51" s="98" t="s">
        <v>624</v>
      </c>
      <c r="F51" s="98" t="s">
        <v>2082</v>
      </c>
      <c r="G51" s="98" t="s">
        <v>1397</v>
      </c>
      <c r="H51" s="99" t="s">
        <v>2702</v>
      </c>
      <c r="I51" s="99" t="s">
        <v>2703</v>
      </c>
      <c r="J51" s="100" t="s">
        <v>2704</v>
      </c>
      <c r="K51" s="99" t="s">
        <v>1397</v>
      </c>
      <c r="L51" s="101" t="s">
        <v>1397</v>
      </c>
      <c r="M51" s="99" t="s">
        <v>1397</v>
      </c>
    </row>
    <row r="52" spans="1:13" s="1" customFormat="1" x14ac:dyDescent="0.4">
      <c r="A52" s="98" t="s">
        <v>2705</v>
      </c>
      <c r="B52" s="217">
        <v>45</v>
      </c>
      <c r="C52" s="98" t="s">
        <v>2043</v>
      </c>
      <c r="D52" s="98" t="s">
        <v>1784</v>
      </c>
      <c r="E52" s="98" t="s">
        <v>624</v>
      </c>
      <c r="F52" s="98" t="s">
        <v>2082</v>
      </c>
      <c r="G52" s="98" t="s">
        <v>1397</v>
      </c>
      <c r="H52" s="99" t="s">
        <v>2719</v>
      </c>
      <c r="I52" s="99" t="s">
        <v>2720</v>
      </c>
      <c r="J52" s="100" t="s">
        <v>2721</v>
      </c>
      <c r="K52" s="99" t="s">
        <v>1397</v>
      </c>
      <c r="L52" s="101" t="s">
        <v>1397</v>
      </c>
      <c r="M52" s="99" t="s">
        <v>1397</v>
      </c>
    </row>
    <row r="53" spans="1:13" hidden="1" x14ac:dyDescent="0.4">
      <c r="A53" s="98" t="s">
        <v>2049</v>
      </c>
      <c r="B53" s="217">
        <v>46</v>
      </c>
      <c r="C53" s="98" t="s">
        <v>1783</v>
      </c>
      <c r="D53" s="98" t="s">
        <v>2063</v>
      </c>
      <c r="E53" s="98" t="s">
        <v>624</v>
      </c>
      <c r="F53" s="98" t="s">
        <v>2149</v>
      </c>
      <c r="G53" s="98" t="s">
        <v>1397</v>
      </c>
      <c r="H53" s="99" t="s">
        <v>1863</v>
      </c>
      <c r="I53" s="99" t="s">
        <v>1864</v>
      </c>
      <c r="J53" s="99" t="s">
        <v>1865</v>
      </c>
      <c r="K53" s="99" t="s">
        <v>1397</v>
      </c>
      <c r="L53" s="101" t="s">
        <v>1397</v>
      </c>
      <c r="M53" s="99" t="s">
        <v>1397</v>
      </c>
    </row>
    <row r="54" spans="1:13" hidden="1" x14ac:dyDescent="0.4">
      <c r="A54" s="98" t="s">
        <v>2050</v>
      </c>
      <c r="B54" s="217">
        <v>47</v>
      </c>
      <c r="C54" s="98" t="s">
        <v>1783</v>
      </c>
      <c r="D54" s="98" t="s">
        <v>2055</v>
      </c>
      <c r="E54" s="98" t="s">
        <v>624</v>
      </c>
      <c r="F54" s="98" t="s">
        <v>2149</v>
      </c>
      <c r="G54" s="98" t="s">
        <v>1397</v>
      </c>
      <c r="H54" s="99" t="s">
        <v>1866</v>
      </c>
      <c r="I54" s="99" t="s">
        <v>1867</v>
      </c>
      <c r="J54" s="99" t="s">
        <v>1868</v>
      </c>
      <c r="K54" s="99" t="s">
        <v>1397</v>
      </c>
      <c r="L54" s="101" t="s">
        <v>1397</v>
      </c>
      <c r="M54" s="99" t="s">
        <v>1397</v>
      </c>
    </row>
    <row r="55" spans="1:13" hidden="1" x14ac:dyDescent="0.4">
      <c r="A55" s="98" t="s">
        <v>2051</v>
      </c>
      <c r="B55" s="217">
        <v>48</v>
      </c>
      <c r="C55" s="98" t="s">
        <v>1783</v>
      </c>
      <c r="D55" s="98" t="s">
        <v>2064</v>
      </c>
      <c r="E55" s="98" t="s">
        <v>624</v>
      </c>
      <c r="F55" s="98" t="s">
        <v>2149</v>
      </c>
      <c r="G55" s="98" t="s">
        <v>1397</v>
      </c>
      <c r="H55" s="99" t="s">
        <v>2021</v>
      </c>
      <c r="I55" s="99" t="s">
        <v>2022</v>
      </c>
      <c r="J55" s="99" t="s">
        <v>2023</v>
      </c>
      <c r="K55" s="99" t="s">
        <v>1397</v>
      </c>
      <c r="L55" s="101" t="s">
        <v>1397</v>
      </c>
      <c r="M55" s="99" t="s">
        <v>1397</v>
      </c>
    </row>
    <row r="56" spans="1:13" hidden="1" x14ac:dyDescent="0.4">
      <c r="A56" s="98" t="s">
        <v>1514</v>
      </c>
      <c r="B56" s="217">
        <v>56</v>
      </c>
      <c r="C56" s="98" t="s">
        <v>1783</v>
      </c>
      <c r="D56" s="98" t="s">
        <v>1784</v>
      </c>
      <c r="E56" s="98" t="s">
        <v>625</v>
      </c>
      <c r="F56" s="98" t="s">
        <v>1415</v>
      </c>
      <c r="G56" s="98" t="s">
        <v>1397</v>
      </c>
      <c r="H56" s="99" t="s">
        <v>625</v>
      </c>
      <c r="I56" s="99" t="s">
        <v>1515</v>
      </c>
      <c r="J56" s="99" t="s">
        <v>1516</v>
      </c>
      <c r="K56" s="99" t="s">
        <v>1397</v>
      </c>
      <c r="L56" s="101" t="s">
        <v>1397</v>
      </c>
      <c r="M56" s="99" t="s">
        <v>1397</v>
      </c>
    </row>
    <row r="57" spans="1:13" hidden="1" x14ac:dyDescent="0.4">
      <c r="A57" s="98" t="s">
        <v>1517</v>
      </c>
      <c r="B57" s="217">
        <v>57</v>
      </c>
      <c r="C57" s="98" t="s">
        <v>1783</v>
      </c>
      <c r="D57" s="98" t="s">
        <v>1784</v>
      </c>
      <c r="E57" s="98" t="s">
        <v>625</v>
      </c>
      <c r="F57" s="98" t="s">
        <v>1425</v>
      </c>
      <c r="G57" s="98" t="s">
        <v>1397</v>
      </c>
      <c r="H57" s="99" t="s">
        <v>2065</v>
      </c>
      <c r="I57" s="99" t="s">
        <v>2461</v>
      </c>
      <c r="J57" s="99" t="s">
        <v>2462</v>
      </c>
      <c r="K57" s="99" t="s">
        <v>1397</v>
      </c>
      <c r="L57" s="99" t="s">
        <v>1397</v>
      </c>
      <c r="M57" s="99" t="s">
        <v>1397</v>
      </c>
    </row>
    <row r="58" spans="1:13" hidden="1" x14ac:dyDescent="0.4">
      <c r="A58" s="98" t="s">
        <v>2024</v>
      </c>
      <c r="B58" s="217">
        <v>58</v>
      </c>
      <c r="C58" s="98" t="s">
        <v>1783</v>
      </c>
      <c r="D58" s="98" t="s">
        <v>1784</v>
      </c>
      <c r="E58" s="98" t="s">
        <v>625</v>
      </c>
      <c r="F58" s="98" t="s">
        <v>1441</v>
      </c>
      <c r="G58" s="98" t="s">
        <v>1397</v>
      </c>
      <c r="H58" s="99" t="s">
        <v>2068</v>
      </c>
      <c r="I58" s="99" t="s">
        <v>2069</v>
      </c>
      <c r="J58" s="99" t="s">
        <v>2070</v>
      </c>
      <c r="K58" s="99" t="s">
        <v>1397</v>
      </c>
      <c r="L58" s="99" t="s">
        <v>1397</v>
      </c>
      <c r="M58" s="99" t="s">
        <v>1397</v>
      </c>
    </row>
    <row r="59" spans="1:13" hidden="1" x14ac:dyDescent="0.4">
      <c r="A59" s="98" t="s">
        <v>2025</v>
      </c>
      <c r="B59" s="217">
        <v>59</v>
      </c>
      <c r="C59" s="98" t="s">
        <v>1783</v>
      </c>
      <c r="D59" s="98" t="s">
        <v>1784</v>
      </c>
      <c r="E59" s="98" t="s">
        <v>625</v>
      </c>
      <c r="F59" s="98" t="s">
        <v>1425</v>
      </c>
      <c r="G59" s="98" t="s">
        <v>1397</v>
      </c>
      <c r="H59" s="99" t="s">
        <v>1777</v>
      </c>
      <c r="I59" s="99" t="s">
        <v>2278</v>
      </c>
      <c r="J59" s="99" t="s">
        <v>2279</v>
      </c>
      <c r="K59" s="99" t="s">
        <v>1397</v>
      </c>
      <c r="L59" s="101" t="s">
        <v>1397</v>
      </c>
      <c r="M59" s="99" t="s">
        <v>1397</v>
      </c>
    </row>
    <row r="60" spans="1:13" hidden="1" x14ac:dyDescent="0.4">
      <c r="A60" s="98" t="s">
        <v>1518</v>
      </c>
      <c r="B60" s="217">
        <v>60</v>
      </c>
      <c r="C60" s="98" t="s">
        <v>1783</v>
      </c>
      <c r="D60" s="98" t="s">
        <v>1784</v>
      </c>
      <c r="E60" s="98" t="s">
        <v>625</v>
      </c>
      <c r="F60" s="98" t="s">
        <v>1425</v>
      </c>
      <c r="G60" s="98" t="s">
        <v>1397</v>
      </c>
      <c r="H60" s="99" t="s">
        <v>2258</v>
      </c>
      <c r="I60" s="99" t="s">
        <v>2260</v>
      </c>
      <c r="J60" s="99" t="s">
        <v>2262</v>
      </c>
      <c r="K60" s="99" t="s">
        <v>1397</v>
      </c>
      <c r="L60" s="101" t="s">
        <v>1397</v>
      </c>
      <c r="M60" s="99" t="s">
        <v>1397</v>
      </c>
    </row>
    <row r="61" spans="1:13" hidden="1" x14ac:dyDescent="0.4">
      <c r="A61" s="98" t="s">
        <v>2026</v>
      </c>
      <c r="B61" s="217">
        <v>61</v>
      </c>
      <c r="C61" s="98" t="s">
        <v>1783</v>
      </c>
      <c r="D61" s="98" t="s">
        <v>1784</v>
      </c>
      <c r="E61" s="98" t="s">
        <v>625</v>
      </c>
      <c r="F61" s="98" t="s">
        <v>1425</v>
      </c>
      <c r="G61" s="98" t="s">
        <v>1397</v>
      </c>
      <c r="H61" s="99" t="s">
        <v>2071</v>
      </c>
      <c r="I61" s="99" t="s">
        <v>2072</v>
      </c>
      <c r="J61" s="99" t="s">
        <v>2073</v>
      </c>
      <c r="K61" s="99" t="s">
        <v>1397</v>
      </c>
      <c r="L61" s="101" t="s">
        <v>1397</v>
      </c>
      <c r="M61" s="99" t="s">
        <v>1397</v>
      </c>
    </row>
    <row r="62" spans="1:13" hidden="1" x14ac:dyDescent="0.4">
      <c r="A62" s="98" t="s">
        <v>1855</v>
      </c>
      <c r="B62" s="217">
        <v>62</v>
      </c>
      <c r="C62" s="98" t="s">
        <v>1783</v>
      </c>
      <c r="D62" s="98" t="s">
        <v>1784</v>
      </c>
      <c r="E62" s="98" t="s">
        <v>625</v>
      </c>
      <c r="F62" s="98" t="s">
        <v>1425</v>
      </c>
      <c r="G62" s="98" t="s">
        <v>1397</v>
      </c>
      <c r="H62" s="99" t="s">
        <v>2259</v>
      </c>
      <c r="I62" s="99" t="s">
        <v>2261</v>
      </c>
      <c r="J62" s="99" t="s">
        <v>2263</v>
      </c>
      <c r="K62" s="99" t="s">
        <v>1397</v>
      </c>
      <c r="L62" s="101" t="s">
        <v>1397</v>
      </c>
      <c r="M62" s="99" t="s">
        <v>1397</v>
      </c>
    </row>
    <row r="63" spans="1:13" hidden="1" x14ac:dyDescent="0.4">
      <c r="A63" s="98" t="s">
        <v>2027</v>
      </c>
      <c r="B63" s="217">
        <v>63</v>
      </c>
      <c r="C63" s="98" t="s">
        <v>1783</v>
      </c>
      <c r="D63" s="98" t="s">
        <v>1784</v>
      </c>
      <c r="E63" s="98" t="s">
        <v>625</v>
      </c>
      <c r="F63" s="98" t="s">
        <v>1425</v>
      </c>
      <c r="G63" s="98" t="s">
        <v>1397</v>
      </c>
      <c r="H63" s="99" t="s">
        <v>2297</v>
      </c>
      <c r="I63" s="99" t="s">
        <v>2299</v>
      </c>
      <c r="J63" s="99" t="s">
        <v>2298</v>
      </c>
      <c r="K63" s="99" t="s">
        <v>1397</v>
      </c>
      <c r="L63" s="101" t="s">
        <v>1397</v>
      </c>
      <c r="M63" s="99" t="s">
        <v>1397</v>
      </c>
    </row>
    <row r="64" spans="1:13" s="93" customFormat="1" ht="67.2" hidden="1" customHeight="1" x14ac:dyDescent="0.4">
      <c r="A64" s="98" t="s">
        <v>1860</v>
      </c>
      <c r="B64" s="217">
        <v>64</v>
      </c>
      <c r="C64" s="98" t="s">
        <v>1783</v>
      </c>
      <c r="D64" s="98" t="s">
        <v>1784</v>
      </c>
      <c r="E64" s="98" t="s">
        <v>625</v>
      </c>
      <c r="F64" s="98" t="s">
        <v>1425</v>
      </c>
      <c r="G64" s="98" t="s">
        <v>1397</v>
      </c>
      <c r="H64" s="99" t="s">
        <v>2264</v>
      </c>
      <c r="I64" s="99" t="s">
        <v>2265</v>
      </c>
      <c r="J64" s="99" t="s">
        <v>2266</v>
      </c>
      <c r="K64" s="99" t="s">
        <v>1397</v>
      </c>
      <c r="L64" s="101" t="s">
        <v>1397</v>
      </c>
      <c r="M64" s="99" t="s">
        <v>1397</v>
      </c>
    </row>
    <row r="65" spans="1:13" hidden="1" x14ac:dyDescent="0.4">
      <c r="A65" s="98" t="s">
        <v>1861</v>
      </c>
      <c r="B65" s="217">
        <v>65</v>
      </c>
      <c r="C65" s="98" t="s">
        <v>1783</v>
      </c>
      <c r="D65" s="98" t="s">
        <v>1784</v>
      </c>
      <c r="E65" s="98" t="s">
        <v>625</v>
      </c>
      <c r="F65" s="98" t="s">
        <v>1425</v>
      </c>
      <c r="G65" s="98" t="s">
        <v>1397</v>
      </c>
      <c r="H65" s="99" t="s">
        <v>2079</v>
      </c>
      <c r="I65" s="99" t="s">
        <v>2080</v>
      </c>
      <c r="J65" s="99" t="s">
        <v>2081</v>
      </c>
      <c r="K65" s="99" t="s">
        <v>1397</v>
      </c>
      <c r="L65" s="101" t="s">
        <v>1397</v>
      </c>
      <c r="M65" s="99" t="s">
        <v>1397</v>
      </c>
    </row>
    <row r="66" spans="1:13" hidden="1" x14ac:dyDescent="0.4">
      <c r="A66" s="98" t="s">
        <v>1862</v>
      </c>
      <c r="B66" s="217">
        <v>66</v>
      </c>
      <c r="C66" s="98" t="s">
        <v>1783</v>
      </c>
      <c r="D66" s="98" t="s">
        <v>1784</v>
      </c>
      <c r="E66" s="98" t="s">
        <v>625</v>
      </c>
      <c r="F66" s="98" t="s">
        <v>1425</v>
      </c>
      <c r="G66" s="98" t="s">
        <v>1397</v>
      </c>
      <c r="H66" s="99" t="s">
        <v>2076</v>
      </c>
      <c r="I66" s="99" t="s">
        <v>2077</v>
      </c>
      <c r="J66" s="99" t="s">
        <v>2078</v>
      </c>
      <c r="K66" s="99" t="s">
        <v>1397</v>
      </c>
      <c r="L66" s="101" t="s">
        <v>1397</v>
      </c>
      <c r="M66" s="99" t="s">
        <v>1397</v>
      </c>
    </row>
    <row r="67" spans="1:13" s="1" customFormat="1" ht="75" hidden="1" x14ac:dyDescent="0.4">
      <c r="A67" s="98" t="s">
        <v>2159</v>
      </c>
      <c r="B67" s="217">
        <v>67</v>
      </c>
      <c r="C67" s="98" t="s">
        <v>1783</v>
      </c>
      <c r="D67" s="98" t="s">
        <v>1784</v>
      </c>
      <c r="E67" s="98" t="s">
        <v>625</v>
      </c>
      <c r="F67" s="98" t="s">
        <v>1427</v>
      </c>
      <c r="G67" s="98" t="s">
        <v>1484</v>
      </c>
      <c r="H67" s="99" t="s">
        <v>2066</v>
      </c>
      <c r="I67" s="99" t="s">
        <v>2067</v>
      </c>
      <c r="J67" s="99" t="s">
        <v>2463</v>
      </c>
      <c r="K67" s="99" t="s">
        <v>2367</v>
      </c>
      <c r="L67" s="101" t="s">
        <v>2368</v>
      </c>
      <c r="M67" s="99" t="s">
        <v>2369</v>
      </c>
    </row>
    <row r="68" spans="1:13" s="1" customFormat="1" ht="21.45" hidden="1" x14ac:dyDescent="0.4">
      <c r="A68" s="98" t="s">
        <v>1519</v>
      </c>
      <c r="B68" s="217">
        <v>68</v>
      </c>
      <c r="C68" s="98" t="s">
        <v>1783</v>
      </c>
      <c r="D68" s="98" t="s">
        <v>1784</v>
      </c>
      <c r="E68" s="98" t="s">
        <v>625</v>
      </c>
      <c r="F68" s="98" t="s">
        <v>1427</v>
      </c>
      <c r="G68" s="98" t="s">
        <v>1430</v>
      </c>
      <c r="H68" s="99" t="s">
        <v>1520</v>
      </c>
      <c r="I68" s="99" t="s">
        <v>1521</v>
      </c>
      <c r="J68" s="99" t="s">
        <v>1522</v>
      </c>
      <c r="K68" s="99" t="s">
        <v>2370</v>
      </c>
      <c r="L68" s="101" t="s">
        <v>1823</v>
      </c>
      <c r="M68" s="99" t="s">
        <v>2371</v>
      </c>
    </row>
    <row r="69" spans="1:13" s="1" customFormat="1" ht="53.6" hidden="1" x14ac:dyDescent="0.4">
      <c r="A69" s="295" t="s">
        <v>2752</v>
      </c>
      <c r="B69" s="217">
        <v>69</v>
      </c>
      <c r="C69" s="168" t="s">
        <v>1783</v>
      </c>
      <c r="D69" s="168" t="s">
        <v>1784</v>
      </c>
      <c r="E69" s="168" t="s">
        <v>625</v>
      </c>
      <c r="F69" s="98" t="s">
        <v>1427</v>
      </c>
      <c r="G69" s="168" t="s">
        <v>1462</v>
      </c>
      <c r="H69" s="296" t="s">
        <v>2753</v>
      </c>
      <c r="I69" s="297" t="s">
        <v>2754</v>
      </c>
      <c r="J69" s="297" t="s">
        <v>2755</v>
      </c>
      <c r="K69" s="298" t="s">
        <v>2756</v>
      </c>
      <c r="L69" s="297" t="s">
        <v>2757</v>
      </c>
      <c r="M69" s="299" t="s">
        <v>2758</v>
      </c>
    </row>
    <row r="70" spans="1:13" s="1" customFormat="1" hidden="1" x14ac:dyDescent="0.4">
      <c r="A70" s="217" t="s">
        <v>2075</v>
      </c>
      <c r="B70" s="217">
        <v>70</v>
      </c>
      <c r="C70" s="98" t="s">
        <v>1783</v>
      </c>
      <c r="D70" s="98" t="s">
        <v>1784</v>
      </c>
      <c r="E70" s="98" t="s">
        <v>625</v>
      </c>
      <c r="F70" s="98" t="s">
        <v>1427</v>
      </c>
      <c r="G70" s="98" t="s">
        <v>1430</v>
      </c>
      <c r="H70" s="99" t="s">
        <v>2464</v>
      </c>
      <c r="I70" s="99" t="s">
        <v>2465</v>
      </c>
      <c r="J70" s="99" t="s">
        <v>2466</v>
      </c>
      <c r="K70" s="99" t="s">
        <v>2341</v>
      </c>
      <c r="L70" s="101" t="s">
        <v>2342</v>
      </c>
      <c r="M70" s="99" t="s">
        <v>2372</v>
      </c>
    </row>
    <row r="71" spans="1:13" ht="21.45" hidden="1" x14ac:dyDescent="0.4">
      <c r="A71" s="98" t="s">
        <v>2048</v>
      </c>
      <c r="B71" s="217">
        <v>71</v>
      </c>
      <c r="C71" s="98" t="s">
        <v>1783</v>
      </c>
      <c r="D71" s="98" t="s">
        <v>1784</v>
      </c>
      <c r="E71" s="98" t="s">
        <v>625</v>
      </c>
      <c r="F71" s="98" t="s">
        <v>1427</v>
      </c>
      <c r="G71" s="98" t="s">
        <v>1484</v>
      </c>
      <c r="H71" s="99" t="s">
        <v>1889</v>
      </c>
      <c r="I71" s="99" t="s">
        <v>1890</v>
      </c>
      <c r="J71" s="99" t="s">
        <v>1891</v>
      </c>
      <c r="K71" s="99" t="s">
        <v>1894</v>
      </c>
      <c r="L71" s="99" t="s">
        <v>2373</v>
      </c>
      <c r="M71" s="99" t="s">
        <v>2374</v>
      </c>
    </row>
    <row r="72" spans="1:13" s="1" customFormat="1" ht="21.45" hidden="1" x14ac:dyDescent="0.4">
      <c r="A72" s="98" t="s">
        <v>614</v>
      </c>
      <c r="B72" s="217">
        <v>72</v>
      </c>
      <c r="C72" s="98" t="s">
        <v>1783</v>
      </c>
      <c r="D72" s="98" t="s">
        <v>1784</v>
      </c>
      <c r="E72" s="98" t="s">
        <v>625</v>
      </c>
      <c r="F72" s="98" t="s">
        <v>1427</v>
      </c>
      <c r="G72" s="98" t="s">
        <v>1430</v>
      </c>
      <c r="H72" s="99" t="s">
        <v>1883</v>
      </c>
      <c r="I72" s="99" t="s">
        <v>1884</v>
      </c>
      <c r="J72" s="99" t="s">
        <v>1885</v>
      </c>
      <c r="K72" s="99" t="s">
        <v>1886</v>
      </c>
      <c r="L72" s="101" t="s">
        <v>2375</v>
      </c>
      <c r="M72" s="99" t="s">
        <v>2376</v>
      </c>
    </row>
    <row r="73" spans="1:13" s="1" customFormat="1" ht="21.45" hidden="1" x14ac:dyDescent="0.4">
      <c r="A73" s="98" t="s">
        <v>1933</v>
      </c>
      <c r="B73" s="217">
        <v>73</v>
      </c>
      <c r="C73" s="98" t="s">
        <v>1783</v>
      </c>
      <c r="D73" s="98" t="s">
        <v>1784</v>
      </c>
      <c r="E73" s="98" t="s">
        <v>625</v>
      </c>
      <c r="F73" s="98" t="s">
        <v>1427</v>
      </c>
      <c r="G73" s="98" t="s">
        <v>1430</v>
      </c>
      <c r="H73" s="99" t="s">
        <v>2237</v>
      </c>
      <c r="I73" s="99" t="s">
        <v>2238</v>
      </c>
      <c r="J73" s="99" t="s">
        <v>2239</v>
      </c>
      <c r="K73" s="99" t="s">
        <v>2377</v>
      </c>
      <c r="L73" s="99" t="s">
        <v>2355</v>
      </c>
      <c r="M73" s="99" t="s">
        <v>2378</v>
      </c>
    </row>
    <row r="74" spans="1:13" s="1" customFormat="1" ht="21.45" hidden="1" x14ac:dyDescent="0.4">
      <c r="A74" s="98" t="s">
        <v>2052</v>
      </c>
      <c r="B74" s="217">
        <v>74</v>
      </c>
      <c r="C74" s="98" t="s">
        <v>1783</v>
      </c>
      <c r="D74" s="98" t="s">
        <v>1784</v>
      </c>
      <c r="E74" s="98" t="s">
        <v>625</v>
      </c>
      <c r="F74" s="98" t="s">
        <v>1427</v>
      </c>
      <c r="G74" s="98" t="s">
        <v>1898</v>
      </c>
      <c r="H74" s="99" t="s">
        <v>2273</v>
      </c>
      <c r="I74" s="99" t="s">
        <v>2274</v>
      </c>
      <c r="J74" s="99" t="s">
        <v>2274</v>
      </c>
      <c r="K74" s="99" t="s">
        <v>2339</v>
      </c>
      <c r="L74" s="99" t="s">
        <v>2379</v>
      </c>
      <c r="M74" s="99" t="s">
        <v>2380</v>
      </c>
    </row>
    <row r="75" spans="1:13" s="1" customFormat="1" ht="21.45" hidden="1" x14ac:dyDescent="0.4">
      <c r="A75" s="98" t="s">
        <v>2053</v>
      </c>
      <c r="B75" s="217">
        <v>75</v>
      </c>
      <c r="C75" s="98" t="s">
        <v>1783</v>
      </c>
      <c r="D75" s="98" t="s">
        <v>1784</v>
      </c>
      <c r="E75" s="98" t="s">
        <v>625</v>
      </c>
      <c r="F75" s="98" t="s">
        <v>1427</v>
      </c>
      <c r="G75" s="98" t="s">
        <v>1898</v>
      </c>
      <c r="H75" s="99" t="s">
        <v>2275</v>
      </c>
      <c r="I75" s="99" t="s">
        <v>2276</v>
      </c>
      <c r="J75" s="99" t="s">
        <v>2276</v>
      </c>
      <c r="K75" s="99" t="s">
        <v>2340</v>
      </c>
      <c r="L75" s="99" t="s">
        <v>2381</v>
      </c>
      <c r="M75" s="99" t="s">
        <v>2382</v>
      </c>
    </row>
    <row r="76" spans="1:13" hidden="1" x14ac:dyDescent="0.4">
      <c r="A76" s="98" t="s">
        <v>1523</v>
      </c>
      <c r="B76" s="217">
        <v>76</v>
      </c>
      <c r="C76" s="98" t="s">
        <v>1783</v>
      </c>
      <c r="D76" s="98" t="s">
        <v>1784</v>
      </c>
      <c r="E76" s="98" t="s">
        <v>625</v>
      </c>
      <c r="F76" s="98" t="s">
        <v>1427</v>
      </c>
      <c r="G76" s="98" t="s">
        <v>1430</v>
      </c>
      <c r="H76" s="99" t="s">
        <v>1824</v>
      </c>
      <c r="I76" s="99" t="s">
        <v>1825</v>
      </c>
      <c r="J76" s="99" t="s">
        <v>1826</v>
      </c>
      <c r="K76" s="99" t="s">
        <v>2343</v>
      </c>
      <c r="L76" s="101" t="s">
        <v>2363</v>
      </c>
      <c r="M76" s="99" t="s">
        <v>2333</v>
      </c>
    </row>
    <row r="77" spans="1:13" ht="32.15" hidden="1" x14ac:dyDescent="0.4">
      <c r="A77" s="98" t="s">
        <v>613</v>
      </c>
      <c r="B77" s="217">
        <v>77</v>
      </c>
      <c r="C77" s="98" t="s">
        <v>1783</v>
      </c>
      <c r="D77" s="98" t="s">
        <v>1784</v>
      </c>
      <c r="E77" s="98" t="s">
        <v>625</v>
      </c>
      <c r="F77" s="98" t="s">
        <v>1427</v>
      </c>
      <c r="G77" s="98" t="s">
        <v>1775</v>
      </c>
      <c r="H77" s="99" t="s">
        <v>2240</v>
      </c>
      <c r="I77" s="99" t="s">
        <v>2241</v>
      </c>
      <c r="J77" s="99" t="s">
        <v>1854</v>
      </c>
      <c r="K77" s="99" t="s">
        <v>2383</v>
      </c>
      <c r="L77" s="101" t="s">
        <v>2384</v>
      </c>
      <c r="M77" s="99" t="s">
        <v>2385</v>
      </c>
    </row>
    <row r="78" spans="1:13" ht="21.45" hidden="1" x14ac:dyDescent="0.4">
      <c r="A78" s="98" t="s">
        <v>2054</v>
      </c>
      <c r="B78" s="217">
        <v>78</v>
      </c>
      <c r="C78" s="98" t="s">
        <v>1783</v>
      </c>
      <c r="D78" s="98" t="s">
        <v>1784</v>
      </c>
      <c r="E78" s="98" t="s">
        <v>625</v>
      </c>
      <c r="F78" s="98" t="s">
        <v>1427</v>
      </c>
      <c r="G78" s="98" t="s">
        <v>1484</v>
      </c>
      <c r="H78" s="99" t="s">
        <v>2345</v>
      </c>
      <c r="I78" s="99" t="s">
        <v>2344</v>
      </c>
      <c r="J78" s="99" t="s">
        <v>2386</v>
      </c>
      <c r="K78" s="99" t="s">
        <v>2346</v>
      </c>
      <c r="L78" s="101" t="s">
        <v>2387</v>
      </c>
      <c r="M78" s="99" t="s">
        <v>2388</v>
      </c>
    </row>
    <row r="79" spans="1:13" hidden="1" x14ac:dyDescent="0.4">
      <c r="A79" s="98" t="s">
        <v>2291</v>
      </c>
      <c r="B79" s="217">
        <v>79</v>
      </c>
      <c r="C79" s="98" t="s">
        <v>1783</v>
      </c>
      <c r="D79" s="98" t="s">
        <v>1784</v>
      </c>
      <c r="E79" s="98" t="s">
        <v>625</v>
      </c>
      <c r="F79" s="98" t="s">
        <v>1427</v>
      </c>
      <c r="G79" s="98" t="s">
        <v>1430</v>
      </c>
      <c r="H79" s="99" t="s">
        <v>2148</v>
      </c>
      <c r="I79" s="99" t="s">
        <v>2231</v>
      </c>
      <c r="J79" s="99" t="s">
        <v>2232</v>
      </c>
      <c r="K79" s="99" t="s">
        <v>2277</v>
      </c>
      <c r="L79" s="101" t="s">
        <v>2300</v>
      </c>
      <c r="M79" s="99" t="s">
        <v>2302</v>
      </c>
    </row>
    <row r="80" spans="1:13" ht="42.9" hidden="1" x14ac:dyDescent="0.4">
      <c r="A80" s="98" t="s">
        <v>1827</v>
      </c>
      <c r="B80" s="217">
        <v>80</v>
      </c>
      <c r="C80" s="98" t="s">
        <v>1783</v>
      </c>
      <c r="D80" s="98" t="s">
        <v>1784</v>
      </c>
      <c r="E80" s="98" t="s">
        <v>625</v>
      </c>
      <c r="F80" s="98" t="s">
        <v>1427</v>
      </c>
      <c r="G80" s="98" t="s">
        <v>1430</v>
      </c>
      <c r="H80" s="99" t="s">
        <v>2089</v>
      </c>
      <c r="I80" s="99" t="s">
        <v>2272</v>
      </c>
      <c r="J80" s="99" t="s">
        <v>2271</v>
      </c>
      <c r="K80" s="99" t="s">
        <v>2389</v>
      </c>
      <c r="L80" s="101" t="s">
        <v>2390</v>
      </c>
      <c r="M80" s="99" t="s">
        <v>2391</v>
      </c>
    </row>
    <row r="81" spans="1:13" hidden="1" x14ac:dyDescent="0.4">
      <c r="A81" s="98" t="s">
        <v>2074</v>
      </c>
      <c r="B81" s="217">
        <v>81</v>
      </c>
      <c r="C81" s="98" t="s">
        <v>1783</v>
      </c>
      <c r="D81" s="98" t="s">
        <v>1784</v>
      </c>
      <c r="E81" s="98" t="s">
        <v>625</v>
      </c>
      <c r="F81" s="98" t="s">
        <v>1427</v>
      </c>
      <c r="G81" s="98" t="s">
        <v>1430</v>
      </c>
      <c r="H81" s="99" t="s">
        <v>2176</v>
      </c>
      <c r="I81" s="99" t="s">
        <v>2176</v>
      </c>
      <c r="J81" s="99" t="s">
        <v>2392</v>
      </c>
      <c r="K81" s="99" t="s">
        <v>1895</v>
      </c>
      <c r="L81" s="101" t="s">
        <v>1897</v>
      </c>
      <c r="M81" s="99" t="s">
        <v>1896</v>
      </c>
    </row>
    <row r="82" spans="1:13" s="195" customFormat="1" ht="21.45" hidden="1" x14ac:dyDescent="0.4">
      <c r="A82" s="98" t="s">
        <v>2092</v>
      </c>
      <c r="B82" s="217">
        <v>82</v>
      </c>
      <c r="C82" s="98" t="s">
        <v>1783</v>
      </c>
      <c r="D82" s="98" t="s">
        <v>1784</v>
      </c>
      <c r="E82" s="98" t="s">
        <v>625</v>
      </c>
      <c r="F82" s="98" t="s">
        <v>1427</v>
      </c>
      <c r="G82" s="98" t="s">
        <v>1484</v>
      </c>
      <c r="H82" s="99" t="s">
        <v>2094</v>
      </c>
      <c r="I82" s="99" t="s">
        <v>2095</v>
      </c>
      <c r="J82" s="99" t="s">
        <v>2096</v>
      </c>
      <c r="K82" s="99" t="s">
        <v>2348</v>
      </c>
      <c r="L82" s="101" t="s">
        <v>2393</v>
      </c>
      <c r="M82" s="99" t="s">
        <v>2347</v>
      </c>
    </row>
    <row r="83" spans="1:13" s="1" customFormat="1" ht="21.45" hidden="1" x14ac:dyDescent="0.4">
      <c r="A83" s="98" t="s">
        <v>2093</v>
      </c>
      <c r="B83" s="217">
        <v>83</v>
      </c>
      <c r="C83" s="98" t="s">
        <v>1783</v>
      </c>
      <c r="D83" s="98" t="s">
        <v>1784</v>
      </c>
      <c r="E83" s="98" t="s">
        <v>625</v>
      </c>
      <c r="F83" s="98" t="s">
        <v>1427</v>
      </c>
      <c r="G83" s="98" t="s">
        <v>1484</v>
      </c>
      <c r="H83" s="99" t="s">
        <v>2097</v>
      </c>
      <c r="I83" s="99" t="s">
        <v>2098</v>
      </c>
      <c r="J83" s="99" t="s">
        <v>2099</v>
      </c>
      <c r="K83" s="99" t="s">
        <v>2349</v>
      </c>
      <c r="L83" s="101" t="s">
        <v>2394</v>
      </c>
      <c r="M83" s="99" t="s">
        <v>2395</v>
      </c>
    </row>
    <row r="84" spans="1:13" s="1" customFormat="1" ht="21.45" hidden="1" x14ac:dyDescent="0.4">
      <c r="A84" s="98" t="s">
        <v>2175</v>
      </c>
      <c r="B84" s="217">
        <v>84</v>
      </c>
      <c r="C84" s="98" t="s">
        <v>1783</v>
      </c>
      <c r="D84" s="98" t="s">
        <v>1784</v>
      </c>
      <c r="E84" s="98" t="s">
        <v>625</v>
      </c>
      <c r="F84" s="98" t="s">
        <v>1427</v>
      </c>
      <c r="G84" s="98" t="s">
        <v>1430</v>
      </c>
      <c r="H84" s="99" t="s">
        <v>2177</v>
      </c>
      <c r="I84" s="99" t="s">
        <v>2178</v>
      </c>
      <c r="J84" s="99" t="s">
        <v>2179</v>
      </c>
      <c r="K84" s="99" t="s">
        <v>2350</v>
      </c>
      <c r="L84" s="101" t="s">
        <v>2396</v>
      </c>
      <c r="M84" s="99" t="s">
        <v>2397</v>
      </c>
    </row>
    <row r="85" spans="1:13" s="1" customFormat="1" ht="32.15" hidden="1" x14ac:dyDescent="0.4">
      <c r="A85" s="98" t="s">
        <v>2288</v>
      </c>
      <c r="B85" s="217">
        <v>85</v>
      </c>
      <c r="C85" s="98" t="s">
        <v>1783</v>
      </c>
      <c r="D85" s="98" t="s">
        <v>1784</v>
      </c>
      <c r="E85" s="98" t="s">
        <v>625</v>
      </c>
      <c r="F85" s="98" t="s">
        <v>1427</v>
      </c>
      <c r="G85" s="98" t="s">
        <v>1430</v>
      </c>
      <c r="H85" s="99" t="s">
        <v>2651</v>
      </c>
      <c r="I85" s="99" t="s">
        <v>2653</v>
      </c>
      <c r="J85" s="99" t="s">
        <v>2652</v>
      </c>
      <c r="K85" s="99" t="s">
        <v>2398</v>
      </c>
      <c r="L85" s="37" t="s">
        <v>2399</v>
      </c>
      <c r="M85" s="37" t="s">
        <v>2400</v>
      </c>
    </row>
    <row r="86" spans="1:13" s="1" customFormat="1" ht="21.45" hidden="1" x14ac:dyDescent="0.4">
      <c r="A86" s="98" t="s">
        <v>1859</v>
      </c>
      <c r="B86" s="217">
        <v>86</v>
      </c>
      <c r="C86" s="98" t="s">
        <v>1783</v>
      </c>
      <c r="D86" s="98" t="s">
        <v>1784</v>
      </c>
      <c r="E86" s="98" t="s">
        <v>625</v>
      </c>
      <c r="F86" s="98" t="s">
        <v>1425</v>
      </c>
      <c r="G86" s="98" t="s">
        <v>1397</v>
      </c>
      <c r="H86" s="99" t="s">
        <v>2129</v>
      </c>
      <c r="I86" s="99" t="s">
        <v>2131</v>
      </c>
      <c r="J86" s="99" t="s">
        <v>2130</v>
      </c>
      <c r="K86" s="99" t="s">
        <v>1397</v>
      </c>
      <c r="L86" s="101" t="s">
        <v>1397</v>
      </c>
      <c r="M86" s="99" t="s">
        <v>1397</v>
      </c>
    </row>
    <row r="87" spans="1:13" s="1" customFormat="1" hidden="1" x14ac:dyDescent="0.4">
      <c r="A87" s="98" t="s">
        <v>2192</v>
      </c>
      <c r="B87" s="217">
        <v>87</v>
      </c>
      <c r="C87" s="98" t="s">
        <v>1783</v>
      </c>
      <c r="D87" s="98" t="s">
        <v>1784</v>
      </c>
      <c r="E87" s="98" t="s">
        <v>625</v>
      </c>
      <c r="F87" s="98" t="s">
        <v>1425</v>
      </c>
      <c r="G87" s="98" t="s">
        <v>1397</v>
      </c>
      <c r="H87" s="99" t="s">
        <v>2085</v>
      </c>
      <c r="I87" s="99" t="s">
        <v>2127</v>
      </c>
      <c r="J87" s="99" t="s">
        <v>2128</v>
      </c>
      <c r="K87" s="99" t="s">
        <v>1397</v>
      </c>
      <c r="L87" s="101" t="s">
        <v>1397</v>
      </c>
      <c r="M87" s="99" t="s">
        <v>1397</v>
      </c>
    </row>
    <row r="88" spans="1:13" hidden="1" x14ac:dyDescent="0.4">
      <c r="A88" s="98" t="s">
        <v>2193</v>
      </c>
      <c r="B88" s="217">
        <v>88</v>
      </c>
      <c r="C88" s="98" t="s">
        <v>1783</v>
      </c>
      <c r="D88" s="98" t="s">
        <v>1784</v>
      </c>
      <c r="E88" s="98" t="s">
        <v>625</v>
      </c>
      <c r="F88" s="98" t="s">
        <v>1425</v>
      </c>
      <c r="G88" s="98" t="s">
        <v>1397</v>
      </c>
      <c r="H88" s="99" t="s">
        <v>2186</v>
      </c>
      <c r="I88" s="99" t="s">
        <v>2187</v>
      </c>
      <c r="J88" s="99" t="s">
        <v>2188</v>
      </c>
      <c r="K88" s="99" t="s">
        <v>1397</v>
      </c>
      <c r="L88" s="101" t="s">
        <v>1397</v>
      </c>
      <c r="M88" s="99" t="s">
        <v>1397</v>
      </c>
    </row>
    <row r="89" spans="1:13" hidden="1" x14ac:dyDescent="0.4">
      <c r="A89" s="98" t="s">
        <v>2233</v>
      </c>
      <c r="B89" s="217">
        <v>89</v>
      </c>
      <c r="C89" s="98" t="s">
        <v>1783</v>
      </c>
      <c r="D89" s="98" t="s">
        <v>1784</v>
      </c>
      <c r="E89" s="98" t="s">
        <v>625</v>
      </c>
      <c r="F89" s="98" t="s">
        <v>1425</v>
      </c>
      <c r="G89" s="98" t="s">
        <v>1397</v>
      </c>
      <c r="H89" s="99" t="s">
        <v>2234</v>
      </c>
      <c r="I89" s="99" t="s">
        <v>2236</v>
      </c>
      <c r="J89" s="99" t="s">
        <v>2235</v>
      </c>
      <c r="K89" s="99" t="s">
        <v>1397</v>
      </c>
      <c r="L89" s="101" t="s">
        <v>1397</v>
      </c>
      <c r="M89" s="99" t="s">
        <v>1397</v>
      </c>
    </row>
    <row r="90" spans="1:13" ht="21.45" hidden="1" x14ac:dyDescent="0.4">
      <c r="A90" s="98" t="s">
        <v>2136</v>
      </c>
      <c r="B90" s="217">
        <v>90</v>
      </c>
      <c r="C90" s="98" t="s">
        <v>1783</v>
      </c>
      <c r="D90" s="98" t="s">
        <v>1784</v>
      </c>
      <c r="E90" s="98" t="s">
        <v>625</v>
      </c>
      <c r="F90" s="98" t="s">
        <v>1427</v>
      </c>
      <c r="G90" s="98" t="s">
        <v>1430</v>
      </c>
      <c r="H90" s="99" t="s">
        <v>2132</v>
      </c>
      <c r="I90" s="99" t="s">
        <v>2134</v>
      </c>
      <c r="J90" s="99" t="s">
        <v>2132</v>
      </c>
      <c r="K90" s="99" t="s">
        <v>2305</v>
      </c>
      <c r="L90" s="101" t="s">
        <v>2401</v>
      </c>
      <c r="M90" s="99" t="s">
        <v>2303</v>
      </c>
    </row>
    <row r="91" spans="1:13" ht="21.45" hidden="1" x14ac:dyDescent="0.4">
      <c r="A91" s="98" t="s">
        <v>2137</v>
      </c>
      <c r="B91" s="217">
        <v>91</v>
      </c>
      <c r="C91" s="98" t="s">
        <v>1783</v>
      </c>
      <c r="D91" s="98" t="s">
        <v>1784</v>
      </c>
      <c r="E91" s="98" t="s">
        <v>625</v>
      </c>
      <c r="F91" s="98" t="s">
        <v>1427</v>
      </c>
      <c r="G91" s="98" t="s">
        <v>1430</v>
      </c>
      <c r="H91" s="99" t="s">
        <v>2133</v>
      </c>
      <c r="I91" s="99" t="s">
        <v>2135</v>
      </c>
      <c r="J91" s="99" t="s">
        <v>2133</v>
      </c>
      <c r="K91" s="99" t="s">
        <v>2306</v>
      </c>
      <c r="L91" s="101" t="s">
        <v>2402</v>
      </c>
      <c r="M91" s="99" t="s">
        <v>2304</v>
      </c>
    </row>
    <row r="92" spans="1:13" ht="32.15" hidden="1" x14ac:dyDescent="0.4">
      <c r="A92" s="98" t="s">
        <v>2138</v>
      </c>
      <c r="B92" s="217">
        <v>92</v>
      </c>
      <c r="C92" s="98" t="s">
        <v>1783</v>
      </c>
      <c r="D92" s="98" t="s">
        <v>1784</v>
      </c>
      <c r="E92" s="98" t="s">
        <v>625</v>
      </c>
      <c r="F92" s="98" t="s">
        <v>1427</v>
      </c>
      <c r="G92" s="98" t="s">
        <v>1430</v>
      </c>
      <c r="H92" s="99" t="s">
        <v>2139</v>
      </c>
      <c r="I92" s="99" t="s">
        <v>2140</v>
      </c>
      <c r="J92" s="99" t="s">
        <v>2139</v>
      </c>
      <c r="K92" s="99" t="s">
        <v>2403</v>
      </c>
      <c r="L92" s="101" t="s">
        <v>2404</v>
      </c>
      <c r="M92" s="99" t="s">
        <v>2452</v>
      </c>
    </row>
    <row r="93" spans="1:13" ht="32.15" hidden="1" x14ac:dyDescent="0.4">
      <c r="A93" s="98" t="s">
        <v>2147</v>
      </c>
      <c r="B93" s="217">
        <v>93</v>
      </c>
      <c r="C93" s="98" t="s">
        <v>1783</v>
      </c>
      <c r="D93" s="98" t="s">
        <v>1784</v>
      </c>
      <c r="E93" s="98" t="s">
        <v>625</v>
      </c>
      <c r="F93" s="98" t="s">
        <v>1427</v>
      </c>
      <c r="G93" s="98" t="s">
        <v>1462</v>
      </c>
      <c r="H93" s="99" t="s">
        <v>2145</v>
      </c>
      <c r="I93" s="99" t="s">
        <v>2467</v>
      </c>
      <c r="J93" s="99" t="s">
        <v>2146</v>
      </c>
      <c r="K93" s="99" t="s">
        <v>2353</v>
      </c>
      <c r="L93" s="101" t="s">
        <v>2352</v>
      </c>
      <c r="M93" s="99" t="s">
        <v>2351</v>
      </c>
    </row>
    <row r="94" spans="1:13" ht="21.45" hidden="1" x14ac:dyDescent="0.4">
      <c r="A94" s="98" t="s">
        <v>2029</v>
      </c>
      <c r="B94" s="217">
        <v>94</v>
      </c>
      <c r="C94" s="98" t="s">
        <v>1783</v>
      </c>
      <c r="D94" s="98" t="s">
        <v>1790</v>
      </c>
      <c r="E94" s="98" t="s">
        <v>625</v>
      </c>
      <c r="F94" s="98" t="s">
        <v>1425</v>
      </c>
      <c r="G94" s="98" t="s">
        <v>1397</v>
      </c>
      <c r="H94" s="99" t="s">
        <v>623</v>
      </c>
      <c r="I94" s="99" t="s">
        <v>1773</v>
      </c>
      <c r="J94" s="99" t="s">
        <v>2468</v>
      </c>
      <c r="K94" s="99" t="s">
        <v>1397</v>
      </c>
      <c r="L94" s="101" t="s">
        <v>1397</v>
      </c>
      <c r="M94" s="99" t="s">
        <v>1397</v>
      </c>
    </row>
    <row r="95" spans="1:13" hidden="1" x14ac:dyDescent="0.4">
      <c r="A95" s="169" t="s">
        <v>2030</v>
      </c>
      <c r="B95" s="217">
        <v>95</v>
      </c>
      <c r="C95" s="170" t="s">
        <v>1783</v>
      </c>
      <c r="D95" s="170" t="s">
        <v>1790</v>
      </c>
      <c r="E95" s="170" t="s">
        <v>625</v>
      </c>
      <c r="F95" s="170" t="s">
        <v>1441</v>
      </c>
      <c r="G95" s="98" t="s">
        <v>1397</v>
      </c>
      <c r="H95" s="176" t="s">
        <v>2068</v>
      </c>
      <c r="I95" s="176" t="s">
        <v>2069</v>
      </c>
      <c r="J95" s="176" t="s">
        <v>2070</v>
      </c>
      <c r="K95" s="176" t="s">
        <v>1397</v>
      </c>
      <c r="L95" s="176" t="s">
        <v>1397</v>
      </c>
      <c r="M95" s="178" t="s">
        <v>1397</v>
      </c>
    </row>
    <row r="96" spans="1:13" hidden="1" x14ac:dyDescent="0.4">
      <c r="A96" s="98" t="s">
        <v>2031</v>
      </c>
      <c r="B96" s="217">
        <v>96</v>
      </c>
      <c r="C96" s="98" t="s">
        <v>1783</v>
      </c>
      <c r="D96" s="98" t="s">
        <v>1790</v>
      </c>
      <c r="E96" s="98" t="s">
        <v>625</v>
      </c>
      <c r="F96" s="98" t="s">
        <v>1425</v>
      </c>
      <c r="G96" s="98" t="s">
        <v>1397</v>
      </c>
      <c r="H96" s="99" t="s">
        <v>2469</v>
      </c>
      <c r="I96" s="99" t="s">
        <v>2470</v>
      </c>
      <c r="J96" s="99" t="s">
        <v>2471</v>
      </c>
      <c r="K96" s="99" t="s">
        <v>1397</v>
      </c>
      <c r="L96" s="99" t="s">
        <v>1397</v>
      </c>
      <c r="M96" s="99" t="s">
        <v>1397</v>
      </c>
    </row>
    <row r="97" spans="1:13" hidden="1" x14ac:dyDescent="0.4">
      <c r="A97" s="98" t="s">
        <v>2194</v>
      </c>
      <c r="B97" s="217">
        <v>97</v>
      </c>
      <c r="C97" s="98" t="s">
        <v>1783</v>
      </c>
      <c r="D97" s="98" t="s">
        <v>1790</v>
      </c>
      <c r="E97" s="98" t="s">
        <v>625</v>
      </c>
      <c r="F97" s="98" t="s">
        <v>1441</v>
      </c>
      <c r="G97" s="98" t="s">
        <v>1397</v>
      </c>
      <c r="H97" s="99" t="s">
        <v>2150</v>
      </c>
      <c r="I97" s="99" t="s">
        <v>2151</v>
      </c>
      <c r="J97" s="99" t="s">
        <v>2152</v>
      </c>
      <c r="K97" s="99" t="s">
        <v>1397</v>
      </c>
      <c r="L97" s="101" t="s">
        <v>1397</v>
      </c>
      <c r="M97" s="99" t="s">
        <v>1397</v>
      </c>
    </row>
    <row r="98" spans="1:13" hidden="1" x14ac:dyDescent="0.4">
      <c r="A98" s="98" t="s">
        <v>2195</v>
      </c>
      <c r="B98" s="217">
        <v>98</v>
      </c>
      <c r="C98" s="98" t="s">
        <v>1783</v>
      </c>
      <c r="D98" s="98" t="s">
        <v>1790</v>
      </c>
      <c r="E98" s="98" t="s">
        <v>625</v>
      </c>
      <c r="F98" s="98" t="s">
        <v>1441</v>
      </c>
      <c r="G98" s="98" t="s">
        <v>1397</v>
      </c>
      <c r="H98" s="99" t="s">
        <v>2154</v>
      </c>
      <c r="I98" s="99" t="s">
        <v>1774</v>
      </c>
      <c r="J98" s="99" t="s">
        <v>2153</v>
      </c>
      <c r="K98" s="99" t="s">
        <v>1397</v>
      </c>
      <c r="L98" s="101" t="s">
        <v>1397</v>
      </c>
      <c r="M98" s="99" t="s">
        <v>1397</v>
      </c>
    </row>
    <row r="99" spans="1:13" hidden="1" x14ac:dyDescent="0.4">
      <c r="A99" s="98" t="s">
        <v>2196</v>
      </c>
      <c r="B99" s="217">
        <v>99</v>
      </c>
      <c r="C99" s="98" t="s">
        <v>1783</v>
      </c>
      <c r="D99" s="98" t="s">
        <v>1790</v>
      </c>
      <c r="E99" s="98" t="s">
        <v>625</v>
      </c>
      <c r="F99" s="98" t="s">
        <v>1441</v>
      </c>
      <c r="G99" s="98" t="s">
        <v>1397</v>
      </c>
      <c r="H99" s="99" t="s">
        <v>2204</v>
      </c>
      <c r="I99" s="99" t="s">
        <v>2205</v>
      </c>
      <c r="J99" s="99" t="s">
        <v>2206</v>
      </c>
      <c r="K99" s="99" t="s">
        <v>1397</v>
      </c>
      <c r="L99" s="101" t="s">
        <v>1397</v>
      </c>
      <c r="M99" s="99" t="s">
        <v>1397</v>
      </c>
    </row>
    <row r="100" spans="1:13" ht="21.45" hidden="1" x14ac:dyDescent="0.4">
      <c r="A100" s="98" t="s">
        <v>2160</v>
      </c>
      <c r="B100" s="217">
        <v>100</v>
      </c>
      <c r="C100" s="98" t="s">
        <v>1783</v>
      </c>
      <c r="D100" s="98" t="s">
        <v>1790</v>
      </c>
      <c r="E100" s="98" t="s">
        <v>625</v>
      </c>
      <c r="F100" s="98" t="s">
        <v>1427</v>
      </c>
      <c r="G100" s="98" t="s">
        <v>1484</v>
      </c>
      <c r="H100" s="99" t="s">
        <v>2066</v>
      </c>
      <c r="I100" s="99" t="s">
        <v>2067</v>
      </c>
      <c r="J100" s="99" t="s">
        <v>2366</v>
      </c>
      <c r="K100" s="99" t="s">
        <v>2338</v>
      </c>
      <c r="L100" s="101" t="s">
        <v>2405</v>
      </c>
      <c r="M100" s="99" t="s">
        <v>2406</v>
      </c>
    </row>
    <row r="101" spans="1:13" hidden="1" x14ac:dyDescent="0.4">
      <c r="A101" s="98" t="s">
        <v>2221</v>
      </c>
      <c r="B101" s="217">
        <v>101</v>
      </c>
      <c r="C101" s="98" t="s">
        <v>1783</v>
      </c>
      <c r="D101" s="98" t="s">
        <v>1790</v>
      </c>
      <c r="E101" s="98" t="s">
        <v>625</v>
      </c>
      <c r="F101" s="98" t="s">
        <v>1427</v>
      </c>
      <c r="G101" s="98" t="s">
        <v>1430</v>
      </c>
      <c r="H101" s="99" t="s">
        <v>1828</v>
      </c>
      <c r="I101" s="99" t="s">
        <v>1829</v>
      </c>
      <c r="J101" s="99" t="s">
        <v>1830</v>
      </c>
      <c r="K101" s="99" t="s">
        <v>1831</v>
      </c>
      <c r="L101" s="101" t="s">
        <v>1832</v>
      </c>
      <c r="M101" s="99" t="s">
        <v>1833</v>
      </c>
    </row>
    <row r="102" spans="1:13" ht="21.45" hidden="1" x14ac:dyDescent="0.4">
      <c r="A102" s="98" t="s">
        <v>2189</v>
      </c>
      <c r="B102" s="217">
        <v>102</v>
      </c>
      <c r="C102" s="98" t="s">
        <v>1783</v>
      </c>
      <c r="D102" s="98" t="s">
        <v>1790</v>
      </c>
      <c r="E102" s="98" t="s">
        <v>625</v>
      </c>
      <c r="F102" s="98" t="s">
        <v>1427</v>
      </c>
      <c r="G102" s="98" t="s">
        <v>1504</v>
      </c>
      <c r="H102" s="99" t="s">
        <v>2407</v>
      </c>
      <c r="I102" s="99" t="s">
        <v>2083</v>
      </c>
      <c r="J102" s="99" t="s">
        <v>2084</v>
      </c>
      <c r="K102" s="99" t="s">
        <v>1943</v>
      </c>
      <c r="L102" s="99" t="s">
        <v>2408</v>
      </c>
      <c r="M102" s="99" t="s">
        <v>1942</v>
      </c>
    </row>
    <row r="103" spans="1:13" s="1" customFormat="1" ht="21.45" hidden="1" x14ac:dyDescent="0.4">
      <c r="A103" s="98" t="s">
        <v>2155</v>
      </c>
      <c r="B103" s="217">
        <v>103</v>
      </c>
      <c r="C103" s="98" t="s">
        <v>1783</v>
      </c>
      <c r="D103" s="98" t="s">
        <v>1790</v>
      </c>
      <c r="E103" s="98" t="s">
        <v>625</v>
      </c>
      <c r="F103" s="98" t="s">
        <v>1427</v>
      </c>
      <c r="G103" s="98" t="s">
        <v>1484</v>
      </c>
      <c r="H103" s="99" t="s">
        <v>620</v>
      </c>
      <c r="I103" s="99" t="s">
        <v>1776</v>
      </c>
      <c r="J103" s="99" t="s">
        <v>1769</v>
      </c>
      <c r="K103" s="99" t="s">
        <v>1837</v>
      </c>
      <c r="L103" s="101" t="s">
        <v>1838</v>
      </c>
      <c r="M103" s="99" t="s">
        <v>1839</v>
      </c>
    </row>
    <row r="104" spans="1:13" s="1" customFormat="1" ht="21.45" hidden="1" x14ac:dyDescent="0.4">
      <c r="A104" s="172" t="s">
        <v>2197</v>
      </c>
      <c r="B104" s="217">
        <v>104</v>
      </c>
      <c r="C104" s="173" t="s">
        <v>1783</v>
      </c>
      <c r="D104" s="98" t="s">
        <v>1790</v>
      </c>
      <c r="E104" s="173" t="s">
        <v>625</v>
      </c>
      <c r="F104" s="173" t="s">
        <v>1427</v>
      </c>
      <c r="G104" s="173" t="s">
        <v>1430</v>
      </c>
      <c r="H104" s="174" t="s">
        <v>2198</v>
      </c>
      <c r="I104" s="174" t="s">
        <v>2459</v>
      </c>
      <c r="J104" s="174" t="s">
        <v>2460</v>
      </c>
      <c r="K104" s="174" t="s">
        <v>2201</v>
      </c>
      <c r="L104" s="174" t="s">
        <v>2202</v>
      </c>
      <c r="M104" s="175" t="s">
        <v>2203</v>
      </c>
    </row>
    <row r="105" spans="1:13" s="1" customFormat="1" ht="21.45" hidden="1" x14ac:dyDescent="0.4">
      <c r="A105" s="98" t="s">
        <v>616</v>
      </c>
      <c r="B105" s="217">
        <v>105</v>
      </c>
      <c r="C105" s="98" t="s">
        <v>1783</v>
      </c>
      <c r="D105" s="98" t="s">
        <v>1790</v>
      </c>
      <c r="E105" s="98" t="s">
        <v>625</v>
      </c>
      <c r="F105" s="98" t="s">
        <v>1427</v>
      </c>
      <c r="G105" s="98" t="s">
        <v>1484</v>
      </c>
      <c r="H105" s="99" t="s">
        <v>619</v>
      </c>
      <c r="I105" s="99" t="s">
        <v>1464</v>
      </c>
      <c r="J105" s="99" t="s">
        <v>2409</v>
      </c>
      <c r="K105" s="99" t="s">
        <v>1834</v>
      </c>
      <c r="L105" s="101" t="s">
        <v>1835</v>
      </c>
      <c r="M105" s="99" t="s">
        <v>1836</v>
      </c>
    </row>
    <row r="106" spans="1:13" s="1" customFormat="1" ht="21.45" hidden="1" x14ac:dyDescent="0.4">
      <c r="A106" s="98" t="s">
        <v>618</v>
      </c>
      <c r="B106" s="217">
        <v>106</v>
      </c>
      <c r="C106" s="98" t="s">
        <v>1783</v>
      </c>
      <c r="D106" s="98" t="s">
        <v>1790</v>
      </c>
      <c r="E106" s="98" t="s">
        <v>625</v>
      </c>
      <c r="F106" s="98" t="s">
        <v>1427</v>
      </c>
      <c r="G106" s="98" t="s">
        <v>1484</v>
      </c>
      <c r="H106" s="99" t="s">
        <v>622</v>
      </c>
      <c r="I106" s="99" t="s">
        <v>1771</v>
      </c>
      <c r="J106" s="99" t="s">
        <v>2410</v>
      </c>
      <c r="K106" s="99" t="s">
        <v>1842</v>
      </c>
      <c r="L106" s="101" t="s">
        <v>1843</v>
      </c>
      <c r="M106" s="99" t="s">
        <v>2411</v>
      </c>
    </row>
    <row r="107" spans="1:13" s="1" customFormat="1" ht="21.45" hidden="1" x14ac:dyDescent="0.4">
      <c r="A107" s="98" t="s">
        <v>617</v>
      </c>
      <c r="B107" s="217">
        <v>107</v>
      </c>
      <c r="C107" s="98" t="s">
        <v>1783</v>
      </c>
      <c r="D107" s="98" t="s">
        <v>1790</v>
      </c>
      <c r="E107" s="98" t="s">
        <v>625</v>
      </c>
      <c r="F107" s="98" t="s">
        <v>1427</v>
      </c>
      <c r="G107" s="98" t="s">
        <v>1484</v>
      </c>
      <c r="H107" s="99" t="s">
        <v>621</v>
      </c>
      <c r="I107" s="99" t="s">
        <v>1770</v>
      </c>
      <c r="J107" s="99" t="s">
        <v>2412</v>
      </c>
      <c r="K107" s="99" t="s">
        <v>1840</v>
      </c>
      <c r="L107" s="101" t="s">
        <v>1841</v>
      </c>
      <c r="M107" s="99" t="s">
        <v>2413</v>
      </c>
    </row>
    <row r="108" spans="1:13" ht="21.45" hidden="1" x14ac:dyDescent="0.4">
      <c r="A108" s="98" t="s">
        <v>1892</v>
      </c>
      <c r="B108" s="217">
        <v>108</v>
      </c>
      <c r="C108" s="98" t="s">
        <v>1783</v>
      </c>
      <c r="D108" s="98" t="s">
        <v>1790</v>
      </c>
      <c r="E108" s="98" t="s">
        <v>625</v>
      </c>
      <c r="F108" s="98" t="s">
        <v>1427</v>
      </c>
      <c r="G108" s="98" t="s">
        <v>1484</v>
      </c>
      <c r="H108" s="99" t="s">
        <v>1394</v>
      </c>
      <c r="I108" s="99" t="s">
        <v>1893</v>
      </c>
      <c r="J108" s="99" t="s">
        <v>2414</v>
      </c>
      <c r="K108" s="99" t="s">
        <v>1900</v>
      </c>
      <c r="L108" s="101" t="s">
        <v>2415</v>
      </c>
      <c r="M108" s="99" t="s">
        <v>2416</v>
      </c>
    </row>
    <row r="109" spans="1:13" ht="21.45" hidden="1" x14ac:dyDescent="0.4">
      <c r="A109" s="98" t="s">
        <v>615</v>
      </c>
      <c r="B109" s="217">
        <v>109</v>
      </c>
      <c r="C109" s="98" t="s">
        <v>1783</v>
      </c>
      <c r="D109" s="98" t="s">
        <v>1790</v>
      </c>
      <c r="E109" s="98" t="s">
        <v>625</v>
      </c>
      <c r="F109" s="98" t="s">
        <v>1427</v>
      </c>
      <c r="G109" s="98" t="s">
        <v>1484</v>
      </c>
      <c r="H109" s="99" t="s">
        <v>2417</v>
      </c>
      <c r="I109" s="99" t="s">
        <v>2418</v>
      </c>
      <c r="J109" s="99" t="s">
        <v>2419</v>
      </c>
      <c r="K109" s="99" t="s">
        <v>1844</v>
      </c>
      <c r="L109" s="101" t="s">
        <v>1845</v>
      </c>
      <c r="M109" s="99" t="s">
        <v>2420</v>
      </c>
    </row>
    <row r="110" spans="1:13" hidden="1" x14ac:dyDescent="0.4">
      <c r="A110" s="98" t="s">
        <v>2032</v>
      </c>
      <c r="B110" s="217">
        <v>110</v>
      </c>
      <c r="C110" s="98" t="s">
        <v>1783</v>
      </c>
      <c r="D110" s="98" t="s">
        <v>1944</v>
      </c>
      <c r="E110" s="98" t="s">
        <v>625</v>
      </c>
      <c r="F110" s="98" t="s">
        <v>628</v>
      </c>
      <c r="G110" s="98" t="s">
        <v>1397</v>
      </c>
      <c r="H110" s="99" t="s">
        <v>2217</v>
      </c>
      <c r="I110" s="99" t="s">
        <v>2218</v>
      </c>
      <c r="J110" s="99" t="s">
        <v>2219</v>
      </c>
      <c r="K110" s="99" t="s">
        <v>1397</v>
      </c>
      <c r="L110" s="99" t="s">
        <v>1397</v>
      </c>
      <c r="M110" s="99" t="s">
        <v>1397</v>
      </c>
    </row>
    <row r="111" spans="1:13" hidden="1" x14ac:dyDescent="0.4">
      <c r="A111" s="98" t="s">
        <v>2033</v>
      </c>
      <c r="B111" s="217">
        <v>111</v>
      </c>
      <c r="C111" s="98" t="s">
        <v>1783</v>
      </c>
      <c r="D111" s="98" t="s">
        <v>1944</v>
      </c>
      <c r="E111" s="98" t="s">
        <v>625</v>
      </c>
      <c r="F111" s="98" t="s">
        <v>1441</v>
      </c>
      <c r="G111" s="98" t="s">
        <v>1397</v>
      </c>
      <c r="H111" s="99" t="s">
        <v>2191</v>
      </c>
      <c r="I111" s="99" t="s">
        <v>2028</v>
      </c>
      <c r="J111" s="99" t="s">
        <v>2216</v>
      </c>
      <c r="K111" s="99" t="s">
        <v>1397</v>
      </c>
      <c r="L111" s="99" t="s">
        <v>1397</v>
      </c>
      <c r="M111" s="99" t="s">
        <v>1397</v>
      </c>
    </row>
    <row r="112" spans="1:13" hidden="1" x14ac:dyDescent="0.4">
      <c r="A112" s="98" t="s">
        <v>2090</v>
      </c>
      <c r="B112" s="217">
        <v>112</v>
      </c>
      <c r="C112" s="98" t="s">
        <v>1783</v>
      </c>
      <c r="D112" s="98" t="s">
        <v>1944</v>
      </c>
      <c r="E112" s="98" t="s">
        <v>625</v>
      </c>
      <c r="F112" s="98" t="s">
        <v>628</v>
      </c>
      <c r="G112" s="98" t="s">
        <v>1397</v>
      </c>
      <c r="H112" s="99" t="s">
        <v>2210</v>
      </c>
      <c r="I112" s="99" t="s">
        <v>2226</v>
      </c>
      <c r="J112" s="99" t="s">
        <v>2227</v>
      </c>
      <c r="K112" s="99" t="s">
        <v>1397</v>
      </c>
      <c r="L112" s="99" t="s">
        <v>1397</v>
      </c>
      <c r="M112" s="99" t="s">
        <v>1397</v>
      </c>
    </row>
    <row r="113" spans="1:13" hidden="1" x14ac:dyDescent="0.4">
      <c r="A113" s="98" t="s">
        <v>2091</v>
      </c>
      <c r="B113" s="217">
        <v>113</v>
      </c>
      <c r="C113" s="98" t="s">
        <v>1783</v>
      </c>
      <c r="D113" s="98" t="s">
        <v>1944</v>
      </c>
      <c r="E113" s="98" t="s">
        <v>625</v>
      </c>
      <c r="F113" s="98" t="s">
        <v>1441</v>
      </c>
      <c r="G113" s="98" t="s">
        <v>1397</v>
      </c>
      <c r="H113" s="99" t="s">
        <v>1902</v>
      </c>
      <c r="I113" s="99" t="s">
        <v>1923</v>
      </c>
      <c r="J113" s="99" t="s">
        <v>1922</v>
      </c>
      <c r="K113" s="99" t="s">
        <v>1397</v>
      </c>
      <c r="L113" s="99" t="s">
        <v>1397</v>
      </c>
      <c r="M113" s="99" t="s">
        <v>1397</v>
      </c>
    </row>
    <row r="114" spans="1:13" hidden="1" x14ac:dyDescent="0.4">
      <c r="A114" s="98" t="s">
        <v>2207</v>
      </c>
      <c r="B114" s="217">
        <v>114</v>
      </c>
      <c r="C114" s="98" t="s">
        <v>1783</v>
      </c>
      <c r="D114" s="98" t="s">
        <v>1944</v>
      </c>
      <c r="E114" s="98" t="s">
        <v>625</v>
      </c>
      <c r="F114" s="98" t="s">
        <v>1425</v>
      </c>
      <c r="G114" s="98" t="s">
        <v>1397</v>
      </c>
      <c r="H114" s="99" t="s">
        <v>2224</v>
      </c>
      <c r="I114" s="99" t="s">
        <v>2225</v>
      </c>
      <c r="J114" s="99" t="s">
        <v>2211</v>
      </c>
      <c r="K114" s="99" t="s">
        <v>1397</v>
      </c>
      <c r="L114" s="99" t="s">
        <v>1397</v>
      </c>
      <c r="M114" s="99" t="s">
        <v>1397</v>
      </c>
    </row>
    <row r="115" spans="1:13" hidden="1" x14ac:dyDescent="0.4">
      <c r="A115" s="98" t="s">
        <v>2208</v>
      </c>
      <c r="B115" s="217">
        <v>115</v>
      </c>
      <c r="C115" s="98" t="s">
        <v>1783</v>
      </c>
      <c r="D115" s="98" t="s">
        <v>1944</v>
      </c>
      <c r="E115" s="98" t="s">
        <v>625</v>
      </c>
      <c r="F115" s="98" t="s">
        <v>1441</v>
      </c>
      <c r="G115" s="98" t="s">
        <v>1397</v>
      </c>
      <c r="H115" s="99" t="s">
        <v>1905</v>
      </c>
      <c r="I115" s="99" t="s">
        <v>2212</v>
      </c>
      <c r="J115" s="99" t="s">
        <v>2213</v>
      </c>
      <c r="K115" s="99" t="s">
        <v>1397</v>
      </c>
      <c r="L115" s="99" t="s">
        <v>1397</v>
      </c>
      <c r="M115" s="99" t="s">
        <v>1397</v>
      </c>
    </row>
    <row r="116" spans="1:13" hidden="1" x14ac:dyDescent="0.4">
      <c r="A116" s="98" t="s">
        <v>2209</v>
      </c>
      <c r="B116" s="217">
        <v>116</v>
      </c>
      <c r="C116" s="98" t="s">
        <v>1783</v>
      </c>
      <c r="D116" s="98" t="s">
        <v>1944</v>
      </c>
      <c r="E116" s="98" t="s">
        <v>625</v>
      </c>
      <c r="F116" s="98" t="s">
        <v>1441</v>
      </c>
      <c r="G116" s="98" t="s">
        <v>1397</v>
      </c>
      <c r="H116" s="99" t="s">
        <v>2315</v>
      </c>
      <c r="I116" s="99" t="s">
        <v>2310</v>
      </c>
      <c r="J116" s="99" t="s">
        <v>2311</v>
      </c>
      <c r="K116" s="99" t="s">
        <v>1397</v>
      </c>
      <c r="L116" s="99" t="s">
        <v>1397</v>
      </c>
      <c r="M116" s="99" t="s">
        <v>1397</v>
      </c>
    </row>
    <row r="117" spans="1:13" hidden="1" x14ac:dyDescent="0.4">
      <c r="A117" s="98" t="s">
        <v>2156</v>
      </c>
      <c r="B117" s="217">
        <v>117</v>
      </c>
      <c r="C117" s="98" t="s">
        <v>1783</v>
      </c>
      <c r="D117" s="98" t="s">
        <v>1944</v>
      </c>
      <c r="E117" s="98" t="s">
        <v>625</v>
      </c>
      <c r="F117" s="98" t="s">
        <v>628</v>
      </c>
      <c r="G117" s="98" t="s">
        <v>1397</v>
      </c>
      <c r="H117" s="99" t="s">
        <v>2312</v>
      </c>
      <c r="I117" s="99" t="s">
        <v>2313</v>
      </c>
      <c r="J117" s="99" t="s">
        <v>2314</v>
      </c>
      <c r="K117" s="99" t="s">
        <v>1397</v>
      </c>
      <c r="L117" s="99" t="s">
        <v>1397</v>
      </c>
      <c r="M117" s="99" t="s">
        <v>1397</v>
      </c>
    </row>
    <row r="118" spans="1:13" hidden="1" x14ac:dyDescent="0.4">
      <c r="A118" s="98" t="s">
        <v>2157</v>
      </c>
      <c r="B118" s="217">
        <v>118</v>
      </c>
      <c r="C118" s="98" t="s">
        <v>1783</v>
      </c>
      <c r="D118" s="98" t="s">
        <v>1944</v>
      </c>
      <c r="E118" s="98" t="s">
        <v>625</v>
      </c>
      <c r="F118" s="98" t="s">
        <v>1441</v>
      </c>
      <c r="G118" s="98" t="s">
        <v>1397</v>
      </c>
      <c r="H118" s="99" t="s">
        <v>2307</v>
      </c>
      <c r="I118" s="99" t="s">
        <v>2309</v>
      </c>
      <c r="J118" s="99" t="s">
        <v>2308</v>
      </c>
      <c r="K118" s="99" t="s">
        <v>1397</v>
      </c>
      <c r="L118" s="99" t="s">
        <v>1397</v>
      </c>
      <c r="M118" s="99" t="s">
        <v>1397</v>
      </c>
    </row>
    <row r="119" spans="1:13" hidden="1" x14ac:dyDescent="0.4">
      <c r="A119" s="98" t="s">
        <v>2158</v>
      </c>
      <c r="B119" s="217">
        <v>119</v>
      </c>
      <c r="C119" s="98" t="s">
        <v>1783</v>
      </c>
      <c r="D119" s="98" t="s">
        <v>1944</v>
      </c>
      <c r="E119" s="98" t="s">
        <v>625</v>
      </c>
      <c r="F119" s="98" t="s">
        <v>1441</v>
      </c>
      <c r="G119" s="98" t="s">
        <v>1397</v>
      </c>
      <c r="H119" s="99" t="s">
        <v>2316</v>
      </c>
      <c r="I119" s="99" t="s">
        <v>2317</v>
      </c>
      <c r="J119" s="99" t="s">
        <v>2318</v>
      </c>
      <c r="K119" s="99" t="s">
        <v>1397</v>
      </c>
      <c r="L119" s="99" t="s">
        <v>1397</v>
      </c>
      <c r="M119" s="99" t="s">
        <v>1397</v>
      </c>
    </row>
    <row r="120" spans="1:13" hidden="1" x14ac:dyDescent="0.4">
      <c r="A120" s="98" t="s">
        <v>1901</v>
      </c>
      <c r="B120" s="217">
        <v>120</v>
      </c>
      <c r="C120" s="98" t="s">
        <v>1783</v>
      </c>
      <c r="D120" s="98" t="s">
        <v>1944</v>
      </c>
      <c r="E120" s="98" t="s">
        <v>625</v>
      </c>
      <c r="F120" s="98" t="s">
        <v>1427</v>
      </c>
      <c r="G120" s="98" t="s">
        <v>1484</v>
      </c>
      <c r="H120" s="99" t="s">
        <v>1918</v>
      </c>
      <c r="I120" s="99" t="s">
        <v>1920</v>
      </c>
      <c r="J120" s="99" t="s">
        <v>1919</v>
      </c>
      <c r="K120" s="99" t="s">
        <v>1921</v>
      </c>
      <c r="L120" s="101" t="s">
        <v>2421</v>
      </c>
      <c r="M120" s="99" t="s">
        <v>2422</v>
      </c>
    </row>
    <row r="121" spans="1:13" ht="21.45" hidden="1" x14ac:dyDescent="0.4">
      <c r="A121" s="98" t="s">
        <v>2161</v>
      </c>
      <c r="B121" s="217">
        <v>121</v>
      </c>
      <c r="C121" s="98" t="s">
        <v>1783</v>
      </c>
      <c r="D121" s="98" t="s">
        <v>1944</v>
      </c>
      <c r="E121" s="98" t="s">
        <v>625</v>
      </c>
      <c r="F121" s="98" t="s">
        <v>1427</v>
      </c>
      <c r="G121" s="98" t="s">
        <v>1484</v>
      </c>
      <c r="H121" s="99" t="s">
        <v>2066</v>
      </c>
      <c r="I121" s="99" t="s">
        <v>2067</v>
      </c>
      <c r="J121" s="99" t="s">
        <v>2423</v>
      </c>
      <c r="K121" s="99" t="s">
        <v>2424</v>
      </c>
      <c r="L121" s="101" t="s">
        <v>2425</v>
      </c>
      <c r="M121" s="99" t="s">
        <v>2426</v>
      </c>
    </row>
    <row r="122" spans="1:13" hidden="1" x14ac:dyDescent="0.4">
      <c r="A122" s="169" t="s">
        <v>2220</v>
      </c>
      <c r="B122" s="217">
        <v>122</v>
      </c>
      <c r="C122" s="170" t="s">
        <v>1783</v>
      </c>
      <c r="D122" s="170" t="s">
        <v>1944</v>
      </c>
      <c r="E122" s="170" t="s">
        <v>625</v>
      </c>
      <c r="F122" s="170" t="s">
        <v>1427</v>
      </c>
      <c r="G122" s="170" t="s">
        <v>1430</v>
      </c>
      <c r="H122" s="176" t="s">
        <v>1828</v>
      </c>
      <c r="I122" s="176" t="s">
        <v>1829</v>
      </c>
      <c r="J122" s="176" t="s">
        <v>1830</v>
      </c>
      <c r="K122" s="176" t="s">
        <v>1831</v>
      </c>
      <c r="L122" s="177" t="s">
        <v>1832</v>
      </c>
      <c r="M122" s="178" t="s">
        <v>1833</v>
      </c>
    </row>
    <row r="123" spans="1:13" ht="21.45" hidden="1" x14ac:dyDescent="0.4">
      <c r="A123" s="98" t="s">
        <v>2222</v>
      </c>
      <c r="B123" s="217">
        <v>123</v>
      </c>
      <c r="C123" s="98" t="s">
        <v>1783</v>
      </c>
      <c r="D123" s="98" t="s">
        <v>1944</v>
      </c>
      <c r="E123" s="98" t="s">
        <v>625</v>
      </c>
      <c r="F123" s="98" t="s">
        <v>1427</v>
      </c>
      <c r="G123" s="98" t="s">
        <v>1430</v>
      </c>
      <c r="H123" s="99" t="s">
        <v>2228</v>
      </c>
      <c r="I123" s="99" t="s">
        <v>2229</v>
      </c>
      <c r="J123" s="99" t="s">
        <v>2230</v>
      </c>
      <c r="K123" s="99" t="s">
        <v>1924</v>
      </c>
      <c r="L123" s="101" t="s">
        <v>2427</v>
      </c>
      <c r="M123" s="99" t="s">
        <v>2428</v>
      </c>
    </row>
    <row r="124" spans="1:13" hidden="1" x14ac:dyDescent="0.4">
      <c r="A124" s="98" t="s">
        <v>1903</v>
      </c>
      <c r="B124" s="217">
        <v>124</v>
      </c>
      <c r="C124" s="98" t="s">
        <v>1783</v>
      </c>
      <c r="D124" s="98" t="s">
        <v>1944</v>
      </c>
      <c r="E124" s="98" t="s">
        <v>625</v>
      </c>
      <c r="F124" s="98" t="s">
        <v>1427</v>
      </c>
      <c r="G124" s="98" t="s">
        <v>1484</v>
      </c>
      <c r="H124" s="99" t="s">
        <v>2214</v>
      </c>
      <c r="I124" s="99" t="s">
        <v>2429</v>
      </c>
      <c r="J124" s="99" t="s">
        <v>2430</v>
      </c>
      <c r="K124" s="99" t="s">
        <v>1925</v>
      </c>
      <c r="L124" s="101" t="s">
        <v>2431</v>
      </c>
      <c r="M124" s="99" t="s">
        <v>2432</v>
      </c>
    </row>
    <row r="125" spans="1:13" hidden="1" x14ac:dyDescent="0.4">
      <c r="A125" s="98" t="s">
        <v>2223</v>
      </c>
      <c r="B125" s="217">
        <v>125</v>
      </c>
      <c r="C125" s="98" t="s">
        <v>1783</v>
      </c>
      <c r="D125" s="98" t="s">
        <v>1944</v>
      </c>
      <c r="E125" s="98" t="s">
        <v>625</v>
      </c>
      <c r="F125" s="98" t="s">
        <v>1427</v>
      </c>
      <c r="G125" s="98" t="s">
        <v>1462</v>
      </c>
      <c r="H125" s="99" t="s">
        <v>2281</v>
      </c>
      <c r="I125" s="99" t="s">
        <v>2280</v>
      </c>
      <c r="J125" s="99" t="s">
        <v>2433</v>
      </c>
      <c r="K125" s="99" t="s">
        <v>1917</v>
      </c>
      <c r="L125" s="101" t="s">
        <v>2434</v>
      </c>
      <c r="M125" s="99" t="s">
        <v>2435</v>
      </c>
    </row>
    <row r="126" spans="1:13" hidden="1" x14ac:dyDescent="0.4">
      <c r="A126" s="98" t="s">
        <v>1904</v>
      </c>
      <c r="B126" s="217">
        <v>126</v>
      </c>
      <c r="C126" s="98" t="s">
        <v>1783</v>
      </c>
      <c r="D126" s="98" t="s">
        <v>1944</v>
      </c>
      <c r="E126" s="98" t="s">
        <v>625</v>
      </c>
      <c r="F126" s="98" t="s">
        <v>1427</v>
      </c>
      <c r="G126" s="98" t="s">
        <v>1484</v>
      </c>
      <c r="H126" s="99" t="s">
        <v>620</v>
      </c>
      <c r="I126" s="99" t="s">
        <v>1927</v>
      </c>
      <c r="J126" s="99" t="s">
        <v>1769</v>
      </c>
      <c r="K126" s="99" t="s">
        <v>1928</v>
      </c>
      <c r="L126" s="101" t="s">
        <v>2436</v>
      </c>
      <c r="M126" s="99" t="s">
        <v>2437</v>
      </c>
    </row>
    <row r="127" spans="1:13" ht="21.45" hidden="1" x14ac:dyDescent="0.4">
      <c r="A127" s="172" t="s">
        <v>2215</v>
      </c>
      <c r="B127" s="217">
        <v>127</v>
      </c>
      <c r="C127" s="173" t="s">
        <v>1783</v>
      </c>
      <c r="D127" s="173" t="s">
        <v>1784</v>
      </c>
      <c r="E127" s="173" t="s">
        <v>625</v>
      </c>
      <c r="F127" s="173" t="s">
        <v>1427</v>
      </c>
      <c r="G127" s="173" t="s">
        <v>1430</v>
      </c>
      <c r="H127" s="174" t="s">
        <v>2198</v>
      </c>
      <c r="I127" s="174" t="s">
        <v>2199</v>
      </c>
      <c r="J127" s="174" t="s">
        <v>2200</v>
      </c>
      <c r="K127" s="174" t="s">
        <v>2201</v>
      </c>
      <c r="L127" s="174" t="s">
        <v>2202</v>
      </c>
      <c r="M127" s="175" t="s">
        <v>2203</v>
      </c>
    </row>
    <row r="128" spans="1:13" ht="21.45" hidden="1" x14ac:dyDescent="0.4">
      <c r="A128" s="98" t="s">
        <v>2322</v>
      </c>
      <c r="B128" s="217">
        <v>128</v>
      </c>
      <c r="C128" s="98" t="s">
        <v>1783</v>
      </c>
      <c r="D128" s="98" t="s">
        <v>1944</v>
      </c>
      <c r="E128" s="98" t="s">
        <v>625</v>
      </c>
      <c r="F128" s="98" t="s">
        <v>1427</v>
      </c>
      <c r="G128" s="98" t="s">
        <v>1504</v>
      </c>
      <c r="H128" s="99" t="s">
        <v>2438</v>
      </c>
      <c r="I128" s="99" t="s">
        <v>2453</v>
      </c>
      <c r="J128" s="99" t="s">
        <v>2457</v>
      </c>
      <c r="K128" s="99" t="s">
        <v>1932</v>
      </c>
      <c r="L128" s="101" t="s">
        <v>1401</v>
      </c>
      <c r="M128" s="99" t="s">
        <v>1400</v>
      </c>
    </row>
    <row r="129" spans="1:13" hidden="1" x14ac:dyDescent="0.4">
      <c r="A129" s="98" t="s">
        <v>2320</v>
      </c>
      <c r="B129" s="217">
        <v>129</v>
      </c>
      <c r="C129" s="98" t="s">
        <v>1783</v>
      </c>
      <c r="D129" s="98" t="s">
        <v>1944</v>
      </c>
      <c r="E129" s="98" t="s">
        <v>625</v>
      </c>
      <c r="F129" s="98" t="s">
        <v>1427</v>
      </c>
      <c r="G129" s="98" t="s">
        <v>1504</v>
      </c>
      <c r="H129" s="99" t="s">
        <v>2439</v>
      </c>
      <c r="I129" s="99" t="s">
        <v>2454</v>
      </c>
      <c r="J129" s="99" t="s">
        <v>2440</v>
      </c>
      <c r="K129" s="99" t="s">
        <v>2034</v>
      </c>
      <c r="L129" s="101" t="s">
        <v>2035</v>
      </c>
      <c r="M129" s="99" t="s">
        <v>2036</v>
      </c>
    </row>
    <row r="130" spans="1:13" ht="21.45" hidden="1" x14ac:dyDescent="0.4">
      <c r="A130" s="98" t="s">
        <v>2267</v>
      </c>
      <c r="B130" s="217">
        <v>130</v>
      </c>
      <c r="C130" s="98" t="s">
        <v>1783</v>
      </c>
      <c r="D130" s="98" t="s">
        <v>1944</v>
      </c>
      <c r="E130" s="98" t="s">
        <v>625</v>
      </c>
      <c r="F130" s="98" t="s">
        <v>1427</v>
      </c>
      <c r="G130" s="98" t="s">
        <v>1504</v>
      </c>
      <c r="H130" s="99" t="s">
        <v>2441</v>
      </c>
      <c r="I130" s="99" t="s">
        <v>2455</v>
      </c>
      <c r="J130" s="99" t="s">
        <v>2458</v>
      </c>
      <c r="K130" s="99" t="s">
        <v>2037</v>
      </c>
      <c r="L130" s="101" t="s">
        <v>2038</v>
      </c>
      <c r="M130" s="99" t="s">
        <v>2039</v>
      </c>
    </row>
    <row r="131" spans="1:13" ht="21.45" hidden="1" x14ac:dyDescent="0.4">
      <c r="A131" s="98" t="s">
        <v>2323</v>
      </c>
      <c r="B131" s="217">
        <v>131</v>
      </c>
      <c r="C131" s="98" t="s">
        <v>1783</v>
      </c>
      <c r="D131" s="98" t="s">
        <v>1944</v>
      </c>
      <c r="E131" s="98" t="s">
        <v>625</v>
      </c>
      <c r="F131" s="98" t="s">
        <v>1427</v>
      </c>
      <c r="G131" s="98" t="s">
        <v>1504</v>
      </c>
      <c r="H131" s="99" t="s">
        <v>2442</v>
      </c>
      <c r="I131" s="99" t="s">
        <v>2456</v>
      </c>
      <c r="J131" s="99" t="s">
        <v>2443</v>
      </c>
      <c r="K131" s="99" t="s">
        <v>2040</v>
      </c>
      <c r="L131" s="101" t="s">
        <v>2041</v>
      </c>
      <c r="M131" s="99" t="s">
        <v>2042</v>
      </c>
    </row>
    <row r="132" spans="1:13" hidden="1" x14ac:dyDescent="0.4">
      <c r="A132" s="98" t="s">
        <v>2321</v>
      </c>
      <c r="B132" s="217">
        <v>132</v>
      </c>
      <c r="C132" s="98" t="s">
        <v>1783</v>
      </c>
      <c r="D132" s="98" t="s">
        <v>1944</v>
      </c>
      <c r="E132" s="98" t="s">
        <v>625</v>
      </c>
      <c r="F132" s="98" t="s">
        <v>1427</v>
      </c>
      <c r="G132" s="98" t="s">
        <v>1504</v>
      </c>
      <c r="H132" s="99" t="s">
        <v>1906</v>
      </c>
      <c r="I132" s="99" t="s">
        <v>1907</v>
      </c>
      <c r="J132" s="99" t="s">
        <v>2444</v>
      </c>
      <c r="K132" s="99" t="s">
        <v>1908</v>
      </c>
      <c r="L132" s="101" t="s">
        <v>2445</v>
      </c>
      <c r="M132" s="99" t="s">
        <v>2356</v>
      </c>
    </row>
    <row r="133" spans="1:13" ht="21.45" hidden="1" x14ac:dyDescent="0.4">
      <c r="A133" s="98" t="s">
        <v>2324</v>
      </c>
      <c r="B133" s="217">
        <v>133</v>
      </c>
      <c r="C133" s="98" t="s">
        <v>1783</v>
      </c>
      <c r="D133" s="98" t="s">
        <v>1944</v>
      </c>
      <c r="E133" s="98" t="s">
        <v>625</v>
      </c>
      <c r="F133" s="98" t="s">
        <v>1427</v>
      </c>
      <c r="G133" s="98" t="s">
        <v>1430</v>
      </c>
      <c r="H133" s="99" t="s">
        <v>2472</v>
      </c>
      <c r="I133" s="99" t="s">
        <v>2473</v>
      </c>
      <c r="J133" s="99" t="s">
        <v>2359</v>
      </c>
      <c r="K133" s="99" t="s">
        <v>1846</v>
      </c>
      <c r="L133" s="101" t="s">
        <v>1847</v>
      </c>
      <c r="M133" s="99" t="s">
        <v>1848</v>
      </c>
    </row>
    <row r="134" spans="1:13" hidden="1" x14ac:dyDescent="0.4">
      <c r="A134" s="98" t="s">
        <v>1926</v>
      </c>
      <c r="B134" s="217">
        <v>134</v>
      </c>
      <c r="C134" s="98" t="s">
        <v>1783</v>
      </c>
      <c r="D134" s="98" t="s">
        <v>1944</v>
      </c>
      <c r="E134" s="98" t="s">
        <v>625</v>
      </c>
      <c r="F134" s="98" t="s">
        <v>1427</v>
      </c>
      <c r="G134" s="98" t="s">
        <v>1462</v>
      </c>
      <c r="H134" s="99" t="s">
        <v>1929</v>
      </c>
      <c r="I134" s="99" t="s">
        <v>2446</v>
      </c>
      <c r="J134" s="99" t="s">
        <v>2447</v>
      </c>
      <c r="K134" s="99" t="s">
        <v>1930</v>
      </c>
      <c r="L134" s="101" t="s">
        <v>2448</v>
      </c>
      <c r="M134" s="99" t="s">
        <v>1931</v>
      </c>
    </row>
    <row r="135" spans="1:13" hidden="1" x14ac:dyDescent="0.4">
      <c r="A135" s="98" t="s">
        <v>2287</v>
      </c>
      <c r="B135" s="217">
        <v>135</v>
      </c>
      <c r="C135" s="98" t="s">
        <v>1783</v>
      </c>
      <c r="D135" s="98" t="s">
        <v>1944</v>
      </c>
      <c r="E135" s="98" t="s">
        <v>625</v>
      </c>
      <c r="F135" s="98" t="s">
        <v>1427</v>
      </c>
      <c r="G135" s="98" t="s">
        <v>1462</v>
      </c>
      <c r="H135" s="99" t="s">
        <v>603</v>
      </c>
      <c r="I135" s="99" t="s">
        <v>2286</v>
      </c>
      <c r="J135" s="99" t="s">
        <v>2449</v>
      </c>
      <c r="K135" s="99" t="s">
        <v>2450</v>
      </c>
      <c r="L135" s="101" t="s">
        <v>2354</v>
      </c>
      <c r="M135" s="99" t="s">
        <v>2451</v>
      </c>
    </row>
    <row r="136" spans="1:13" hidden="1" x14ac:dyDescent="0.4">
      <c r="A136" s="98" t="s">
        <v>1524</v>
      </c>
      <c r="B136" s="217">
        <v>136</v>
      </c>
      <c r="C136" s="98" t="s">
        <v>1783</v>
      </c>
      <c r="D136" s="98" t="s">
        <v>1525</v>
      </c>
      <c r="E136" s="98" t="s">
        <v>643</v>
      </c>
      <c r="F136" s="98" t="s">
        <v>1415</v>
      </c>
      <c r="G136" s="98" t="s">
        <v>1397</v>
      </c>
      <c r="H136" s="99" t="s">
        <v>1525</v>
      </c>
      <c r="I136" s="99" t="s">
        <v>1525</v>
      </c>
      <c r="J136" s="99" t="s">
        <v>1526</v>
      </c>
      <c r="K136" s="99" t="s">
        <v>1527</v>
      </c>
      <c r="L136" s="101" t="s">
        <v>1528</v>
      </c>
      <c r="M136" s="99" t="s">
        <v>1529</v>
      </c>
    </row>
    <row r="137" spans="1:13" hidden="1" x14ac:dyDescent="0.4">
      <c r="A137" s="98" t="s">
        <v>1530</v>
      </c>
      <c r="B137" s="217">
        <v>137</v>
      </c>
      <c r="C137" s="98" t="s">
        <v>1783</v>
      </c>
      <c r="D137" s="98" t="s">
        <v>1525</v>
      </c>
      <c r="E137" s="98" t="s">
        <v>643</v>
      </c>
      <c r="F137" s="98" t="s">
        <v>1417</v>
      </c>
      <c r="G137" s="98" t="s">
        <v>1397</v>
      </c>
      <c r="H137" s="99" t="s">
        <v>643</v>
      </c>
      <c r="I137" s="99" t="s">
        <v>643</v>
      </c>
      <c r="J137" s="99" t="s">
        <v>643</v>
      </c>
      <c r="K137" s="99" t="s">
        <v>1397</v>
      </c>
      <c r="L137" s="101" t="s">
        <v>1397</v>
      </c>
      <c r="M137" s="99" t="s">
        <v>1397</v>
      </c>
    </row>
    <row r="138" spans="1:13" ht="32.15" hidden="1" x14ac:dyDescent="0.4">
      <c r="A138" s="98" t="s">
        <v>1531</v>
      </c>
      <c r="B138" s="217">
        <v>138</v>
      </c>
      <c r="C138" s="98" t="s">
        <v>1783</v>
      </c>
      <c r="D138" s="98" t="s">
        <v>1525</v>
      </c>
      <c r="E138" s="98" t="s">
        <v>643</v>
      </c>
      <c r="F138" s="98" t="s">
        <v>1532</v>
      </c>
      <c r="G138" s="98" t="s">
        <v>1397</v>
      </c>
      <c r="H138" s="99" t="s">
        <v>1533</v>
      </c>
      <c r="I138" s="99" t="s">
        <v>1533</v>
      </c>
      <c r="J138" s="99" t="s">
        <v>1533</v>
      </c>
      <c r="K138" s="99" t="s">
        <v>1534</v>
      </c>
      <c r="L138" s="101" t="s">
        <v>1535</v>
      </c>
      <c r="M138" s="99" t="s">
        <v>1536</v>
      </c>
    </row>
    <row r="139" spans="1:13" ht="32.15" hidden="1" x14ac:dyDescent="0.4">
      <c r="A139" s="98" t="s">
        <v>1537</v>
      </c>
      <c r="B139" s="217">
        <v>139</v>
      </c>
      <c r="C139" s="98" t="s">
        <v>1783</v>
      </c>
      <c r="D139" s="98" t="s">
        <v>1525</v>
      </c>
      <c r="E139" s="98" t="s">
        <v>643</v>
      </c>
      <c r="F139" s="98" t="s">
        <v>1532</v>
      </c>
      <c r="G139" s="98" t="s">
        <v>1397</v>
      </c>
      <c r="H139" s="99" t="s">
        <v>1538</v>
      </c>
      <c r="I139" s="99" t="s">
        <v>1538</v>
      </c>
      <c r="J139" s="99" t="s">
        <v>1538</v>
      </c>
      <c r="K139" s="99" t="s">
        <v>1539</v>
      </c>
      <c r="L139" s="101" t="s">
        <v>1540</v>
      </c>
      <c r="M139" s="99" t="s">
        <v>1541</v>
      </c>
    </row>
    <row r="140" spans="1:13" ht="32.15" hidden="1" x14ac:dyDescent="0.4">
      <c r="A140" s="98" t="s">
        <v>1542</v>
      </c>
      <c r="B140" s="217">
        <v>140</v>
      </c>
      <c r="C140" s="98" t="s">
        <v>1783</v>
      </c>
      <c r="D140" s="98" t="s">
        <v>1525</v>
      </c>
      <c r="E140" s="98" t="s">
        <v>643</v>
      </c>
      <c r="F140" s="98" t="s">
        <v>1532</v>
      </c>
      <c r="G140" s="98" t="s">
        <v>1397</v>
      </c>
      <c r="H140" s="99" t="s">
        <v>1543</v>
      </c>
      <c r="I140" s="99" t="s">
        <v>1543</v>
      </c>
      <c r="J140" s="99" t="s">
        <v>1543</v>
      </c>
      <c r="K140" s="99" t="s">
        <v>1544</v>
      </c>
      <c r="L140" s="101" t="s">
        <v>1545</v>
      </c>
      <c r="M140" s="99" t="s">
        <v>1546</v>
      </c>
    </row>
    <row r="141" spans="1:13" ht="42.9" hidden="1" x14ac:dyDescent="0.4">
      <c r="A141" s="98" t="s">
        <v>1547</v>
      </c>
      <c r="B141" s="217">
        <v>141</v>
      </c>
      <c r="C141" s="98" t="s">
        <v>1783</v>
      </c>
      <c r="D141" s="98" t="s">
        <v>1525</v>
      </c>
      <c r="E141" s="98" t="s">
        <v>643</v>
      </c>
      <c r="F141" s="98" t="s">
        <v>1532</v>
      </c>
      <c r="G141" s="98" t="s">
        <v>1397</v>
      </c>
      <c r="H141" s="99" t="s">
        <v>1548</v>
      </c>
      <c r="I141" s="99" t="s">
        <v>1548</v>
      </c>
      <c r="J141" s="99" t="s">
        <v>1548</v>
      </c>
      <c r="K141" s="99" t="s">
        <v>1849</v>
      </c>
      <c r="L141" s="101" t="s">
        <v>1850</v>
      </c>
      <c r="M141" s="99" t="s">
        <v>1549</v>
      </c>
    </row>
    <row r="142" spans="1:13" ht="21.45" hidden="1" x14ac:dyDescent="0.4">
      <c r="A142" s="98" t="s">
        <v>1550</v>
      </c>
      <c r="B142" s="217">
        <v>142</v>
      </c>
      <c r="C142" s="98" t="s">
        <v>1783</v>
      </c>
      <c r="D142" s="98" t="s">
        <v>1525</v>
      </c>
      <c r="E142" s="98" t="s">
        <v>643</v>
      </c>
      <c r="F142" s="98" t="s">
        <v>1532</v>
      </c>
      <c r="G142" s="98" t="s">
        <v>1397</v>
      </c>
      <c r="H142" s="99" t="s">
        <v>1551</v>
      </c>
      <c r="I142" s="99" t="s">
        <v>1551</v>
      </c>
      <c r="J142" s="99" t="s">
        <v>1551</v>
      </c>
      <c r="K142" s="99" t="s">
        <v>1552</v>
      </c>
      <c r="L142" s="101" t="s">
        <v>1851</v>
      </c>
      <c r="M142" s="99" t="s">
        <v>1852</v>
      </c>
    </row>
    <row r="143" spans="1:13" hidden="1" x14ac:dyDescent="0.4">
      <c r="A143" s="98" t="s">
        <v>1765</v>
      </c>
      <c r="B143" s="217">
        <v>143</v>
      </c>
      <c r="C143" s="98" t="s">
        <v>1783</v>
      </c>
      <c r="D143" s="98" t="s">
        <v>1525</v>
      </c>
      <c r="E143" s="98" t="s">
        <v>1553</v>
      </c>
      <c r="F143" s="98" t="s">
        <v>1417</v>
      </c>
      <c r="G143" s="98" t="s">
        <v>1397</v>
      </c>
      <c r="H143" s="99" t="s">
        <v>631</v>
      </c>
      <c r="I143" s="99" t="s">
        <v>1554</v>
      </c>
      <c r="J143" s="99" t="s">
        <v>1555</v>
      </c>
      <c r="K143" s="99" t="s">
        <v>1397</v>
      </c>
      <c r="L143" s="101" t="s">
        <v>1397</v>
      </c>
      <c r="M143" s="99" t="s">
        <v>1397</v>
      </c>
    </row>
    <row r="144" spans="1:13" hidden="1" x14ac:dyDescent="0.4">
      <c r="A144" s="98" t="s">
        <v>1556</v>
      </c>
      <c r="B144" s="217">
        <v>144</v>
      </c>
      <c r="C144" s="98" t="s">
        <v>1783</v>
      </c>
      <c r="D144" s="98" t="s">
        <v>1525</v>
      </c>
      <c r="E144" s="98" t="s">
        <v>1553</v>
      </c>
      <c r="F144" s="98" t="s">
        <v>1532</v>
      </c>
      <c r="G144" s="98" t="s">
        <v>1397</v>
      </c>
      <c r="H144" s="99" t="s">
        <v>626</v>
      </c>
      <c r="I144" s="99" t="s">
        <v>1557</v>
      </c>
      <c r="J144" s="99" t="s">
        <v>1558</v>
      </c>
      <c r="K144" s="99" t="s">
        <v>1397</v>
      </c>
      <c r="L144" s="101" t="s">
        <v>1397</v>
      </c>
      <c r="M144" s="99" t="s">
        <v>1397</v>
      </c>
    </row>
    <row r="145" spans="1:13" s="61" customFormat="1" hidden="1" x14ac:dyDescent="0.3">
      <c r="A145" s="98" t="s">
        <v>1559</v>
      </c>
      <c r="B145" s="217">
        <v>145</v>
      </c>
      <c r="C145" s="98" t="s">
        <v>1783</v>
      </c>
      <c r="D145" s="98" t="s">
        <v>1525</v>
      </c>
      <c r="E145" s="98" t="s">
        <v>1553</v>
      </c>
      <c r="F145" s="98" t="s">
        <v>1532</v>
      </c>
      <c r="G145" s="98" t="s">
        <v>1397</v>
      </c>
      <c r="H145" s="99" t="s">
        <v>1560</v>
      </c>
      <c r="I145" s="99" t="s">
        <v>1561</v>
      </c>
      <c r="J145" s="99" t="s">
        <v>1562</v>
      </c>
      <c r="K145" s="99" t="s">
        <v>1397</v>
      </c>
      <c r="L145" s="101" t="s">
        <v>1397</v>
      </c>
      <c r="M145" s="99" t="s">
        <v>1397</v>
      </c>
    </row>
    <row r="146" spans="1:13" s="61" customFormat="1" hidden="1" x14ac:dyDescent="0.3">
      <c r="A146" s="98" t="s">
        <v>1563</v>
      </c>
      <c r="B146" s="217">
        <v>146</v>
      </c>
      <c r="C146" s="98" t="s">
        <v>1783</v>
      </c>
      <c r="D146" s="98" t="s">
        <v>1525</v>
      </c>
      <c r="E146" s="98" t="s">
        <v>1553</v>
      </c>
      <c r="F146" s="98" t="s">
        <v>1532</v>
      </c>
      <c r="G146" s="98" t="s">
        <v>1397</v>
      </c>
      <c r="H146" s="99" t="s">
        <v>627</v>
      </c>
      <c r="I146" s="99" t="s">
        <v>1564</v>
      </c>
      <c r="J146" s="99" t="s">
        <v>1565</v>
      </c>
      <c r="K146" s="99" t="s">
        <v>1397</v>
      </c>
      <c r="L146" s="101" t="s">
        <v>1397</v>
      </c>
      <c r="M146" s="99" t="s">
        <v>1397</v>
      </c>
    </row>
    <row r="147" spans="1:13" hidden="1" x14ac:dyDescent="0.4">
      <c r="A147" s="98" t="s">
        <v>1566</v>
      </c>
      <c r="B147" s="217">
        <v>147</v>
      </c>
      <c r="C147" s="98" t="s">
        <v>1783</v>
      </c>
      <c r="D147" s="98" t="s">
        <v>1525</v>
      </c>
      <c r="E147" s="98" t="s">
        <v>1553</v>
      </c>
      <c r="F147" s="98" t="s">
        <v>1532</v>
      </c>
      <c r="G147" s="98" t="s">
        <v>1397</v>
      </c>
      <c r="H147" s="99" t="s">
        <v>628</v>
      </c>
      <c r="I147" s="99" t="s">
        <v>1567</v>
      </c>
      <c r="J147" s="99" t="s">
        <v>1568</v>
      </c>
      <c r="K147" s="99" t="s">
        <v>1397</v>
      </c>
      <c r="L147" s="101" t="s">
        <v>1397</v>
      </c>
      <c r="M147" s="99" t="s">
        <v>1397</v>
      </c>
    </row>
    <row r="148" spans="1:13" hidden="1" x14ac:dyDescent="0.4">
      <c r="A148" s="98" t="s">
        <v>1569</v>
      </c>
      <c r="B148" s="217">
        <v>148</v>
      </c>
      <c r="C148" s="98" t="s">
        <v>1783</v>
      </c>
      <c r="D148" s="98" t="s">
        <v>1525</v>
      </c>
      <c r="E148" s="98" t="s">
        <v>1553</v>
      </c>
      <c r="F148" s="98" t="s">
        <v>1532</v>
      </c>
      <c r="G148" s="98" t="s">
        <v>1397</v>
      </c>
      <c r="H148" s="99" t="s">
        <v>629</v>
      </c>
      <c r="I148" s="99" t="s">
        <v>1570</v>
      </c>
      <c r="J148" s="99" t="s">
        <v>1571</v>
      </c>
      <c r="K148" s="99" t="s">
        <v>1397</v>
      </c>
      <c r="L148" s="101" t="s">
        <v>1397</v>
      </c>
      <c r="M148" s="99" t="s">
        <v>1397</v>
      </c>
    </row>
    <row r="149" spans="1:13" hidden="1" x14ac:dyDescent="0.4">
      <c r="A149" s="98" t="s">
        <v>1572</v>
      </c>
      <c r="B149" s="217">
        <v>149</v>
      </c>
      <c r="C149" s="98" t="s">
        <v>1783</v>
      </c>
      <c r="D149" s="98" t="s">
        <v>1525</v>
      </c>
      <c r="E149" s="98" t="s">
        <v>1553</v>
      </c>
      <c r="F149" s="98" t="s">
        <v>1532</v>
      </c>
      <c r="G149" s="98" t="s">
        <v>1397</v>
      </c>
      <c r="H149" s="99" t="s">
        <v>1573</v>
      </c>
      <c r="I149" s="99" t="s">
        <v>1574</v>
      </c>
      <c r="J149" s="99" t="s">
        <v>1575</v>
      </c>
      <c r="K149" s="99" t="s">
        <v>1397</v>
      </c>
      <c r="L149" s="101" t="s">
        <v>1397</v>
      </c>
      <c r="M149" s="99" t="s">
        <v>1397</v>
      </c>
    </row>
    <row r="150" spans="1:13" hidden="1" x14ac:dyDescent="0.4">
      <c r="A150" s="98" t="s">
        <v>1576</v>
      </c>
      <c r="B150" s="217">
        <v>150</v>
      </c>
      <c r="C150" s="98" t="s">
        <v>1783</v>
      </c>
      <c r="D150" s="98" t="s">
        <v>1525</v>
      </c>
      <c r="E150" s="98" t="s">
        <v>1553</v>
      </c>
      <c r="F150" s="98" t="s">
        <v>1532</v>
      </c>
      <c r="G150" s="98" t="s">
        <v>1397</v>
      </c>
      <c r="H150" s="99" t="s">
        <v>1577</v>
      </c>
      <c r="I150" s="99" t="s">
        <v>1578</v>
      </c>
      <c r="J150" s="99" t="s">
        <v>1579</v>
      </c>
      <c r="K150" s="99" t="s">
        <v>1397</v>
      </c>
      <c r="L150" s="101" t="s">
        <v>1397</v>
      </c>
      <c r="M150" s="99" t="s">
        <v>1397</v>
      </c>
    </row>
    <row r="151" spans="1:13" hidden="1" x14ac:dyDescent="0.4">
      <c r="A151" s="98" t="s">
        <v>1580</v>
      </c>
      <c r="B151" s="217">
        <v>151</v>
      </c>
      <c r="C151" s="98" t="s">
        <v>1783</v>
      </c>
      <c r="D151" s="98" t="s">
        <v>1525</v>
      </c>
      <c r="E151" s="98" t="s">
        <v>1553</v>
      </c>
      <c r="F151" s="98" t="s">
        <v>1532</v>
      </c>
      <c r="G151" s="98" t="s">
        <v>1397</v>
      </c>
      <c r="H151" s="99" t="s">
        <v>630</v>
      </c>
      <c r="I151" s="99" t="s">
        <v>630</v>
      </c>
      <c r="J151" s="99" t="s">
        <v>1399</v>
      </c>
      <c r="K151" s="99" t="s">
        <v>1397</v>
      </c>
      <c r="L151" s="101" t="s">
        <v>1397</v>
      </c>
      <c r="M151" s="99" t="s">
        <v>1397</v>
      </c>
    </row>
  </sheetData>
  <sheetProtection algorithmName="SHA-512" hashValue="QQtKhcEgAFpfwZ5zQkpLdQSE8fne+Pj5SY0jrSXeCtxWeEOm8xuoP7WANbu1FWwbBvAPnqD/XUFG9TKfIDJDKg==" saltValue="9cAyVgqmQ3B0JRDIVnIFBA==" spinCount="100000" sheet="1" objects="1" scenarios="1" formatCells="0" autoFilter="0"/>
  <mergeCells count="1">
    <mergeCell ref="A1:F1"/>
  </mergeCells>
  <phoneticPr fontId="1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D1A1B-71E6-49E8-AA68-CF7899F8FAFC}">
  <sheetPr codeName="Sheet7"/>
  <dimension ref="A1:G10"/>
  <sheetViews>
    <sheetView workbookViewId="0">
      <selection activeCell="D13" sqref="D13"/>
    </sheetView>
  </sheetViews>
  <sheetFormatPr defaultColWidth="8.765625" defaultRowHeight="14.6" x14ac:dyDescent="0.4"/>
  <cols>
    <col min="1" max="1" width="4.53515625" style="143" customWidth="1"/>
    <col min="2" max="2" width="5.23046875" style="143" customWidth="1"/>
    <col min="3" max="3" width="4" style="143" bestFit="1" customWidth="1"/>
    <col min="4" max="4" width="64.07421875" style="143" customWidth="1"/>
    <col min="5" max="5" width="13.07421875" style="143" customWidth="1"/>
    <col min="6" max="6" width="14.4609375" style="143" customWidth="1"/>
    <col min="7" max="7" width="13.07421875" style="143" customWidth="1"/>
    <col min="8" max="16384" width="8.765625" style="143"/>
  </cols>
  <sheetData>
    <row r="1" spans="1:7" ht="18.45" x14ac:dyDescent="0.4">
      <c r="A1" s="440" t="s">
        <v>1988</v>
      </c>
      <c r="B1" s="440"/>
      <c r="C1" s="440"/>
      <c r="D1" s="440"/>
      <c r="E1" s="440"/>
      <c r="F1" s="440"/>
      <c r="G1" s="70"/>
    </row>
    <row r="2" spans="1:7" x14ac:dyDescent="0.4">
      <c r="A2" s="70"/>
      <c r="B2" s="70"/>
      <c r="C2" s="70"/>
      <c r="D2" s="70"/>
      <c r="E2" s="70"/>
      <c r="F2" s="70"/>
      <c r="G2" s="70"/>
    </row>
    <row r="3" spans="1:7" x14ac:dyDescent="0.4">
      <c r="A3" s="71" t="str">
        <f>VLOOKUP("SC01",tblTranslation[],LangFieldID,FALSE)</f>
        <v>Form</v>
      </c>
      <c r="B3" s="72" t="s">
        <v>1989</v>
      </c>
      <c r="C3" s="72" t="s">
        <v>1406</v>
      </c>
      <c r="D3" s="72" t="s">
        <v>630</v>
      </c>
      <c r="E3" s="72" t="s">
        <v>1990</v>
      </c>
      <c r="F3" s="72" t="s">
        <v>1991</v>
      </c>
      <c r="G3" s="72" t="s">
        <v>2776</v>
      </c>
    </row>
    <row r="4" spans="1:7" x14ac:dyDescent="0.4">
      <c r="A4" s="441" t="str">
        <f>VLOOKUP("T00",tblTranslation[],LangFieldID,FALSE)</f>
        <v>ST09-DomObPrg</v>
      </c>
      <c r="B4" s="444">
        <v>1</v>
      </c>
      <c r="C4" s="73" t="s">
        <v>607</v>
      </c>
      <c r="D4" s="74" t="s">
        <v>1992</v>
      </c>
      <c r="E4" s="75" t="s">
        <v>1993</v>
      </c>
      <c r="F4" s="76" t="str">
        <f>"{"&amp;LEFT('ST09A-FishingActivity'!Q2,4)&amp;"a}*"</f>
        <v>{2024a}*</v>
      </c>
      <c r="G4" s="77" t="s">
        <v>1994</v>
      </c>
    </row>
    <row r="5" spans="1:7" x14ac:dyDescent="0.4">
      <c r="A5" s="442"/>
      <c r="B5" s="445"/>
      <c r="C5" s="78" t="s">
        <v>608</v>
      </c>
      <c r="D5" s="79" t="s">
        <v>1995</v>
      </c>
      <c r="E5" s="70" t="s">
        <v>1993</v>
      </c>
      <c r="F5" s="80" t="s">
        <v>1996</v>
      </c>
      <c r="G5" s="81" t="s">
        <v>1994</v>
      </c>
    </row>
    <row r="6" spans="1:7" x14ac:dyDescent="0.4">
      <c r="A6" s="442"/>
      <c r="B6" s="446"/>
      <c r="C6" s="78" t="s">
        <v>609</v>
      </c>
      <c r="D6" s="79" t="s">
        <v>1997</v>
      </c>
      <c r="E6" s="70" t="s">
        <v>1993</v>
      </c>
      <c r="F6" s="80" t="s">
        <v>1998</v>
      </c>
      <c r="G6" s="81" t="s">
        <v>1994</v>
      </c>
    </row>
    <row r="7" spans="1:7" x14ac:dyDescent="0.4">
      <c r="A7" s="442"/>
      <c r="B7" s="444">
        <v>2</v>
      </c>
      <c r="C7" s="73" t="s">
        <v>2270</v>
      </c>
      <c r="D7" s="117" t="s">
        <v>2268</v>
      </c>
      <c r="E7" s="118" t="s">
        <v>1999</v>
      </c>
      <c r="F7" s="280" t="s">
        <v>2269</v>
      </c>
      <c r="G7" s="448" t="s">
        <v>2000</v>
      </c>
    </row>
    <row r="8" spans="1:7" x14ac:dyDescent="0.4">
      <c r="A8" s="443"/>
      <c r="B8" s="446"/>
      <c r="C8" s="82"/>
      <c r="D8" s="83"/>
      <c r="E8" s="84"/>
      <c r="F8" s="85"/>
      <c r="G8" s="449"/>
    </row>
    <row r="9" spans="1:7" x14ac:dyDescent="0.4">
      <c r="A9" s="70"/>
      <c r="B9" s="70"/>
      <c r="C9" s="70"/>
      <c r="D9" s="70"/>
      <c r="E9" s="70"/>
      <c r="F9" s="70"/>
      <c r="G9" s="70"/>
    </row>
    <row r="10" spans="1:7" x14ac:dyDescent="0.4">
      <c r="A10" s="447" t="s">
        <v>2775</v>
      </c>
      <c r="B10" s="447"/>
      <c r="C10" s="447"/>
      <c r="D10" s="447"/>
      <c r="E10" s="447"/>
      <c r="F10" s="447"/>
      <c r="G10" s="447"/>
    </row>
  </sheetData>
  <sheetProtection algorithmName="SHA-512" hashValue="xkCLTJPeKE5aslDC6OL/VTWNgc2oyHaE9dqZnv0xI+YK2EFQ7zzXVbu+qXyNoxznTdIT2w+8TbKK8mifD3Kh/A==" saltValue="D/UHv4083cYZsz4J2wdeTg==" spinCount="100000" sheet="1" objects="1" scenarios="1"/>
  <mergeCells count="6">
    <mergeCell ref="A1:F1"/>
    <mergeCell ref="A4:A8"/>
    <mergeCell ref="B4:B6"/>
    <mergeCell ref="B7:B8"/>
    <mergeCell ref="A10:G10"/>
    <mergeCell ref="G7:G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8"?>
<ct:contentTypeSchema xmlns:ct="http://schemas.microsoft.com/office/2006/metadata/contentType" xmlns:ma="http://schemas.microsoft.com/office/2006/metadata/properties/metaAttributes" ct:_="" ma:_="" ma:contentTypeName="Document" ma:contentTypeID="0x010100A3F8F08175445849B801B45F67ADC266" ma:contentTypeVersion="10" ma:contentTypeDescription="Create a new document." ma:contentTypeScope="" ma:versionID="95992f48ea84b699eb4adeed3afa07c7">
  <xsd:schema xmlns:xsd="http://www.w3.org/2001/XMLSchema" xmlns:xs="http://www.w3.org/2001/XMLSchema" xmlns:p="http://schemas.microsoft.com/office/2006/metadata/properties" xmlns:ns3="fba381bf-d947-4e1b-a065-f6ecbf093f80" targetNamespace="http://schemas.microsoft.com/office/2006/metadata/properties" ma:root="true" ma:fieldsID="22d579e6d0531aaf6da584b5b4de0808" ns3:_="">
    <xsd:import namespace="fba381bf-d947-4e1b-a065-f6ecbf093f8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a381bf-d947-4e1b-a065-f6ecbf093f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 t b l S T 0 9 A < / 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S h o w H i d d e n " > < C u s t o m C o n t e n t > < ! [ C D A T A [ T r u e ] ] > < / C u s t o m C o n t e n t > < / G e m i n i > 
</file>

<file path=customXml/item15.xml>��< ? x m l   v e r s i o n = " 1 . 0 "   e n c o d i n g = " U T F - 1 6 " ? > < G e m i n i   x m l n s = " h t t p : / / g e m i n i / p i v o t c u s t o m i z a t i o n / L i n k e d T a b l e U p d a t e M o d e " > < C u s t o m C o n t e n t > < ! [ C D A T A [ T r u e ] ] > < / C u s t o m C o n t e n t > < / G e m i n i > 
</file>

<file path=customXml/item16.xml><?xml version="1.0" encoding="utf-8"?>
<?mso-contentType ?>
<FormTemplates xmlns="http://schemas.microsoft.com/sharepoint/v3/contenttype/forms">
  <Display>DocumentLibraryForm</Display>
  <Edit>DocumentLibraryForm</Edit>
  <New>DocumentLibraryForm</New>
</FormTemplates>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T a b l e O r d e r " > < C u s t o m C o n t e n t > < ! [ C D A T A [ t b l S T 0 9 A ] ] > < / C u s t o m C o n t e n t > < / G e m i n i > 
</file>

<file path=customXml/item19.xml>��< ? x m l   v e r s i o n = " 1 . 0 "   e n c o d i n g = " U T F - 1 6 " ? > < G e m i n i   x m l n s = " h t t p : / / g e m i n i / p i v o t c u s t o m i z a t i o n / M a n u a l C a l c M o d e " > < C u s t o m C o n t e n t > < ! [ C D A T A [ F a l s 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 t b l S T 0 9 A 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 t b l S T 0 9 A 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 C o l u m n s \ F i s h O p e r C d < / K e y > < / a : K e y > < a : V a l u e   i : t y p e = " T a b l e W i d g e t B a s e V i e w S t a t e " / > < / a : K e y V a l u e O f D i a g r a m O b j e c t K e y a n y T y p e z b w N T n L X > < a : K e y V a l u e O f D i a g r a m O b j e c t K e y a n y T y p e z b w N T n L X > < a : K e y > < K e y > C o l u m n s \ F l a g V e s C d < / K e y > < / a : K e y > < a : V a l u e   i : t y p e = " T a b l e W i d g e t B a s e V i e w S t a t e " / > < / a : K e y V a l u e O f D i a g r a m O b j e c t K e y a n y T y p e z b w N T n L X > < a : K e y V a l u e O f D i a g r a m O b j e c t K e y a n y T y p e z b w N T n L X > < a : K e y > < K e y > C o l u m n s \ G e a r G r p C d < / K e y > < / a : K e y > < a : V a l u e   i : t y p e = " T a b l e W i d g e t B a s e V i e w S t a t e " / > < / a : K e y V a l u e O f D i a g r a m O b j e c t K e y a n y T y p e z b w N T n L X > < a : K e y V a l u e O f D i a g r a m O b j e c t K e y a n y T y p e z b w N T n L X > < a : K e y > < K e y > C o l u m n s \ N o V e s s e l s < / K e y > < / a : K e y > < a : V a l u e   i : t y p e = " T a b l e W i d g e t B a s e V i e w S t a t e " / > < / a : K e y V a l u e O f D i a g r a m O b j e c t K e y a n y T y p e z b w N T n L X > < a : K e y V a l u e O f D i a g r a m O b j e c t K e y a n y T y p e z b w N T n L X > < a : K e y > < K e y > C o l u m n s \ N o T r i p s < / K e y > < / a : K e y > < a : V a l u e   i : t y p e = " T a b l e W i d g e t B a s e V i e w S t a t e " / > < / a : K e y V a l u e O f D i a g r a m O b j e c t K e y a n y T y p e z b w N T n L X > < a : K e y V a l u e O f D i a g r a m O b j e c t K e y a n y T y p e z b w N T n L X > < a : K e y > < K e y > C o l u m n s \ T P e r i o d I D < / K e y > < / a : K e y > < a : V a l u e   i : t y p e = " T a b l e W i d g e t B a s e V i e w S t a t e " / > < / a : K e y V a l u e O f D i a g r a m O b j e c t K e y a n y T y p e z b w N T n L X > < a : K e y V a l u e O f D i a g r a m O b j e c t K e y a n y T y p e z b w N T n L X > < a : K e y > < K e y > C o l u m n s \ A r e a T 1 C d < / K e y > < / a : K e y > < a : V a l u e   i : t y p e = " T a b l e W i d g e t B a s e V i e w S t a t e " / > < / a : K e y V a l u e O f D i a g r a m O b j e c t K e y a n y T y p e z b w N T n L X > < a : K e y V a l u e O f D i a g r a m O b j e c t K e y a n y T y p e z b w N T n L X > < a : K e y > < K e y > C o l u m n s \ S s e t Y N < / K e y > < / a : K e y > < a : V a l u e   i : t y p e = " T a b l e W i d g e t B a s e V i e w S t a t e " / > < / a : K e y V a l u e O f D i a g r a m O b j e c t K e y a n y T y p e z b w N T n L X > < a : K e y V a l u e O f D i a g r a m O b j e c t K e y a n y T y p e z b w N T n L X > < a : K e y > < K e y > C o l u m n s \ N o S e t s < / K e y > < / a : K e y > < a : V a l u e   i : t y p e = " T a b l e W i d g e t B a s e V i e w S t a t e " / > < / a : K e y V a l u e O f D i a g r a m O b j e c t K e y a n y T y p e z b w N T n L X > < a : K e y V a l u e O f D i a g r a m O b j e c t K e y a n y T y p e z b w N T n L X > < a : K e y > < K e y > C o l u m n s \ N o H o o k s < / K e y > < / a : K e y > < a : V a l u e   i : t y p e = " T a b l e W i d g e t B a s e V i e w S t a t e " / > < / a : K e y V a l u e O f D i a g r a m O b j e c t K e y a n y T y p e z b w N T n L X > < a : K e y V a l u e O f D i a g r a m O b j e c t K e y a n y T y p e z b w N T n L X > < a : K e y > < K e y > C o l u m n s \ P e r c E f f o r t < / K e y > < / a : K e y > < a : V a l u e   i : t y p e = " T a b l e W i d g e t B a s e V i e w S t a t e " / > < / a : K e y V a l u e O f D i a g r a m O b j e c t K e y a n y T y p e z b w N T n L X > < a : K e y V a l u e O f D i a g r a m O b j e c t K e y a n y T y p e z b w N T n L X > < a : K e y > < K e y > C o l u m n s \ N o O b s S e t < / K e y > < / a : K e y > < a : V a l u e   i : t y p e = " T a b l e W i d g e t B a s e V i e w S t a t e " / > < / a : K e y V a l u e O f D i a g r a m O b j e c t K e y a n y T y p e z b w N T n L X > < a : K e y V a l u e O f D i a g r a m O b j e c t K e y a n y T y p e z b w N T n L X > < a : K e y > < K e y > C o l u m n s \ N o O b s H o o k < / K e y > < / a : K e y > < a : V a l u e   i : t y p e = " T a b l e W i d g e t B a s e V i e w S t a t e " / > < / a : K e y V a l u e O f D i a g r a m O b j e c t K e y a n y T y p e z b w N T n L X > < a : K e y V a l u e O f D i a g r a m O b j e c t K e y a n y T y p e z b w N T n L X > < a : K e y > < K e y > C o l u m n s \ H o o k C d < / K e y > < / a : K e y > < a : V a l u e   i : t y p e = " T a b l e W i d g e t B a s e V i e w S t a t e " / > < / a : K e y V a l u e O f D i a g r a m O b j e c t K e y a n y T y p e z b w N T n L X > < a : K e y V a l u e O f D i a g r a m O b j e c t K e y a n y T y p e z b w N T n L X > < a : K e y > < K e y > C o l u m n s \ H o o k s B a s < / K e y > < / a : K e y > < a : V a l u e   i : t y p e = " T a b l e W i d g e t B a s e V i e w S t a t e " / > < / a : K e y V a l u e O f D i a g r a m O b j e c t K e y a n y T y p e z b w N T n L X > < a : K e y V a l u e O f D i a g r a m O b j e c t K e y a n y T y p e z b w N T n L X > < a : K e y > < K e y > C o l u m n s \ S c h o o l T y p e C d < / K e y > < / a : K e y > < a : V a l u e   i : t y p e = " T a b l e W i d g e t B a s e V i e w S t a t e " / > < / a : K e y V a l u e O f D i a g r a m O b j e c t K e y a n y T y p e z b w N T n L X > < a : K e y V a l u e O f D i a g r a m O b j e c t K e y a n y T y p e z b w N T n L X > < a : K e y > < K e y > C o l u m n s \ M i t C d < / K e y > < / a : K e y > < a : V a l u e   i : t y p e = " T a b l e W i d g e t B a s e V i e w S t a t e " / > < / a : K e y V a l u e O f D i a g r a m O b j e c t K e y a n y T y p e z b w N T n L X > < a : K e y V a l u e O f D i a g r a m O b j e c t K e y a n y T y p e z b w N T n L X > < a : K e y > < K e y > C o l u m n s \ M i t i g a t i o n O T H < / 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1 6 " ? > < G e m i n i   x m l n s = " h t t p : / / g e m i n i / p i v o t c u s t o m i z a t i o n / T a b l e X M L _ t b l S T 0 9 A " > < C u s t o m C o n t e n t > < ! [ C D A T A [ < T a b l e W i d g e t G r i d S e r i a l i z a t i o n   x m l n s : x s i = " h t t p : / / w w w . w 3 . o r g / 2 0 0 1 / X M L S c h e m a - i n s t a n c e "   x m l n s : x s d = " h t t p : / / w w w . w 3 . o r g / 2 0 0 1 / X M L S c h e m a " > < C o l u m n S u g g e s t e d T y p e   / > < C o l u m n F o r m a t   / > < C o l u m n A c c u r a c y   / > < C o l u m n C u r r e n c y S y m b o l   / > < C o l u m n P o s i t i v e P a t t e r n   / > < C o l u m n N e g a t i v e P a t t e r n   / > < C o l u m n W i d t h s > < i t e m > < k e y > < s t r i n g > F i s h O p e r C d < / s t r i n g > < / k e y > < v a l u e > < i n t > 1 3 3 < / i n t > < / v a l u e > < / i t e m > < i t e m > < k e y > < s t r i n g > F l a g V e s C d < / s t r i n g > < / k e y > < v a l u e > < i n t > 1 2 1 < / i n t > < / v a l u e > < / i t e m > < i t e m > < k e y > < s t r i n g > G e a r G r p C d < / s t r i n g > < / k e y > < v a l u e > < i n t > 1 2 9 < / i n t > < / v a l u e > < / i t e m > < i t e m > < k e y > < s t r i n g > N o V e s s e l s < / s t r i n g > < / k e y > < v a l u e > < i n t > 1 2 1 < / i n t > < / v a l u e > < / i t e m > < i t e m > < k e y > < s t r i n g > N o T r i p s < / s t r i n g > < / k e y > < v a l u e > < i n t > 1 0 2 < / i n t > < / v a l u e > < / i t e m > < i t e m > < k e y > < s t r i n g > T P e r i o d I D < / s t r i n g > < / k e y > < v a l u e > < i n t > 1 2 0 < / i n t > < / v a l u e > < / i t e m > < i t e m > < k e y > < s t r i n g > A r e a T 1 C d < / s t r i n g > < / k e y > < v a l u e > < i n t > 1 1 8 < / i n t > < / v a l u e > < / i t e m > < i t e m > < k e y > < s t r i n g > S s e t Y N < / s t r i n g > < / k e y > < v a l u e > < i n t > 9 6 < / i n t > < / v a l u e > < / i t e m > < i t e m > < k e y > < s t r i n g > N o S e t s < / s t r i n g > < / k e y > < v a l u e > < i n t > 9 7 < / i n t > < / v a l u e > < / i t e m > < i t e m > < k e y > < s t r i n g > N o H o o k s < / s t r i n g > < / k e y > < v a l u e > < i n t > 1 1 4 < / i n t > < / v a l u e > < / i t e m > < i t e m > < k e y > < s t r i n g > P e r c E f f o r t < / s t r i n g > < / k e y > < v a l u e > < i n t > 1 1 9 < / i n t > < / v a l u e > < / i t e m > < i t e m > < k e y > < s t r i n g > N o O b s S e t < / s t r i n g > < / k e y > < v a l u e > < i n t > 1 2 0 < / i n t > < / v a l u e > < / i t e m > < i t e m > < k e y > < s t r i n g > N o O b s H o o k < / s t r i n g > < / k e y > < v a l u e > < i n t > 1 3 7 < / i n t > < / v a l u e > < / i t e m > < i t e m > < k e y > < s t r i n g > H o o k C d < / s t r i n g > < / k e y > < v a l u e > < i n t > 1 0 4 < / i n t > < / v a l u e > < / i t e m > < i t e m > < k e y > < s t r i n g > H o o k s B a s < / s t r i n g > < / k e y > < v a l u e > < i n t > 1 1 9 < / i n t > < / v a l u e > < / i t e m > < i t e m > < k e y > < s t r i n g > S c h o o l T y p e C d < / s t r i n g > < / k e y > < v a l u e > < i n t > 1 5 0 < / i n t > < / v a l u e > < / i t e m > < i t e m > < k e y > < s t r i n g > M i t C d < / s t r i n g > < / k e y > < v a l u e > < i n t > 8 9 < / i n t > < / v a l u e > < / i t e m > < i t e m > < k e y > < s t r i n g > M i t i g a t i o n O T H < / s t r i n g > < / k e y > < v a l u e > < i n t > 1 5 6 < / i n t > < / v a l u e > < / i t e m > < i t e m > < k e y > < s t r i n g > N o t e s < / s t r i n g > < / k e y > < v a l u e > < i n t > 8 8 < / i n t > < / v a l u e > < / i t e m > < / C o l u m n W i d t h s > < C o l u m n D i s p l a y I n d e x > < i t e m > < k e y > < s t r i n g > F i s h O p e r C d < / s t r i n g > < / k e y > < v a l u e > < i n t > 0 < / i n t > < / v a l u e > < / i t e m > < i t e m > < k e y > < s t r i n g > F l a g V e s C d < / s t r i n g > < / k e y > < v a l u e > < i n t > 1 < / i n t > < / v a l u e > < / i t e m > < i t e m > < k e y > < s t r i n g > G e a r G r p C d < / s t r i n g > < / k e y > < v a l u e > < i n t > 2 < / i n t > < / v a l u e > < / i t e m > < i t e m > < k e y > < s t r i n g > N o V e s s e l s < / s t r i n g > < / k e y > < v a l u e > < i n t > 3 < / i n t > < / v a l u e > < / i t e m > < i t e m > < k e y > < s t r i n g > N o T r i p s < / s t r i n g > < / k e y > < v a l u e > < i n t > 4 < / i n t > < / v a l u e > < / i t e m > < i t e m > < k e y > < s t r i n g > T P e r i o d I D < / s t r i n g > < / k e y > < v a l u e > < i n t > 5 < / i n t > < / v a l u e > < / i t e m > < i t e m > < k e y > < s t r i n g > A r e a T 1 C d < / s t r i n g > < / k e y > < v a l u e > < i n t > 6 < / i n t > < / v a l u e > < / i t e m > < i t e m > < k e y > < s t r i n g > S s e t Y N < / s t r i n g > < / k e y > < v a l u e > < i n t > 7 < / i n t > < / v a l u e > < / i t e m > < i t e m > < k e y > < s t r i n g > N o S e t s < / s t r i n g > < / k e y > < v a l u e > < i n t > 8 < / i n t > < / v a l u e > < / i t e m > < i t e m > < k e y > < s t r i n g > N o H o o k s < / s t r i n g > < / k e y > < v a l u e > < i n t > 9 < / i n t > < / v a l u e > < / i t e m > < i t e m > < k e y > < s t r i n g > P e r c E f f o r t < / s t r i n g > < / k e y > < v a l u e > < i n t > 1 0 < / i n t > < / v a l u e > < / i t e m > < i t e m > < k e y > < s t r i n g > N o O b s S e t < / s t r i n g > < / k e y > < v a l u e > < i n t > 1 1 < / i n t > < / v a l u e > < / i t e m > < i t e m > < k e y > < s t r i n g > N o O b s H o o k < / s t r i n g > < / k e y > < v a l u e > < i n t > 1 2 < / i n t > < / v a l u e > < / i t e m > < i t e m > < k e y > < s t r i n g > H o o k C d < / s t r i n g > < / k e y > < v a l u e > < i n t > 1 3 < / i n t > < / v a l u e > < / i t e m > < i t e m > < k e y > < s t r i n g > H o o k s B a s < / s t r i n g > < / k e y > < v a l u e > < i n t > 1 4 < / i n t > < / v a l u e > < / i t e m > < i t e m > < k e y > < s t r i n g > S c h o o l T y p e C d < / s t r i n g > < / k e y > < v a l u e > < i n t > 1 5 < / i n t > < / v a l u e > < / i t e m > < i t e m > < k e y > < s t r i n g > M i t C d < / s t r i n g > < / k e y > < v a l u e > < i n t > 1 6 < / i n t > < / v a l u e > < / i t e m > < i t e m > < k e y > < s t r i n g > M i t i g a t i o n O T H < / s t r i n g > < / k e y > < v a l u e > < i n t > 1 7 < / i n t > < / v a l u e > < / i t e m > < i t e m > < k e y > < s t r i n g > N o t e s < / s t r i n g > < / k e y > < v a l u e > < i n t > 1 8 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 2 0 1 9 - 0 1 - 3 0 T 1 5 : 3 8 : 5 6 . 2 5 6 5 3 6 3 + 0 1 : 0 0 < / L a s t P r o c e s s e d T i m e > < / D a t a M o d e l i n g S a n d b o x . S e r i a l i z e d S a n d b o x E r r o r C a c h e > ] ] > < / C u s t o m C o n t e n t > < / G e m i n i > 
</file>

<file path=customXml/item7.xml>��< ? x m l   v e r s i o n = " 1 . 0 "   e n c o d i n g = " U T F - 1 6 " ? > < G e m i n i   x m l n s = " h t t p : / / g e m i n i / p i v o t c u s t o m i z a t i o n / P o w e r P i v o t V e r s i o n " > < C u s t o m C o n t e n t > < ! [ C D A T A [ 2 0 1 5 . 1 3 0 . 8 0 0 . 8 6 9 ] ] > < / C u s t o m C o n t e n t > < / G e m i n i > 
</file>

<file path=customXml/item8.xml>��< ? x m l   v e r s i o n = " 1 . 0 "   e n c o d i n g = " U T F - 1 6 " ? > < G e m i n i   x m l n s = " h t t p : / / g e m i n i / p i v o t c u s t o m i z a t i o n / C l i e n t W i n d o w X M L " > < C u s t o m C o n t e n t > < ! [ C D A T A [ t b l S T 0 9 A ] ] > < / 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 t b l S T 0 9 A 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 t b l S T 0 9 A 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 C o l u m n s \ F i s h O p e r C d < / K e y > < / D i a g r a m O b j e c t K e y > < D i a g r a m O b j e c t K e y > < K e y > C o l u m n s \ F l a g V e s C d < / K e y > < / D i a g r a m O b j e c t K e y > < D i a g r a m O b j e c t K e y > < K e y > C o l u m n s \ G e a r G r p C d < / K e y > < / D i a g r a m O b j e c t K e y > < D i a g r a m O b j e c t K e y > < K e y > C o l u m n s \ N o V e s s e l s < / K e y > < / D i a g r a m O b j e c t K e y > < D i a g r a m O b j e c t K e y > < K e y > C o l u m n s \ N o T r i p s < / K e y > < / D i a g r a m O b j e c t K e y > < D i a g r a m O b j e c t K e y > < K e y > C o l u m n s \ T P e r i o d I D < / K e y > < / D i a g r a m O b j e c t K e y > < D i a g r a m O b j e c t K e y > < K e y > C o l u m n s \ A r e a T 1 C d < / K e y > < / D i a g r a m O b j e c t K e y > < D i a g r a m O b j e c t K e y > < K e y > C o l u m n s \ S s e t Y N < / K e y > < / D i a g r a m O b j e c t K e y > < D i a g r a m O b j e c t K e y > < K e y > C o l u m n s \ N o S e t s < / K e y > < / D i a g r a m O b j e c t K e y > < D i a g r a m O b j e c t K e y > < K e y > C o l u m n s \ N o H o o k s < / K e y > < / D i a g r a m O b j e c t K e y > < D i a g r a m O b j e c t K e y > < K e y > C o l u m n s \ P e r c E f f o r t < / K e y > < / D i a g r a m O b j e c t K e y > < D i a g r a m O b j e c t K e y > < K e y > C o l u m n s \ N o O b s S e t < / K e y > < / D i a g r a m O b j e c t K e y > < D i a g r a m O b j e c t K e y > < K e y > C o l u m n s \ N o O b s H o o k < / K e y > < / D i a g r a m O b j e c t K e y > < D i a g r a m O b j e c t K e y > < K e y > C o l u m n s \ H o o k C d < / K e y > < / D i a g r a m O b j e c t K e y > < D i a g r a m O b j e c t K e y > < K e y > C o l u m n s \ H o o k s B a s < / K e y > < / D i a g r a m O b j e c t K e y > < D i a g r a m O b j e c t K e y > < K e y > C o l u m n s \ S c h o o l T y p e C d < / K e y > < / D i a g r a m O b j e c t K e y > < D i a g r a m O b j e c t K e y > < K e y > C o l u m n s \ M i t C d < / K e y > < / D i a g r a m O b j e c t K e y > < D i a g r a m O b j e c t K e y > < K e y > C o l u m n s \ M i t i g a t i o n O T H < / 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 C o l u m n s \ F i s h O p e r C d < / K e y > < / a : K e y > < a : V a l u e   i : t y p e = " M e a s u r e G r i d N o d e V i e w S t a t e " > < L a y e d O u t > t r u e < / L a y e d O u t > < / a : V a l u e > < / a : K e y V a l u e O f D i a g r a m O b j e c t K e y a n y T y p e z b w N T n L X > < a : K e y V a l u e O f D i a g r a m O b j e c t K e y a n y T y p e z b w N T n L X > < a : K e y > < K e y > C o l u m n s \ F l a g V e s C d < / K e y > < / a : K e y > < a : V a l u e   i : t y p e = " M e a s u r e G r i d N o d e V i e w S t a t e " > < C o l u m n > 1 < / C o l u m n > < L a y e d O u t > t r u e < / L a y e d O u t > < / a : V a l u e > < / a : K e y V a l u e O f D i a g r a m O b j e c t K e y a n y T y p e z b w N T n L X > < a : K e y V a l u e O f D i a g r a m O b j e c t K e y a n y T y p e z b w N T n L X > < a : K e y > < K e y > C o l u m n s \ G e a r G r p C d < / K e y > < / a : K e y > < a : V a l u e   i : t y p e = " M e a s u r e G r i d N o d e V i e w S t a t e " > < C o l u m n > 2 < / C o l u m n > < L a y e d O u t > t r u e < / L a y e d O u t > < / a : V a l u e > < / a : K e y V a l u e O f D i a g r a m O b j e c t K e y a n y T y p e z b w N T n L X > < a : K e y V a l u e O f D i a g r a m O b j e c t K e y a n y T y p e z b w N T n L X > < a : K e y > < K e y > C o l u m n s \ N o V e s s e l s < / K e y > < / a : K e y > < a : V a l u e   i : t y p e = " M e a s u r e G r i d N o d e V i e w S t a t e " > < C o l u m n > 3 < / C o l u m n > < L a y e d O u t > t r u e < / L a y e d O u t > < / a : V a l u e > < / a : K e y V a l u e O f D i a g r a m O b j e c t K e y a n y T y p e z b w N T n L X > < a : K e y V a l u e O f D i a g r a m O b j e c t K e y a n y T y p e z b w N T n L X > < a : K e y > < K e y > C o l u m n s \ N o T r i p s < / K e y > < / a : K e y > < a : V a l u e   i : t y p e = " M e a s u r e G r i d N o d e V i e w S t a t e " > < C o l u m n > 4 < / C o l u m n > < L a y e d O u t > t r u e < / L a y e d O u t > < / a : V a l u e > < / a : K e y V a l u e O f D i a g r a m O b j e c t K e y a n y T y p e z b w N T n L X > < a : K e y V a l u e O f D i a g r a m O b j e c t K e y a n y T y p e z b w N T n L X > < a : K e y > < K e y > C o l u m n s \ T P e r i o d I D < / K e y > < / a : K e y > < a : V a l u e   i : t y p e = " M e a s u r e G r i d N o d e V i e w S t a t e " > < C o l u m n > 5 < / C o l u m n > < L a y e d O u t > t r u e < / L a y e d O u t > < / a : V a l u e > < / a : K e y V a l u e O f D i a g r a m O b j e c t K e y a n y T y p e z b w N T n L X > < a : K e y V a l u e O f D i a g r a m O b j e c t K e y a n y T y p e z b w N T n L X > < a : K e y > < K e y > C o l u m n s \ A r e a T 1 C d < / K e y > < / a : K e y > < a : V a l u e   i : t y p e = " M e a s u r e G r i d N o d e V i e w S t a t e " > < C o l u m n > 6 < / C o l u m n > < L a y e d O u t > t r u e < / L a y e d O u t > < / a : V a l u e > < / a : K e y V a l u e O f D i a g r a m O b j e c t K e y a n y T y p e z b w N T n L X > < a : K e y V a l u e O f D i a g r a m O b j e c t K e y a n y T y p e z b w N T n L X > < a : K e y > < K e y > C o l u m n s \ S s e t Y N < / K e y > < / a : K e y > < a : V a l u e   i : t y p e = " M e a s u r e G r i d N o d e V i e w S t a t e " > < C o l u m n > 7 < / C o l u m n > < L a y e d O u t > t r u e < / L a y e d O u t > < / a : V a l u e > < / a : K e y V a l u e O f D i a g r a m O b j e c t K e y a n y T y p e z b w N T n L X > < a : K e y V a l u e O f D i a g r a m O b j e c t K e y a n y T y p e z b w N T n L X > < a : K e y > < K e y > C o l u m n s \ N o S e t s < / K e y > < / a : K e y > < a : V a l u e   i : t y p e = " M e a s u r e G r i d N o d e V i e w S t a t e " > < C o l u m n > 8 < / C o l u m n > < L a y e d O u t > t r u e < / L a y e d O u t > < / a : V a l u e > < / a : K e y V a l u e O f D i a g r a m O b j e c t K e y a n y T y p e z b w N T n L X > < a : K e y V a l u e O f D i a g r a m O b j e c t K e y a n y T y p e z b w N T n L X > < a : K e y > < K e y > C o l u m n s \ N o H o o k s < / K e y > < / a : K e y > < a : V a l u e   i : t y p e = " M e a s u r e G r i d N o d e V i e w S t a t e " > < C o l u m n > 9 < / C o l u m n > < L a y e d O u t > t r u e < / L a y e d O u t > < / a : V a l u e > < / a : K e y V a l u e O f D i a g r a m O b j e c t K e y a n y T y p e z b w N T n L X > < a : K e y V a l u e O f D i a g r a m O b j e c t K e y a n y T y p e z b w N T n L X > < a : K e y > < K e y > C o l u m n s \ P e r c E f f o r t < / K e y > < / a : K e y > < a : V a l u e   i : t y p e = " M e a s u r e G r i d N o d e V i e w S t a t e " > < C o l u m n > 1 0 < / C o l u m n > < L a y e d O u t > t r u e < / L a y e d O u t > < / a : V a l u e > < / a : K e y V a l u e O f D i a g r a m O b j e c t K e y a n y T y p e z b w N T n L X > < a : K e y V a l u e O f D i a g r a m O b j e c t K e y a n y T y p e z b w N T n L X > < a : K e y > < K e y > C o l u m n s \ N o O b s S e t < / K e y > < / a : K e y > < a : V a l u e   i : t y p e = " M e a s u r e G r i d N o d e V i e w S t a t e " > < C o l u m n > 1 1 < / C o l u m n > < L a y e d O u t > t r u e < / L a y e d O u t > < / a : V a l u e > < / a : K e y V a l u e O f D i a g r a m O b j e c t K e y a n y T y p e z b w N T n L X > < a : K e y V a l u e O f D i a g r a m O b j e c t K e y a n y T y p e z b w N T n L X > < a : K e y > < K e y > C o l u m n s \ N o O b s H o o k < / K e y > < / a : K e y > < a : V a l u e   i : t y p e = " M e a s u r e G r i d N o d e V i e w S t a t e " > < C o l u m n > 1 2 < / C o l u m n > < L a y e d O u t > t r u e < / L a y e d O u t > < / a : V a l u e > < / a : K e y V a l u e O f D i a g r a m O b j e c t K e y a n y T y p e z b w N T n L X > < a : K e y V a l u e O f D i a g r a m O b j e c t K e y a n y T y p e z b w N T n L X > < a : K e y > < K e y > C o l u m n s \ H o o k C d < / K e y > < / a : K e y > < a : V a l u e   i : t y p e = " M e a s u r e G r i d N o d e V i e w S t a t e " > < C o l u m n > 1 3 < / C o l u m n > < L a y e d O u t > t r u e < / L a y e d O u t > < / a : V a l u e > < / a : K e y V a l u e O f D i a g r a m O b j e c t K e y a n y T y p e z b w N T n L X > < a : K e y V a l u e O f D i a g r a m O b j e c t K e y a n y T y p e z b w N T n L X > < a : K e y > < K e y > C o l u m n s \ H o o k s B a s < / K e y > < / a : K e y > < a : V a l u e   i : t y p e = " M e a s u r e G r i d N o d e V i e w S t a t e " > < C o l u m n > 1 4 < / C o l u m n > < L a y e d O u t > t r u e < / L a y e d O u t > < / a : V a l u e > < / a : K e y V a l u e O f D i a g r a m O b j e c t K e y a n y T y p e z b w N T n L X > < a : K e y V a l u e O f D i a g r a m O b j e c t K e y a n y T y p e z b w N T n L X > < a : K e y > < K e y > C o l u m n s \ S c h o o l T y p e C d < / K e y > < / a : K e y > < a : V a l u e   i : t y p e = " M e a s u r e G r i d N o d e V i e w S t a t e " > < C o l u m n > 1 5 < / C o l u m n > < L a y e d O u t > t r u e < / L a y e d O u t > < / a : V a l u e > < / a : K e y V a l u e O f D i a g r a m O b j e c t K e y a n y T y p e z b w N T n L X > < a : K e y V a l u e O f D i a g r a m O b j e c t K e y a n y T y p e z b w N T n L X > < a : K e y > < K e y > C o l u m n s \ M i t C d < / K e y > < / a : K e y > < a : V a l u e   i : t y p e = " M e a s u r e G r i d N o d e V i e w S t a t e " > < C o l u m n > 1 6 < / C o l u m n > < L a y e d O u t > t r u e < / L a y e d O u t > < / a : V a l u e > < / a : K e y V a l u e O f D i a g r a m O b j e c t K e y a n y T y p e z b w N T n L X > < a : K e y V a l u e O f D i a g r a m O b j e c t K e y a n y T y p e z b w N T n L X > < a : K e y > < K e y > C o l u m n s \ M i t i g a t i o n O T H < / K e y > < / a : K e y > < a : V a l u e   i : t y p e = " M e a s u r e G r i d N o d e V i e w S t a t e " > < C o l u m n > 1 7 < / C o l u m n > < L a y e d O u t > t r u e < / L a y e d O u t > < / a : V a l u e > < / a : K e y V a l u e O f D i a g r a m O b j e c t K e y a n y T y p e z b w N T n L X > < a : K e y V a l u e O f D i a g r a m O b j e c t K e y a n y T y p e z b w N T n L X > < a : K e y > < K e y > C o l u m n s \ N o t e s < / K e y > < / a : K e y > < a : V a l u e   i : t y p e = " M e a s u r e G r i d N o d e V i e w S t a t e " > < C o l u m n > 1 8 < / 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A2F6662-24F4-434C-8715-CB0A21AB66D2}">
  <ds:schemaRefs/>
</ds:datastoreItem>
</file>

<file path=customXml/itemProps10.xml><?xml version="1.0" encoding="utf-8"?>
<ds:datastoreItem xmlns:ds="http://schemas.openxmlformats.org/officeDocument/2006/customXml" ds:itemID="{4CBF602F-335C-4531-A665-CF766957B6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a381bf-d947-4e1b-a065-f6ecbf093f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1.xml><?xml version="1.0" encoding="utf-8"?>
<ds:datastoreItem xmlns:ds="http://schemas.openxmlformats.org/officeDocument/2006/customXml" ds:itemID="{5BBDCA16-5CA3-471F-901D-443B9A62267B}">
  <ds:schemaRefs/>
</ds:datastoreItem>
</file>

<file path=customXml/itemProps12.xml><?xml version="1.0" encoding="utf-8"?>
<ds:datastoreItem xmlns:ds="http://schemas.openxmlformats.org/officeDocument/2006/customXml" ds:itemID="{C39787DC-2D8E-4800-A5CE-A37E903B2BFF}">
  <ds:schemaRefs/>
</ds:datastoreItem>
</file>

<file path=customXml/itemProps13.xml><?xml version="1.0" encoding="utf-8"?>
<ds:datastoreItem xmlns:ds="http://schemas.openxmlformats.org/officeDocument/2006/customXml" ds:itemID="{9E2FEA41-85C1-406F-8ED0-1C5C2D4D4C4F}">
  <ds:schemaRefs/>
</ds:datastoreItem>
</file>

<file path=customXml/itemProps14.xml><?xml version="1.0" encoding="utf-8"?>
<ds:datastoreItem xmlns:ds="http://schemas.openxmlformats.org/officeDocument/2006/customXml" ds:itemID="{49C1913A-4505-4BA1-A6CF-76ADF24A2D66}">
  <ds:schemaRefs/>
</ds:datastoreItem>
</file>

<file path=customXml/itemProps15.xml><?xml version="1.0" encoding="utf-8"?>
<ds:datastoreItem xmlns:ds="http://schemas.openxmlformats.org/officeDocument/2006/customXml" ds:itemID="{477F21A0-8010-4C6D-8D63-872C600458DA}">
  <ds:schemaRefs/>
</ds:datastoreItem>
</file>

<file path=customXml/itemProps16.xml><?xml version="1.0" encoding="utf-8"?>
<ds:datastoreItem xmlns:ds="http://schemas.openxmlformats.org/officeDocument/2006/customXml" ds:itemID="{7153C787-2337-4717-951A-8B50B00C825A}">
  <ds:schemaRefs>
    <ds:schemaRef ds:uri="http://schemas.microsoft.com/sharepoint/v3/contenttype/forms"/>
  </ds:schemaRefs>
</ds:datastoreItem>
</file>

<file path=customXml/itemProps17.xml><?xml version="1.0" encoding="utf-8"?>
<ds:datastoreItem xmlns:ds="http://schemas.openxmlformats.org/officeDocument/2006/customXml" ds:itemID="{EE7243DC-F13A-4781-A3E5-DDC09D5251C1}">
  <ds:schemaRefs/>
</ds:datastoreItem>
</file>

<file path=customXml/itemProps18.xml><?xml version="1.0" encoding="utf-8"?>
<ds:datastoreItem xmlns:ds="http://schemas.openxmlformats.org/officeDocument/2006/customXml" ds:itemID="{F57CCD0F-3C46-4AA1-B051-4AEF19832541}">
  <ds:schemaRefs/>
</ds:datastoreItem>
</file>

<file path=customXml/itemProps19.xml><?xml version="1.0" encoding="utf-8"?>
<ds:datastoreItem xmlns:ds="http://schemas.openxmlformats.org/officeDocument/2006/customXml" ds:itemID="{BCED5B44-64C8-48D0-98B0-80EF56BA4ECC}">
  <ds:schemaRefs/>
</ds:datastoreItem>
</file>

<file path=customXml/itemProps2.xml><?xml version="1.0" encoding="utf-8"?>
<ds:datastoreItem xmlns:ds="http://schemas.openxmlformats.org/officeDocument/2006/customXml" ds:itemID="{67031D14-663F-4318-9DB9-CAC0C9EE60B1}">
  <ds:schemaRefs/>
</ds:datastoreItem>
</file>

<file path=customXml/itemProps3.xml><?xml version="1.0" encoding="utf-8"?>
<ds:datastoreItem xmlns:ds="http://schemas.openxmlformats.org/officeDocument/2006/customXml" ds:itemID="{C28996B5-1E40-4EB5-9BF9-A5E2AB9D411C}">
  <ds:schemaRefs/>
</ds:datastoreItem>
</file>

<file path=customXml/itemProps4.xml><?xml version="1.0" encoding="utf-8"?>
<ds:datastoreItem xmlns:ds="http://schemas.openxmlformats.org/officeDocument/2006/customXml" ds:itemID="{9814324B-F856-45ED-A95C-CF8D0EBD8FF2}">
  <ds:schemaRefs>
    <ds:schemaRef ds:uri="http://schemas.openxmlformats.org/package/2006/metadata/core-properties"/>
    <ds:schemaRef ds:uri="http://purl.org/dc/elements/1.1/"/>
    <ds:schemaRef ds:uri="http://schemas.microsoft.com/office/2006/documentManagement/types"/>
    <ds:schemaRef ds:uri="fba381bf-d947-4e1b-a065-f6ecbf093f80"/>
    <ds:schemaRef ds:uri="http://schemas.microsoft.com/office/2006/metadata/properties"/>
    <ds:schemaRef ds:uri="http://purl.org/dc/terms/"/>
    <ds:schemaRef ds:uri="http://www.w3.org/XML/1998/namespace"/>
    <ds:schemaRef ds:uri="http://schemas.microsoft.com/office/infopath/2007/PartnerControls"/>
    <ds:schemaRef ds:uri="http://purl.org/dc/dcmitype/"/>
  </ds:schemaRefs>
</ds:datastoreItem>
</file>

<file path=customXml/itemProps5.xml><?xml version="1.0" encoding="utf-8"?>
<ds:datastoreItem xmlns:ds="http://schemas.openxmlformats.org/officeDocument/2006/customXml" ds:itemID="{8FD99E77-490E-42AE-9FF1-8CED49DBF453}">
  <ds:schemaRefs/>
</ds:datastoreItem>
</file>

<file path=customXml/itemProps6.xml><?xml version="1.0" encoding="utf-8"?>
<ds:datastoreItem xmlns:ds="http://schemas.openxmlformats.org/officeDocument/2006/customXml" ds:itemID="{EDDDD3D6-FC9F-4CAA-BA4C-C8FD8BA59428}">
  <ds:schemaRefs/>
</ds:datastoreItem>
</file>

<file path=customXml/itemProps7.xml><?xml version="1.0" encoding="utf-8"?>
<ds:datastoreItem xmlns:ds="http://schemas.openxmlformats.org/officeDocument/2006/customXml" ds:itemID="{2098B58B-7F0A-4C10-BB65-118B00E4EF08}">
  <ds:schemaRefs/>
</ds:datastoreItem>
</file>

<file path=customXml/itemProps8.xml><?xml version="1.0" encoding="utf-8"?>
<ds:datastoreItem xmlns:ds="http://schemas.openxmlformats.org/officeDocument/2006/customXml" ds:itemID="{00BF762B-53A0-49A7-B92F-249470D19905}">
  <ds:schemaRefs/>
</ds:datastoreItem>
</file>

<file path=customXml/itemProps9.xml><?xml version="1.0" encoding="utf-8"?>
<ds:datastoreItem xmlns:ds="http://schemas.openxmlformats.org/officeDocument/2006/customXml" ds:itemID="{637D0527-B04D-42B4-AF99-4FEECBE06A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31</vt:i4>
      </vt:variant>
    </vt:vector>
  </HeadingPairs>
  <TitlesOfParts>
    <vt:vector size="38" baseType="lpstr">
      <vt:lpstr>ST09A-FishingActivity</vt:lpstr>
      <vt:lpstr>ST09B-Catch</vt:lpstr>
      <vt:lpstr>ST09C-Samples (Optional)</vt:lpstr>
      <vt:lpstr>Codes</vt:lpstr>
      <vt:lpstr>Instructions</vt:lpstr>
      <vt:lpstr>Translation</vt:lpstr>
      <vt:lpstr>Filters</vt:lpstr>
      <vt:lpstr>Content</vt:lpstr>
      <vt:lpstr>DataCollectionSource</vt:lpstr>
      <vt:lpstr>DCollSourceCode</vt:lpstr>
      <vt:lpstr>FlagA2ISO</vt:lpstr>
      <vt:lpstr>FlagA3ISO</vt:lpstr>
      <vt:lpstr>FlagCode</vt:lpstr>
      <vt:lpstr>FlagName</vt:lpstr>
      <vt:lpstr>FOpDepthCode</vt:lpstr>
      <vt:lpstr>FOperGrpCdA</vt:lpstr>
      <vt:lpstr>FOperTypeCode</vt:lpstr>
      <vt:lpstr>GearCovTypeCod</vt:lpstr>
      <vt:lpstr>GearGrpCode</vt:lpstr>
      <vt:lpstr>GridResolCode</vt:lpstr>
      <vt:lpstr>HookTypeCode</vt:lpstr>
      <vt:lpstr>Idiom</vt:lpstr>
      <vt:lpstr>InjurSclCode</vt:lpstr>
      <vt:lpstr>LangFieldID</vt:lpstr>
      <vt:lpstr>LangNameID</vt:lpstr>
      <vt:lpstr>LenTypeCode</vt:lpstr>
      <vt:lpstr>LLType</vt:lpstr>
      <vt:lpstr>LOACLassCode</vt:lpstr>
      <vt:lpstr>MitMeasCode</vt:lpstr>
      <vt:lpstr>MitMeasCode2</vt:lpstr>
      <vt:lpstr>PortsZones</vt:lpstr>
      <vt:lpstr>ProdTypeCode</vt:lpstr>
      <vt:lpstr>SchoolTypeCode</vt:lpstr>
      <vt:lpstr>SexCode</vt:lpstr>
      <vt:lpstr>SpeciesCode</vt:lpstr>
      <vt:lpstr>StatusCPC</vt:lpstr>
      <vt:lpstr>TPeriodID</vt:lpstr>
      <vt:lpstr>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de Bruyn</dc:creator>
  <cp:lastModifiedBy>Carlos Palma</cp:lastModifiedBy>
  <dcterms:created xsi:type="dcterms:W3CDTF">2013-09-19T10:10:51Z</dcterms:created>
  <dcterms:modified xsi:type="dcterms:W3CDTF">2024-02-04T19:00:51Z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0x010100A3F8F08175445849B801B45F67ADC266</vt:lpwstr>
  </property>
</Properties>
</file>