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forms\2024\ST01-10-TRI_2024a\"/>
    </mc:Choice>
  </mc:AlternateContent>
  <xr:revisionPtr revIDLastSave="0" documentId="13_ncr:1_{92B38C41-21DF-4663-A9BD-432F8F1BAE4E}" xr6:coauthVersionLast="47" xr6:coauthVersionMax="47" xr10:uidLastSave="{00000000-0000-0000-0000-000000000000}"/>
  <workbookProtection workbookAlgorithmName="SHA-512" workbookHashValue="oUjYHScfSb5bXiOlDvJjl4qd5l5VlY95jnG03EOgXioCF/AWhkbJV5m+0HndGu6CCowc4OYy34uJUiI/fZHStQ==" workbookSaltValue="YsyL+DcKOQduVgLlR4EJBg==" workbookSpinCount="100000" lockStructure="1"/>
  <bookViews>
    <workbookView xWindow="-103" yWindow="-103" windowWidth="33120" windowHeight="18000" xr2:uid="{00000000-000D-0000-FFFF-FFFF00000000}"/>
  </bookViews>
  <sheets>
    <sheet name="ST01A" sheetId="4" r:id="rId1"/>
    <sheet name="ST01B" sheetId="11" r:id="rId2"/>
    <sheet name="Codes" sheetId="6" r:id="rId3"/>
    <sheet name="Instructions" sheetId="9" r:id="rId4"/>
    <sheet name="Filters" sheetId="10" r:id="rId5"/>
    <sheet name="Translation" sheetId="7" state="hidden" r:id="rId6"/>
  </sheets>
  <definedNames>
    <definedName name="_xlnm._FilterDatabase" localSheetId="2" hidden="1">Codes!$A$2:$F$125</definedName>
    <definedName name="_xlnm._FilterDatabase" localSheetId="0" hidden="1">ST01A!$A$21:$S$24</definedName>
    <definedName name="Content">Codes!$H$65:$H$68</definedName>
    <definedName name="FisheryCodA">Codes!$H$3:$H$14</definedName>
    <definedName name="FisheryCodB">Codes!$H$3:$H$13</definedName>
    <definedName name="FlagA3ISO">Codes!$E$3:$E$175</definedName>
    <definedName name="FlagCode">Codes!$B$3:$B$175</definedName>
    <definedName name="FlagName">Codes!$A$3:$A$175</definedName>
    <definedName name="GearGrpCode">Codes!$H$20:$H$34</definedName>
    <definedName name="GRTCLassCode">Codes!$H$52:$H$54</definedName>
    <definedName name="Idiom">ST01A!$R$2</definedName>
    <definedName name="LangFieldID">Translation!$I$1</definedName>
    <definedName name="LangNameID">Translation!$I$2</definedName>
    <definedName name="LOACLassCode">Codes!$H$45:$H$47</definedName>
    <definedName name="PortsZones">Codes!$D$3:$D$169</definedName>
    <definedName name="TonTypeCode">Codes!$H$59:$H$60</definedName>
    <definedName name="Version">Codes!$H$39:$H$40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4" l="1"/>
  <c r="G58" i="9"/>
  <c r="G37" i="9"/>
  <c r="D24" i="4"/>
  <c r="G41" i="9"/>
  <c r="G42" i="9"/>
  <c r="G34" i="9"/>
  <c r="G24" i="4"/>
  <c r="E12" i="4"/>
  <c r="J11" i="4" s="1"/>
  <c r="F4" i="10" l="1"/>
  <c r="C19" i="4" l="1"/>
  <c r="D17" i="11" l="1"/>
  <c r="C6" i="11" l="1"/>
  <c r="G71" i="9" l="1"/>
  <c r="G70" i="9"/>
  <c r="G69" i="9"/>
  <c r="G68" i="9"/>
  <c r="G67" i="9"/>
  <c r="G66" i="9"/>
  <c r="G65" i="9"/>
  <c r="G64" i="9"/>
  <c r="G63" i="9"/>
  <c r="G62" i="9"/>
  <c r="G61" i="9"/>
  <c r="G60" i="9"/>
  <c r="G59" i="9"/>
  <c r="G57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0" i="9"/>
  <c r="G39" i="9"/>
  <c r="G38" i="9"/>
  <c r="G36" i="9"/>
  <c r="G35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I2" i="7"/>
  <c r="I1" i="7"/>
  <c r="F58" i="9" l="1"/>
  <c r="F37" i="9"/>
  <c r="F41" i="9"/>
  <c r="F42" i="9"/>
  <c r="F34" i="9"/>
  <c r="H11" i="9"/>
  <c r="H58" i="9"/>
  <c r="H37" i="9"/>
  <c r="H41" i="9"/>
  <c r="H42" i="9"/>
  <c r="H34" i="9"/>
  <c r="H23" i="4"/>
  <c r="L23" i="4"/>
  <c r="K23" i="4"/>
  <c r="I23" i="4"/>
  <c r="J23" i="4"/>
  <c r="G23" i="4"/>
  <c r="F23" i="4"/>
  <c r="D23" i="4"/>
  <c r="F59" i="9"/>
  <c r="A4" i="10"/>
  <c r="A3" i="10"/>
  <c r="E57" i="9"/>
  <c r="F27" i="9"/>
  <c r="H59" i="9"/>
  <c r="G9" i="11"/>
  <c r="H63" i="9"/>
  <c r="F26" i="9"/>
  <c r="G6" i="11"/>
  <c r="F64" i="9"/>
  <c r="G10" i="9"/>
  <c r="H16" i="4"/>
  <c r="F57" i="9"/>
  <c r="E65" i="9"/>
  <c r="H10" i="9"/>
  <c r="R1" i="4"/>
  <c r="H57" i="9"/>
  <c r="E67" i="9"/>
  <c r="G56" i="9"/>
  <c r="C1" i="4"/>
  <c r="A9" i="9"/>
  <c r="H56" i="9"/>
  <c r="C2" i="4"/>
  <c r="F11" i="9"/>
  <c r="Q1" i="4"/>
  <c r="H13" i="4"/>
  <c r="H24" i="4"/>
  <c r="J4" i="4" l="1"/>
  <c r="H17" i="11"/>
  <c r="K9" i="4" l="1"/>
  <c r="X24" i="4"/>
  <c r="Y24" i="4"/>
  <c r="U24" i="4" l="1"/>
  <c r="H12" i="9" l="1"/>
  <c r="F12" i="9" l="1"/>
  <c r="H71" i="9"/>
  <c r="H62" i="9"/>
  <c r="H70" i="9"/>
  <c r="H61" i="9"/>
  <c r="H69" i="9"/>
  <c r="H60" i="9"/>
  <c r="H68" i="9"/>
  <c r="H67" i="9"/>
  <c r="H64" i="9"/>
  <c r="H66" i="9"/>
  <c r="H65" i="9"/>
  <c r="F66" i="9"/>
  <c r="F65" i="9"/>
  <c r="F67" i="9"/>
  <c r="F71" i="9"/>
  <c r="F70" i="9"/>
  <c r="F69" i="9"/>
  <c r="F68" i="9"/>
  <c r="F62" i="9"/>
  <c r="F61" i="9"/>
  <c r="F60" i="9"/>
  <c r="H15" i="11"/>
  <c r="H16" i="11"/>
  <c r="M23" i="4"/>
  <c r="H27" i="9"/>
  <c r="H26" i="9"/>
  <c r="K15" i="11"/>
  <c r="E51" i="9"/>
  <c r="E44" i="9"/>
  <c r="A15" i="11"/>
  <c r="U22" i="4"/>
  <c r="E43" i="9"/>
  <c r="E46" i="9"/>
  <c r="E38" i="9"/>
  <c r="E36" i="9"/>
  <c r="F43" i="9"/>
  <c r="I15" i="11"/>
  <c r="H43" i="9"/>
  <c r="E15" i="11"/>
  <c r="M22" i="4"/>
  <c r="A13" i="4"/>
  <c r="A4" i="4"/>
  <c r="G16" i="4"/>
  <c r="P4" i="4"/>
  <c r="A22" i="4"/>
  <c r="G12" i="4"/>
  <c r="P22" i="4"/>
  <c r="H22" i="4"/>
  <c r="M21" i="4"/>
  <c r="A12" i="4"/>
  <c r="A1" i="4"/>
  <c r="K6" i="4"/>
  <c r="N22" i="4"/>
  <c r="F22" i="4"/>
  <c r="A21" i="4"/>
  <c r="A11" i="4"/>
  <c r="A17" i="4"/>
  <c r="G13" i="4"/>
  <c r="A18" i="4"/>
  <c r="K8" i="4"/>
  <c r="K4" i="4"/>
  <c r="D13" i="4"/>
  <c r="F6" i="4"/>
  <c r="R5" i="4"/>
  <c r="B9" i="4"/>
  <c r="E23" i="4"/>
  <c r="S23" i="4"/>
  <c r="Y23" i="4"/>
  <c r="H14" i="11"/>
  <c r="B16" i="11"/>
  <c r="I16" i="11"/>
  <c r="O16" i="11"/>
  <c r="C10" i="9"/>
  <c r="C13" i="9"/>
  <c r="D30" i="9"/>
  <c r="D43" i="9"/>
  <c r="C57" i="9"/>
  <c r="F15" i="9"/>
  <c r="F21" i="9"/>
  <c r="F28" i="9"/>
  <c r="F35" i="9"/>
  <c r="F49" i="9"/>
  <c r="F55" i="9"/>
  <c r="B3" i="9"/>
  <c r="H18" i="9"/>
  <c r="H24" i="9"/>
  <c r="H31" i="9"/>
  <c r="H38" i="9"/>
  <c r="H46" i="9"/>
  <c r="H52" i="9"/>
  <c r="F9" i="4"/>
  <c r="N23" i="4"/>
  <c r="T23" i="4"/>
  <c r="C16" i="11"/>
  <c r="J16" i="11"/>
  <c r="F5" i="11"/>
  <c r="D10" i="9"/>
  <c r="D13" i="9"/>
  <c r="C31" i="9"/>
  <c r="D57" i="9"/>
  <c r="F10" i="9"/>
  <c r="F16" i="9"/>
  <c r="F22" i="9"/>
  <c r="F29" i="9"/>
  <c r="F36" i="9"/>
  <c r="F44" i="9"/>
  <c r="F50" i="9"/>
  <c r="F56" i="9"/>
  <c r="B4" i="9"/>
  <c r="H13" i="9"/>
  <c r="H19" i="9"/>
  <c r="H25" i="9"/>
  <c r="H32" i="9"/>
  <c r="H39" i="9"/>
  <c r="H47" i="9"/>
  <c r="H53" i="9"/>
  <c r="K11" i="4"/>
  <c r="O23" i="4"/>
  <c r="U23" i="4"/>
  <c r="D16" i="11"/>
  <c r="K16" i="11"/>
  <c r="F9" i="11"/>
  <c r="E10" i="9"/>
  <c r="E13" i="9"/>
  <c r="D31" i="9"/>
  <c r="F17" i="9"/>
  <c r="F23" i="9"/>
  <c r="F30" i="9"/>
  <c r="F45" i="9"/>
  <c r="F51" i="9"/>
  <c r="F63" i="9"/>
  <c r="B5" i="9"/>
  <c r="H14" i="9"/>
  <c r="H20" i="9"/>
  <c r="H33" i="9"/>
  <c r="H40" i="9"/>
  <c r="H48" i="9"/>
  <c r="H54" i="9"/>
  <c r="B6" i="4"/>
  <c r="P23" i="4"/>
  <c r="V23" i="4"/>
  <c r="A5" i="4"/>
  <c r="E16" i="11"/>
  <c r="L16" i="11"/>
  <c r="A11" i="9"/>
  <c r="E16" i="9"/>
  <c r="E31" i="9"/>
  <c r="E59" i="9"/>
  <c r="F18" i="9"/>
  <c r="F24" i="9"/>
  <c r="F31" i="9"/>
  <c r="F38" i="9"/>
  <c r="F46" i="9"/>
  <c r="F52" i="9"/>
  <c r="B6" i="9"/>
  <c r="H15" i="9"/>
  <c r="H21" i="9"/>
  <c r="H28" i="9"/>
  <c r="H35" i="9"/>
  <c r="H49" i="9"/>
  <c r="H55" i="9"/>
  <c r="A7" i="4"/>
  <c r="B7" i="4"/>
  <c r="B23" i="4"/>
  <c r="Q23" i="4"/>
  <c r="A10" i="9"/>
  <c r="D64" i="9"/>
  <c r="F13" i="9"/>
  <c r="F19" i="9"/>
  <c r="F25" i="9"/>
  <c r="F32" i="9"/>
  <c r="F39" i="9"/>
  <c r="F47" i="9"/>
  <c r="F53" i="9"/>
  <c r="A2" i="9"/>
  <c r="B7" i="9"/>
  <c r="H16" i="9"/>
  <c r="H22" i="9"/>
  <c r="H29" i="9"/>
  <c r="H36" i="9"/>
  <c r="H44" i="9"/>
  <c r="H50" i="9"/>
  <c r="A23" i="4"/>
  <c r="B5" i="4"/>
  <c r="K5" i="4"/>
  <c r="W23" i="4"/>
  <c r="F6" i="11"/>
  <c r="F16" i="11"/>
  <c r="M16" i="11"/>
  <c r="B11" i="9"/>
  <c r="D20" i="9"/>
  <c r="B56" i="9"/>
  <c r="Q5" i="4"/>
  <c r="B8" i="4"/>
  <c r="C23" i="4"/>
  <c r="R23" i="4"/>
  <c r="X23" i="4"/>
  <c r="A14" i="11"/>
  <c r="A16" i="11"/>
  <c r="G16" i="11"/>
  <c r="N16" i="11"/>
  <c r="B10" i="9"/>
  <c r="B13" i="9"/>
  <c r="D25" i="9"/>
  <c r="C56" i="9"/>
  <c r="F14" i="9"/>
  <c r="F20" i="9"/>
  <c r="F33" i="9"/>
  <c r="F40" i="9"/>
  <c r="F48" i="9"/>
  <c r="F54" i="9"/>
  <c r="A1" i="9"/>
  <c r="H17" i="9"/>
  <c r="H23" i="9"/>
  <c r="H30" i="9"/>
  <c r="H45" i="9"/>
  <c r="H51" i="9"/>
  <c r="A6" i="11" l="1"/>
  <c r="B17" i="11" l="1"/>
  <c r="O24" i="4"/>
  <c r="P24" i="4"/>
  <c r="Q24" i="4"/>
  <c r="R24" i="4"/>
  <c r="W24" i="4"/>
  <c r="N17" i="11"/>
  <c r="C5" i="11" l="1"/>
  <c r="C9" i="11"/>
  <c r="C8" i="11"/>
  <c r="I17" i="11"/>
  <c r="N1" i="11"/>
  <c r="O1" i="11"/>
  <c r="A17" i="11"/>
  <c r="C17" i="11"/>
  <c r="G17" i="11"/>
  <c r="F17" i="11"/>
  <c r="E17" i="11"/>
  <c r="M17" i="11"/>
  <c r="L17" i="11"/>
  <c r="K17" i="11"/>
  <c r="J17" i="11"/>
  <c r="T24" i="4"/>
  <c r="O2" i="11"/>
  <c r="N2" i="11"/>
  <c r="G3" i="10"/>
  <c r="S24" i="4"/>
  <c r="A4" i="11"/>
  <c r="C2" i="11"/>
  <c r="C1" i="11"/>
  <c r="A1" i="11"/>
  <c r="A9" i="11"/>
  <c r="A8" i="11"/>
  <c r="A5" i="11"/>
  <c r="V24" i="4"/>
  <c r="C24" i="4"/>
  <c r="B24" i="4"/>
  <c r="F24" i="4"/>
  <c r="E24" i="4"/>
  <c r="A24" i="4"/>
  <c r="N24" i="4"/>
  <c r="M24" i="4"/>
  <c r="K24" i="4"/>
  <c r="J24" i="4"/>
  <c r="I24" i="4"/>
</calcChain>
</file>

<file path=xl/sharedStrings.xml><?xml version="1.0" encoding="utf-8"?>
<sst xmlns="http://schemas.openxmlformats.org/spreadsheetml/2006/main" count="2455" uniqueCount="1320">
  <si>
    <t>Name</t>
  </si>
  <si>
    <t>Phone</t>
  </si>
  <si>
    <t>Institution</t>
  </si>
  <si>
    <t>Department</t>
  </si>
  <si>
    <t>Address</t>
  </si>
  <si>
    <t>Country</t>
  </si>
  <si>
    <t>Data set characteristics</t>
  </si>
  <si>
    <t>Version reported</t>
  </si>
  <si>
    <t>ALB</t>
  </si>
  <si>
    <t>Other attributes</t>
  </si>
  <si>
    <t>Affiliation</t>
  </si>
  <si>
    <t>Algerie</t>
  </si>
  <si>
    <t>DZA</t>
  </si>
  <si>
    <t>Angola</t>
  </si>
  <si>
    <t>AGO</t>
  </si>
  <si>
    <t>Barbados</t>
  </si>
  <si>
    <t>BRB</t>
  </si>
  <si>
    <t>BRA</t>
  </si>
  <si>
    <t>Canada</t>
  </si>
  <si>
    <t>CAN</t>
  </si>
  <si>
    <t>Cape Verde</t>
  </si>
  <si>
    <t>CPV</t>
  </si>
  <si>
    <t>CHN</t>
  </si>
  <si>
    <t>CIV</t>
  </si>
  <si>
    <t>HRV</t>
  </si>
  <si>
    <t>CYP</t>
  </si>
  <si>
    <t>DNK</t>
  </si>
  <si>
    <t>ESP</t>
  </si>
  <si>
    <t>FRA</t>
  </si>
  <si>
    <t>DEU</t>
  </si>
  <si>
    <t>GRC</t>
  </si>
  <si>
    <t>IRL</t>
  </si>
  <si>
    <t>ITA</t>
  </si>
  <si>
    <t>NLD</t>
  </si>
  <si>
    <t>PRT</t>
  </si>
  <si>
    <t>NAM</t>
  </si>
  <si>
    <t>SWE</t>
  </si>
  <si>
    <t>GBR</t>
  </si>
  <si>
    <t>SPM</t>
  </si>
  <si>
    <t>TUN</t>
  </si>
  <si>
    <t>GIN</t>
  </si>
  <si>
    <t>LL</t>
  </si>
  <si>
    <t>Guinea Ecuatorial</t>
  </si>
  <si>
    <t>GNQ</t>
  </si>
  <si>
    <t>Gabon</t>
  </si>
  <si>
    <t>GAB</t>
  </si>
  <si>
    <t>Ghana</t>
  </si>
  <si>
    <t>GHA</t>
  </si>
  <si>
    <t>Honduras</t>
  </si>
  <si>
    <t>HND</t>
  </si>
  <si>
    <t>Iceland</t>
  </si>
  <si>
    <t>ISL</t>
  </si>
  <si>
    <t>Japan</t>
  </si>
  <si>
    <t>JPN</t>
  </si>
  <si>
    <t>KOR</t>
  </si>
  <si>
    <t>Libya</t>
  </si>
  <si>
    <t>LBY</t>
  </si>
  <si>
    <t>MLT</t>
  </si>
  <si>
    <t>TR</t>
  </si>
  <si>
    <t>Trolling</t>
  </si>
  <si>
    <t>Maroc</t>
  </si>
  <si>
    <t>MAR</t>
  </si>
  <si>
    <t>BB</t>
  </si>
  <si>
    <t>Mexico</t>
  </si>
  <si>
    <t>MEX</t>
  </si>
  <si>
    <t>Namibia</t>
  </si>
  <si>
    <t>Panama</t>
  </si>
  <si>
    <t>PAN</t>
  </si>
  <si>
    <t>RR</t>
  </si>
  <si>
    <t>Rod-and-reel</t>
  </si>
  <si>
    <t>Philippines</t>
  </si>
  <si>
    <t>PHL</t>
  </si>
  <si>
    <t>Russian Federation</t>
  </si>
  <si>
    <t>RUS</t>
  </si>
  <si>
    <t>STP</t>
  </si>
  <si>
    <t>South Africa</t>
  </si>
  <si>
    <t>ZAF</t>
  </si>
  <si>
    <t>HL</t>
  </si>
  <si>
    <t>Trinidad and Tobago</t>
  </si>
  <si>
    <t>TTO</t>
  </si>
  <si>
    <t>Tunisie</t>
  </si>
  <si>
    <t>GN</t>
  </si>
  <si>
    <t>TUR</t>
  </si>
  <si>
    <t>TN</t>
  </si>
  <si>
    <t>USA</t>
  </si>
  <si>
    <t>PS</t>
  </si>
  <si>
    <t>Purse seine</t>
  </si>
  <si>
    <t>Uruguay</t>
  </si>
  <si>
    <t>URY</t>
  </si>
  <si>
    <t>BMU</t>
  </si>
  <si>
    <t>FLK</t>
  </si>
  <si>
    <t>SHN</t>
  </si>
  <si>
    <t>AIA</t>
  </si>
  <si>
    <t>BLR</t>
  </si>
  <si>
    <t>TCA</t>
  </si>
  <si>
    <t>VGB</t>
  </si>
  <si>
    <t>Vanuatu</t>
  </si>
  <si>
    <t>VUT</t>
  </si>
  <si>
    <t>Venezuela</t>
  </si>
  <si>
    <t>VEN</t>
  </si>
  <si>
    <t>TP</t>
  </si>
  <si>
    <t>Chinese Taipei</t>
  </si>
  <si>
    <t>TAI</t>
  </si>
  <si>
    <t>Guyana</t>
  </si>
  <si>
    <t>GUY</t>
  </si>
  <si>
    <t>TW</t>
  </si>
  <si>
    <t>Trawl</t>
  </si>
  <si>
    <t>Albania</t>
  </si>
  <si>
    <t>Antigua and Barbuda</t>
  </si>
  <si>
    <t>ATG</t>
  </si>
  <si>
    <t>Argentina</t>
  </si>
  <si>
    <t>ARG</t>
  </si>
  <si>
    <t>HP</t>
  </si>
  <si>
    <t>Harpoon</t>
  </si>
  <si>
    <t>ABW</t>
  </si>
  <si>
    <t>Belarus</t>
  </si>
  <si>
    <t>BLZ</t>
  </si>
  <si>
    <t>Benin</t>
  </si>
  <si>
    <t>BEN</t>
  </si>
  <si>
    <t>BGR</t>
  </si>
  <si>
    <t>Cambodia</t>
  </si>
  <si>
    <t>KHM</t>
  </si>
  <si>
    <t>Cameroon</t>
  </si>
  <si>
    <t>CMR</t>
  </si>
  <si>
    <t>Cayman Islands</t>
  </si>
  <si>
    <t>CYM</t>
  </si>
  <si>
    <t>Colombia</t>
  </si>
  <si>
    <t>COL</t>
  </si>
  <si>
    <t>Congo</t>
  </si>
  <si>
    <t>COG</t>
  </si>
  <si>
    <t>Costa Rica</t>
  </si>
  <si>
    <t>CRI</t>
  </si>
  <si>
    <t>Cuba</t>
  </si>
  <si>
    <t>CUB</t>
  </si>
  <si>
    <t>Dominica</t>
  </si>
  <si>
    <t>DMA</t>
  </si>
  <si>
    <t>Dominican Republic</t>
  </si>
  <si>
    <t>DOM</t>
  </si>
  <si>
    <t>Egypt</t>
  </si>
  <si>
    <t>EGY</t>
  </si>
  <si>
    <t>EST</t>
  </si>
  <si>
    <t>Faroe Islands</t>
  </si>
  <si>
    <t>FRO</t>
  </si>
  <si>
    <t>GNB</t>
  </si>
  <si>
    <t>Gambia</t>
  </si>
  <si>
    <t>GMB</t>
  </si>
  <si>
    <t>Georgia</t>
  </si>
  <si>
    <t>GEO</t>
  </si>
  <si>
    <t>Grenada</t>
  </si>
  <si>
    <t>GRD</t>
  </si>
  <si>
    <t>Guatemala</t>
  </si>
  <si>
    <t>GTM</t>
  </si>
  <si>
    <t>Israel</t>
  </si>
  <si>
    <t>ISR</t>
  </si>
  <si>
    <t>Jamaica</t>
  </si>
  <si>
    <t>JAM</t>
  </si>
  <si>
    <t>LVA</t>
  </si>
  <si>
    <t>Lebanon</t>
  </si>
  <si>
    <t>LBN</t>
  </si>
  <si>
    <t>Liberia</t>
  </si>
  <si>
    <t>LBR</t>
  </si>
  <si>
    <t>LTU</t>
  </si>
  <si>
    <t>Mauritania</t>
  </si>
  <si>
    <t>MRT</t>
  </si>
  <si>
    <t>KNA</t>
  </si>
  <si>
    <t>Nigeria</t>
  </si>
  <si>
    <t>NGA</t>
  </si>
  <si>
    <t>Norway</t>
  </si>
  <si>
    <t>NOR</t>
  </si>
  <si>
    <t>POL</t>
  </si>
  <si>
    <t>Puerto Rico</t>
  </si>
  <si>
    <t>PRI</t>
  </si>
  <si>
    <t>ROU</t>
  </si>
  <si>
    <t>Senegal</t>
  </si>
  <si>
    <t>SEN</t>
  </si>
  <si>
    <t>SYC</t>
  </si>
  <si>
    <t>Sierra Leone</t>
  </si>
  <si>
    <t>SLE</t>
  </si>
  <si>
    <t>LCA</t>
  </si>
  <si>
    <t>VCT</t>
  </si>
  <si>
    <t>SYR</t>
  </si>
  <si>
    <t>Togo</t>
  </si>
  <si>
    <t>TGO</t>
  </si>
  <si>
    <t>Ukraine</t>
  </si>
  <si>
    <t>UKR</t>
  </si>
  <si>
    <t>St. Kitts, Nevis</t>
  </si>
  <si>
    <t>MP</t>
  </si>
  <si>
    <t>BEL</t>
  </si>
  <si>
    <t>Nicaragua</t>
  </si>
  <si>
    <t>NIC</t>
  </si>
  <si>
    <t>Aruba</t>
  </si>
  <si>
    <t>Belize</t>
  </si>
  <si>
    <t>Chile</t>
  </si>
  <si>
    <t>CHL</t>
  </si>
  <si>
    <t>El Salvador</t>
  </si>
  <si>
    <t>SLV</t>
  </si>
  <si>
    <t>Guinea Bissau</t>
  </si>
  <si>
    <t>India</t>
  </si>
  <si>
    <t>IND</t>
  </si>
  <si>
    <t>IRN</t>
  </si>
  <si>
    <t>Malaysia</t>
  </si>
  <si>
    <t>MYS</t>
  </si>
  <si>
    <t>Mauritius</t>
  </si>
  <si>
    <t>MUS</t>
  </si>
  <si>
    <t>Saint Kitts and Nevis</t>
  </si>
  <si>
    <t>PSE</t>
  </si>
  <si>
    <t>Seychelles</t>
  </si>
  <si>
    <t>Thailand</t>
  </si>
  <si>
    <t>THA</t>
  </si>
  <si>
    <t>US Virgin Islands</t>
  </si>
  <si>
    <t>VIR</t>
  </si>
  <si>
    <t>CP</t>
  </si>
  <si>
    <t>Anguilla</t>
  </si>
  <si>
    <t>Bahamas</t>
  </si>
  <si>
    <t>BHS</t>
  </si>
  <si>
    <t>Ecuador</t>
  </si>
  <si>
    <t>ECU</t>
  </si>
  <si>
    <t>Falklands</t>
  </si>
  <si>
    <t>Suriname</t>
  </si>
  <si>
    <t>SUR</t>
  </si>
  <si>
    <t>General</t>
  </si>
  <si>
    <t>Leave "blank" the fields for which you don't collect information</t>
  </si>
  <si>
    <t>Description</t>
  </si>
  <si>
    <t>Notes</t>
  </si>
  <si>
    <t>Header</t>
  </si>
  <si>
    <t>Detail</t>
  </si>
  <si>
    <t>Identification</t>
  </si>
  <si>
    <t>SVN</t>
  </si>
  <si>
    <t>Curaçao</t>
  </si>
  <si>
    <t>Bolivia</t>
  </si>
  <si>
    <t>BOL</t>
  </si>
  <si>
    <t>Montenegro</t>
  </si>
  <si>
    <t>MNE</t>
  </si>
  <si>
    <t>Serbia</t>
  </si>
  <si>
    <t>SRB</t>
  </si>
  <si>
    <t>Singapore</t>
  </si>
  <si>
    <t>SGP</t>
  </si>
  <si>
    <t>Switzerland</t>
  </si>
  <si>
    <t>CHE</t>
  </si>
  <si>
    <t>Section</t>
  </si>
  <si>
    <t>FieldID</t>
  </si>
  <si>
    <t>T01</t>
  </si>
  <si>
    <t>Pavillon déclarant</t>
  </si>
  <si>
    <t>Adresse</t>
  </si>
  <si>
    <t>Dirección</t>
  </si>
  <si>
    <t>Téléphone</t>
  </si>
  <si>
    <t>Teléfono</t>
  </si>
  <si>
    <t>Notas</t>
  </si>
  <si>
    <t>Identificación</t>
  </si>
  <si>
    <t>ST01-T1FC</t>
  </si>
  <si>
    <t>Version</t>
  </si>
  <si>
    <t>Language</t>
  </si>
  <si>
    <t>File name (proposed)</t>
  </si>
  <si>
    <t>Nom</t>
  </si>
  <si>
    <t>Département</t>
  </si>
  <si>
    <t>Pays</t>
  </si>
  <si>
    <t>Version transmise</t>
  </si>
  <si>
    <t>Réservé au Secrétariat</t>
  </si>
  <si>
    <t>Date reported</t>
  </si>
  <si>
    <t>Reference Nº</t>
  </si>
  <si>
    <t>Nº Reference</t>
  </si>
  <si>
    <t>Nº Referencia</t>
  </si>
  <si>
    <t>Fecha de notificación</t>
  </si>
  <si>
    <t>Correspondant statistique</t>
  </si>
  <si>
    <t>Otros atributos</t>
  </si>
  <si>
    <t>Nombre de archivo (propuesto)</t>
  </si>
  <si>
    <t>Nom du fichier (proposé)</t>
  </si>
  <si>
    <t>Afiliación</t>
  </si>
  <si>
    <t>Nombre</t>
  </si>
  <si>
    <t>Institución</t>
  </si>
  <si>
    <t>Departamento</t>
  </si>
  <si>
    <t>País</t>
  </si>
  <si>
    <t>Versión declarada</t>
  </si>
  <si>
    <t>COMISIÓN INTERNACIONAL PARA LA CONSERVACIÓN DEL ATÚN ATLÁNTICO</t>
  </si>
  <si>
    <t>INTERNATIONAL COMMISSION FOR THE CONSERVATION OF ATLANTIC TUNAS</t>
  </si>
  <si>
    <t>COMMISSION INTERNATIONALE POUR LA CONSERVATION DES THONIDÉS DE L'ATLANTIQUE</t>
  </si>
  <si>
    <t>T02</t>
  </si>
  <si>
    <t>Corresponsal estadístico</t>
  </si>
  <si>
    <t>Sub-section</t>
  </si>
  <si>
    <t xml:space="preserve">Section </t>
  </si>
  <si>
    <t>Descripción</t>
  </si>
  <si>
    <t>Sección</t>
  </si>
  <si>
    <t>G00</t>
  </si>
  <si>
    <t>Specific (by field)</t>
  </si>
  <si>
    <t>Spécifique (par champ)</t>
  </si>
  <si>
    <t>Específico (por campo)</t>
  </si>
  <si>
    <t>Part</t>
  </si>
  <si>
    <t>a)</t>
  </si>
  <si>
    <t>b)</t>
  </si>
  <si>
    <t>c)</t>
  </si>
  <si>
    <t>d)</t>
  </si>
  <si>
    <t>e)</t>
  </si>
  <si>
    <t>subtitle</t>
  </si>
  <si>
    <t>title</t>
  </si>
  <si>
    <t>Cabecera</t>
  </si>
  <si>
    <t>Tête</t>
  </si>
  <si>
    <t>Détail</t>
  </si>
  <si>
    <t>item</t>
  </si>
  <si>
    <t>G01a</t>
  </si>
  <si>
    <t>Partie</t>
  </si>
  <si>
    <t>Parte</t>
  </si>
  <si>
    <t>field</t>
  </si>
  <si>
    <t>Sous-section</t>
  </si>
  <si>
    <t>Sub-secciones</t>
  </si>
  <si>
    <t>Detalle</t>
  </si>
  <si>
    <t>Translation for Forms/instructions</t>
  </si>
  <si>
    <t>Secretariat use only</t>
  </si>
  <si>
    <t>FlagName</t>
  </si>
  <si>
    <t>FlagA3ISO</t>
  </si>
  <si>
    <t>FlagA2ISO</t>
  </si>
  <si>
    <t>AL</t>
  </si>
  <si>
    <t>DZ</t>
  </si>
  <si>
    <t>AO</t>
  </si>
  <si>
    <t>NCO</t>
  </si>
  <si>
    <t>AI</t>
  </si>
  <si>
    <t>AG</t>
  </si>
  <si>
    <t>AR</t>
  </si>
  <si>
    <t>AW</t>
  </si>
  <si>
    <t>BS</t>
  </si>
  <si>
    <t>BY</t>
  </si>
  <si>
    <t>ETRO</t>
  </si>
  <si>
    <t>BZ</t>
  </si>
  <si>
    <t>BJ</t>
  </si>
  <si>
    <t>NCC</t>
  </si>
  <si>
    <t>BO</t>
  </si>
  <si>
    <t>Brazil</t>
  </si>
  <si>
    <t>BR</t>
  </si>
  <si>
    <t>KH</t>
  </si>
  <si>
    <t>CM</t>
  </si>
  <si>
    <t>CA</t>
  </si>
  <si>
    <t>Artisanal, Industrial, ETRO</t>
  </si>
  <si>
    <t>CV</t>
  </si>
  <si>
    <t>KY</t>
  </si>
  <si>
    <t>CL</t>
  </si>
  <si>
    <t>China PR</t>
  </si>
  <si>
    <t>CN</t>
  </si>
  <si>
    <t>TWN</t>
  </si>
  <si>
    <t>CO</t>
  </si>
  <si>
    <t>CG</t>
  </si>
  <si>
    <t>CR</t>
  </si>
  <si>
    <t>Abidjan, S. Pedro</t>
  </si>
  <si>
    <t>CI</t>
  </si>
  <si>
    <t>CU</t>
  </si>
  <si>
    <t>CUW</t>
  </si>
  <si>
    <t>CW</t>
  </si>
  <si>
    <t>DM</t>
  </si>
  <si>
    <t>DO</t>
  </si>
  <si>
    <t>EC</t>
  </si>
  <si>
    <t>EG</t>
  </si>
  <si>
    <t>SV</t>
  </si>
  <si>
    <t>BE</t>
  </si>
  <si>
    <t>BG</t>
  </si>
  <si>
    <t>HR</t>
  </si>
  <si>
    <t>CY</t>
  </si>
  <si>
    <t>DK</t>
  </si>
  <si>
    <t>ES</t>
  </si>
  <si>
    <t>EE</t>
  </si>
  <si>
    <t>FR</t>
  </si>
  <si>
    <t>DE</t>
  </si>
  <si>
    <t>GR</t>
  </si>
  <si>
    <t>HUN</t>
  </si>
  <si>
    <t>HU</t>
  </si>
  <si>
    <t>IE</t>
  </si>
  <si>
    <t>Adriatic sea, Ionian sea, Ligurian sea, Sardenha, Strait of Sicily, Tyrrenean sea</t>
  </si>
  <si>
    <t>IT</t>
  </si>
  <si>
    <t>LV</t>
  </si>
  <si>
    <t>LT</t>
  </si>
  <si>
    <t>MT</t>
  </si>
  <si>
    <t>NL</t>
  </si>
  <si>
    <t>PL</t>
  </si>
  <si>
    <t>PT</t>
  </si>
  <si>
    <t>SI</t>
  </si>
  <si>
    <t>SE</t>
  </si>
  <si>
    <t>GB</t>
  </si>
  <si>
    <t>FK</t>
  </si>
  <si>
    <t>FO</t>
  </si>
  <si>
    <t>PM</t>
  </si>
  <si>
    <t>GA</t>
  </si>
  <si>
    <t>GM</t>
  </si>
  <si>
    <t>GE</t>
  </si>
  <si>
    <t>GH</t>
  </si>
  <si>
    <t>GD</t>
  </si>
  <si>
    <t>GT</t>
  </si>
  <si>
    <t>GW</t>
  </si>
  <si>
    <t>Artisanal, Industrial</t>
  </si>
  <si>
    <t>GQ</t>
  </si>
  <si>
    <t>GY</t>
  </si>
  <si>
    <t>HN</t>
  </si>
  <si>
    <t>IS</t>
  </si>
  <si>
    <t>IN</t>
  </si>
  <si>
    <t>Iran</t>
  </si>
  <si>
    <t>IR</t>
  </si>
  <si>
    <t>IL</t>
  </si>
  <si>
    <t>JM</t>
  </si>
  <si>
    <t>JP</t>
  </si>
  <si>
    <t>KR</t>
  </si>
  <si>
    <t>LB</t>
  </si>
  <si>
    <t>LR</t>
  </si>
  <si>
    <t>LY</t>
  </si>
  <si>
    <t>MY</t>
  </si>
  <si>
    <t>Tanger, Nador, ETRO</t>
  </si>
  <si>
    <t>MA</t>
  </si>
  <si>
    <t>MR</t>
  </si>
  <si>
    <t>MU</t>
  </si>
  <si>
    <t>MX</t>
  </si>
  <si>
    <t>ME</t>
  </si>
  <si>
    <t>NA</t>
  </si>
  <si>
    <t>NI</t>
  </si>
  <si>
    <t>NG</t>
  </si>
  <si>
    <t>NO</t>
  </si>
  <si>
    <t>Palestine</t>
  </si>
  <si>
    <t>PA</t>
  </si>
  <si>
    <t>PH</t>
  </si>
  <si>
    <t>PR</t>
  </si>
  <si>
    <t>RO</t>
  </si>
  <si>
    <t>RU</t>
  </si>
  <si>
    <t>ST</t>
  </si>
  <si>
    <t>KN</t>
  </si>
  <si>
    <t>SN</t>
  </si>
  <si>
    <t>RS</t>
  </si>
  <si>
    <t>SC</t>
  </si>
  <si>
    <t>SL</t>
  </si>
  <si>
    <t>SG</t>
  </si>
  <si>
    <t>ZA</t>
  </si>
  <si>
    <t>VC</t>
  </si>
  <si>
    <t>LC</t>
  </si>
  <si>
    <t>SR</t>
  </si>
  <si>
    <t>CH</t>
  </si>
  <si>
    <t>Syria</t>
  </si>
  <si>
    <t>SY</t>
  </si>
  <si>
    <t>TH</t>
  </si>
  <si>
    <t>TG</t>
  </si>
  <si>
    <t>Trinidad, Tobago</t>
  </si>
  <si>
    <t>TT</t>
  </si>
  <si>
    <t>Comercial, Recreational</t>
  </si>
  <si>
    <t>US</t>
  </si>
  <si>
    <t>BM</t>
  </si>
  <si>
    <t>VG</t>
  </si>
  <si>
    <t>SH</t>
  </si>
  <si>
    <t>TC</t>
  </si>
  <si>
    <t>UA</t>
  </si>
  <si>
    <t>UY</t>
  </si>
  <si>
    <t>VI</t>
  </si>
  <si>
    <t>VU</t>
  </si>
  <si>
    <t>VE</t>
  </si>
  <si>
    <t>Statistical correspondent</t>
  </si>
  <si>
    <t>Item</t>
  </si>
  <si>
    <t>Send the form to ICCAT with the proposed file name (if required, suffix it with an ID at the end)</t>
  </si>
  <si>
    <t>IRCS</t>
  </si>
  <si>
    <t>ICCATSerialNo</t>
  </si>
  <si>
    <t>NatRegNo</t>
  </si>
  <si>
    <t>VesselName</t>
  </si>
  <si>
    <t>LOA (m)</t>
  </si>
  <si>
    <t>Form</t>
  </si>
  <si>
    <t>Content</t>
  </si>
  <si>
    <t>Número de serie ICCAT</t>
  </si>
  <si>
    <t>Numéro de série ICCAT</t>
  </si>
  <si>
    <t>ICCAT Serial Number</t>
  </si>
  <si>
    <t>section</t>
  </si>
  <si>
    <t>Fishing days (ATL)</t>
  </si>
  <si>
    <t>Fishing days (MED)</t>
  </si>
  <si>
    <t>Final</t>
  </si>
  <si>
    <t>Preliminary</t>
  </si>
  <si>
    <t>Final estimations (no changes expected)</t>
  </si>
  <si>
    <t>Revision (FULL)</t>
  </si>
  <si>
    <t>Revision (PARTIAL)</t>
  </si>
  <si>
    <t>DtAuthFrom</t>
  </si>
  <si>
    <t>DtAuthTo</t>
  </si>
  <si>
    <t>D10</t>
  </si>
  <si>
    <t>D20</t>
  </si>
  <si>
    <t>H10</t>
  </si>
  <si>
    <t>Vessel name (latin)</t>
  </si>
  <si>
    <t>SWOM</t>
  </si>
  <si>
    <t>BFTE</t>
  </si>
  <si>
    <t>BFT Eastern stock (ATE + MED)</t>
  </si>
  <si>
    <t>BFTW</t>
  </si>
  <si>
    <t>BFT Western stock</t>
  </si>
  <si>
    <t>SWO Medditerranean stock</t>
  </si>
  <si>
    <t>SWON</t>
  </si>
  <si>
    <t>SWOS</t>
  </si>
  <si>
    <t>TROP</t>
  </si>
  <si>
    <t>Targeting sharks (major sp.)</t>
  </si>
  <si>
    <t>ALB Northern stock</t>
  </si>
  <si>
    <t>ALB Souther stock</t>
  </si>
  <si>
    <t>ALBN</t>
  </si>
  <si>
    <t>ALBS</t>
  </si>
  <si>
    <t>SWO Northern stock</t>
  </si>
  <si>
    <t>SWO Souther stock</t>
  </si>
  <si>
    <t>Fishery</t>
  </si>
  <si>
    <t>SHARKS</t>
  </si>
  <si>
    <t>CatchAP</t>
  </si>
  <si>
    <t>bCatchOutAP</t>
  </si>
  <si>
    <t>Días de pesca (ATL)</t>
  </si>
  <si>
    <t>Jours de pêche (ATL)</t>
  </si>
  <si>
    <t>Jours de pêche (MED)</t>
  </si>
  <si>
    <t>Días de pesca (MED)</t>
  </si>
  <si>
    <t>BFTE fishery only (details)</t>
  </si>
  <si>
    <t>Sólo pesquería BFTE (detalles)</t>
  </si>
  <si>
    <t>Seulement pêcherie BFTE (détails)</t>
  </si>
  <si>
    <t>Filter 1</t>
  </si>
  <si>
    <t>The ITU Radio Call Sign</t>
  </si>
  <si>
    <t>Vessel name in latin script</t>
  </si>
  <si>
    <t>LOAm</t>
  </si>
  <si>
    <t>FishDtot</t>
  </si>
  <si>
    <t>Total fishing days</t>
  </si>
  <si>
    <t>Jours de pêche total</t>
  </si>
  <si>
    <t>Días de pesca total</t>
  </si>
  <si>
    <t>SMTuna</t>
  </si>
  <si>
    <t>SC01</t>
  </si>
  <si>
    <t>SC02</t>
  </si>
  <si>
    <t>SC03</t>
  </si>
  <si>
    <t>SC04</t>
  </si>
  <si>
    <t>SC05</t>
  </si>
  <si>
    <t>SC06</t>
  </si>
  <si>
    <t>Formulaire</t>
  </si>
  <si>
    <t>Formulario</t>
  </si>
  <si>
    <t>subsection</t>
  </si>
  <si>
    <t>H20</t>
  </si>
  <si>
    <t>H30</t>
  </si>
  <si>
    <t>H40</t>
  </si>
  <si>
    <t>H11</t>
  </si>
  <si>
    <t>H12</t>
  </si>
  <si>
    <t>Filter 2</t>
  </si>
  <si>
    <t>ICCAT</t>
  </si>
  <si>
    <t>IsscfgName</t>
  </si>
  <si>
    <t xml:space="preserve">With purse lines (purse seines) </t>
  </si>
  <si>
    <t>TB</t>
  </si>
  <si>
    <t>Bottom trawls</t>
  </si>
  <si>
    <t>TM</t>
  </si>
  <si>
    <t xml:space="preserve">Midwater trawls </t>
  </si>
  <si>
    <t>GNS</t>
  </si>
  <si>
    <t>Set Gillnets</t>
  </si>
  <si>
    <t>GND</t>
  </si>
  <si>
    <t>Driftnets</t>
  </si>
  <si>
    <t>FPN</t>
  </si>
  <si>
    <t>Stationary uncovered pound nets</t>
  </si>
  <si>
    <t>LHP</t>
  </si>
  <si>
    <t>Handline and pole-lines (hand operated)</t>
  </si>
  <si>
    <t>LHM</t>
  </si>
  <si>
    <t>Handline and pole-lines (mechanized)</t>
  </si>
  <si>
    <t>LLS</t>
  </si>
  <si>
    <t>Set longlines</t>
  </si>
  <si>
    <t>LLD</t>
  </si>
  <si>
    <t>Drifting longlines</t>
  </si>
  <si>
    <t>LTL</t>
  </si>
  <si>
    <t>Trolling lines</t>
  </si>
  <si>
    <t>HAR</t>
  </si>
  <si>
    <t>Harpoons</t>
  </si>
  <si>
    <t>MIS</t>
  </si>
  <si>
    <t>Miscellaneus gear</t>
  </si>
  <si>
    <t>RG</t>
  </si>
  <si>
    <t>Recreational fishing gear</t>
  </si>
  <si>
    <t>Handlines</t>
  </si>
  <si>
    <t>Baitboats</t>
  </si>
  <si>
    <t>Longlines</t>
  </si>
  <si>
    <t>Gillnets</t>
  </si>
  <si>
    <t>Traps</t>
  </si>
  <si>
    <t>OTH</t>
  </si>
  <si>
    <t>Various gears (OR multi-purpose)</t>
  </si>
  <si>
    <t>Targeting Tropicals (YFT/BET/SKJ)</t>
  </si>
  <si>
    <t>Targeting small tuna sp.</t>
  </si>
  <si>
    <t>None of the ICCAT fisheries (by catch)</t>
  </si>
  <si>
    <t>Other (described in notes)</t>
  </si>
  <si>
    <t>VersionDescript</t>
  </si>
  <si>
    <t>ContentDescript</t>
  </si>
  <si>
    <t>ALBM</t>
  </si>
  <si>
    <t>ALB Medditerranean stock</t>
  </si>
  <si>
    <t>FieldType</t>
  </si>
  <si>
    <t>GearGrpName</t>
  </si>
  <si>
    <t>T03</t>
  </si>
  <si>
    <t>Versión</t>
  </si>
  <si>
    <t>Langue</t>
  </si>
  <si>
    <t>Idioma</t>
  </si>
  <si>
    <t>FishDatl</t>
  </si>
  <si>
    <t>FishDmed</t>
  </si>
  <si>
    <t>Number of fishing days in the Atlantic (total)</t>
  </si>
  <si>
    <t>Number of fishing days in the Medditerranen Sea (total)</t>
  </si>
  <si>
    <t>ICCAT code</t>
  </si>
  <si>
    <t>Filtre 1</t>
  </si>
  <si>
    <t>Filtro 1</t>
  </si>
  <si>
    <t>Filtre 2</t>
  </si>
  <si>
    <t>Filtro 2</t>
  </si>
  <si>
    <t>(fixed)</t>
  </si>
  <si>
    <t>MULTIFISH</t>
  </si>
  <si>
    <t>Preliminary estimates (changes expected)</t>
  </si>
  <si>
    <t>FldNameEN</t>
  </si>
  <si>
    <t>FldNameFR</t>
  </si>
  <si>
    <t>FldNameES</t>
  </si>
  <si>
    <t>FldInstructEN</t>
  </si>
  <si>
    <t>FldInstructFR</t>
  </si>
  <si>
    <t>FldInstructES</t>
  </si>
  <si>
    <t>CICTA</t>
  </si>
  <si>
    <t>CICAA</t>
  </si>
  <si>
    <t>General01</t>
  </si>
  <si>
    <t>General02</t>
  </si>
  <si>
    <t>General03</t>
  </si>
  <si>
    <t>General04</t>
  </si>
  <si>
    <t>General05</t>
  </si>
  <si>
    <t>n/a</t>
  </si>
  <si>
    <t>hName</t>
  </si>
  <si>
    <t>hEmail</t>
  </si>
  <si>
    <t>hPhone</t>
  </si>
  <si>
    <t>hInstit</t>
  </si>
  <si>
    <t>hDepart</t>
  </si>
  <si>
    <t>hAddress</t>
  </si>
  <si>
    <t>hCountry</t>
  </si>
  <si>
    <t>hFlagrep</t>
  </si>
  <si>
    <t>hVersion</t>
  </si>
  <si>
    <t>hContent</t>
  </si>
  <si>
    <t>hDaterep</t>
  </si>
  <si>
    <t>hRef</t>
  </si>
  <si>
    <t>hFName</t>
  </si>
  <si>
    <t>hFilter1</t>
  </si>
  <si>
    <t>hFilter2</t>
  </si>
  <si>
    <t>hNotes</t>
  </si>
  <si>
    <t>G01b</t>
  </si>
  <si>
    <t>G01c</t>
  </si>
  <si>
    <t>G01d</t>
  </si>
  <si>
    <t>G01e</t>
  </si>
  <si>
    <t>boolean</t>
  </si>
  <si>
    <t>date</t>
  </si>
  <si>
    <t>float</t>
  </si>
  <si>
    <t>integer</t>
  </si>
  <si>
    <t>SC07</t>
  </si>
  <si>
    <t>Bycatch (kg) outside Auth. Per.</t>
  </si>
  <si>
    <t>Captura fortuita (kg) fuera Per. Autor.</t>
  </si>
  <si>
    <t>Catches (kg) in Auth. Per.</t>
  </si>
  <si>
    <t>Capturas (kg) en Per.Aut.</t>
  </si>
  <si>
    <t>D11</t>
  </si>
  <si>
    <t>Fleet ID</t>
  </si>
  <si>
    <t>Flotte ID</t>
  </si>
  <si>
    <t>Autres attributs</t>
  </si>
  <si>
    <t>Fisheries (activity, 1 or +)</t>
  </si>
  <si>
    <t>Pêcheries (activité, 1 ou +)</t>
  </si>
  <si>
    <t xml:space="preserve">Pesquerías (actividad, 1 o +) </t>
  </si>
  <si>
    <t>Fishery1Cd</t>
  </si>
  <si>
    <t>Fishery 1 (cod)</t>
  </si>
  <si>
    <t>Fishery2Cd</t>
  </si>
  <si>
    <t>Fishery 2 (cod)</t>
  </si>
  <si>
    <t>Fishery3Cd</t>
  </si>
  <si>
    <t>Fishery 3 (cod)</t>
  </si>
  <si>
    <t>FlagVesCd</t>
  </si>
  <si>
    <t>Flag of Vessel (cod)</t>
  </si>
  <si>
    <t>Pavillon du navire (cod)</t>
  </si>
  <si>
    <t>Pabellón del buque (cód)</t>
  </si>
  <si>
    <t>Instructions</t>
  </si>
  <si>
    <t>Instrucciones</t>
  </si>
  <si>
    <t>Instructions to complete the form</t>
  </si>
  <si>
    <t>Instructions pour remplir le formulaire</t>
  </si>
  <si>
    <t>G01</t>
  </si>
  <si>
    <t>Reservado a la Secretaría</t>
  </si>
  <si>
    <t>H21</t>
  </si>
  <si>
    <t>Filtering criteria</t>
  </si>
  <si>
    <t>Critères de filtrage</t>
  </si>
  <si>
    <t>Criterios de filtrado</t>
  </si>
  <si>
    <t>Content (data)</t>
  </si>
  <si>
    <t>Contenu (données)</t>
  </si>
  <si>
    <t>Contenido (datos)</t>
  </si>
  <si>
    <t>Reservado a la Sacretaría</t>
  </si>
  <si>
    <t>E-mail</t>
  </si>
  <si>
    <t>Reporting Flag</t>
  </si>
  <si>
    <t>Internat. RCS</t>
  </si>
  <si>
    <t>RCS internat.</t>
  </si>
  <si>
    <t>RCS internac.</t>
  </si>
  <si>
    <t>Nat. Registry Nº (NRN)</t>
  </si>
  <si>
    <t>Nº Registre Nat. (NRN)</t>
  </si>
  <si>
    <t>T00</t>
  </si>
  <si>
    <t>Nom navire (latin)</t>
  </si>
  <si>
    <t>Nombre buque (latin)</t>
  </si>
  <si>
    <t>Pabellón declarante</t>
  </si>
  <si>
    <t>Date de déclaration</t>
  </si>
  <si>
    <t>Enviar el formulario a ICCAT con el nombre del archivo propuesto (si necesario, añadir como sufijo un ID al final)</t>
  </si>
  <si>
    <t>Saisir la longueur hors-tout totale (LOA) enregistrée du navire en mètres (arrondie à la première décimale)</t>
  </si>
  <si>
    <t>Nombre de jours de pêche dans l'Atlantique (total)</t>
  </si>
  <si>
    <t>Nombre de jours de pêche en Méditerranée (total)</t>
  </si>
  <si>
    <t>Authorised FROM</t>
  </si>
  <si>
    <t>Autorisé DE</t>
  </si>
  <si>
    <t>Autorizado DESDE</t>
  </si>
  <si>
    <t>Date (jj/mm/aaaa) de début de la période d'autorisation (AP) du navire à la pêcherie de BFTE</t>
  </si>
  <si>
    <t>Authorised TO</t>
  </si>
  <si>
    <t>Autorisé A</t>
  </si>
  <si>
    <t>Autorizado HASTA</t>
  </si>
  <si>
    <t>Date (jj/mm/aaaa) de fin de la période d'autorisation (AP) du navire à la pêcherie de BFTE</t>
  </si>
  <si>
    <t>Total des jours de pêche</t>
  </si>
  <si>
    <t>Instrucciones para cumplimentar el formulario</t>
  </si>
  <si>
    <t>Recomendación para los usuarios con bases de datos: para pegar un conjunto de datos completo en la sección de información detallada (debe tener la misma estructura y formato) se debe utilizar "Paste special (values)"</t>
  </si>
  <si>
    <t>H31</t>
  </si>
  <si>
    <t>Filter</t>
  </si>
  <si>
    <t>Type</t>
  </si>
  <si>
    <t>global</t>
  </si>
  <si>
    <t>Data must come in one of the valid SCRS electronic forms/Exchange formats</t>
  </si>
  <si>
    <t>Header section must be complete</t>
  </si>
  <si>
    <t>Detail section must be filled-in using ICCAT codes</t>
  </si>
  <si>
    <t>form specific</t>
  </si>
  <si>
    <t>Prises (kg) dans Per. Aut.</t>
  </si>
  <si>
    <t>Prise accessoire (kg) en dehors Per. Autor.</t>
  </si>
  <si>
    <t>In force</t>
  </si>
  <si>
    <t>Valid set</t>
  </si>
  <si>
    <t>In "codes" sheet</t>
  </si>
  <si>
    <t>[all fields]</t>
  </si>
  <si>
    <t>Table. Version types</t>
  </si>
  <si>
    <t>Table. Content types</t>
  </si>
  <si>
    <t>SCRS Filter criteria for acceptance/rejection of the data reported</t>
  </si>
  <si>
    <t>Positive Total fishing days (ATL+MED)</t>
  </si>
  <si>
    <t>[10, 15[</t>
  </si>
  <si>
    <t>[15, 20[</t>
  </si>
  <si>
    <t>LOA &lt; 10 m</t>
  </si>
  <si>
    <t>Fishery4Cd</t>
  </si>
  <si>
    <t>NrVessels</t>
  </si>
  <si>
    <t>&lt; 10</t>
  </si>
  <si>
    <t>&gt;= 40</t>
  </si>
  <si>
    <t>15 m &lt;= LOA &lt; 20 m</t>
  </si>
  <si>
    <t>LOAClass</t>
  </si>
  <si>
    <t>GRTClass</t>
  </si>
  <si>
    <t>GRT &gt;= 40 m</t>
  </si>
  <si>
    <t>Fleet attributes (small scale vessels ONLY)</t>
  </si>
  <si>
    <t>ISSFG (FAO)</t>
  </si>
  <si>
    <t>Fishery 4 (cod)</t>
  </si>
  <si>
    <t>Fleet description</t>
  </si>
  <si>
    <t>Table. Length classes (LOA) in meters (small vessels only)</t>
  </si>
  <si>
    <t>Table. Tonnage classes (GRT) in tonnes (small vessels ONLY)</t>
  </si>
  <si>
    <t>GearGrpCd</t>
  </si>
  <si>
    <t>Select the most appropriate Gear group code (ICCAT)</t>
  </si>
  <si>
    <t>Choisir le code du groupe d'engin le plus approprié (ICCAT)</t>
  </si>
  <si>
    <t>Sub-form</t>
  </si>
  <si>
    <t>SC08</t>
  </si>
  <si>
    <t>LOA class code (m)</t>
  </si>
  <si>
    <t>GRT class code (t)</t>
  </si>
  <si>
    <t>D10b</t>
  </si>
  <si>
    <t>D12b</t>
  </si>
  <si>
    <t>D13b</t>
  </si>
  <si>
    <t>D20b</t>
  </si>
  <si>
    <t>D21b</t>
  </si>
  <si>
    <t>D22b</t>
  </si>
  <si>
    <t>Sous-formulaire</t>
  </si>
  <si>
    <t>Subformulario</t>
  </si>
  <si>
    <t>Field (format)</t>
  </si>
  <si>
    <t>Champ (format)</t>
  </si>
  <si>
    <t>Campo (formato)</t>
  </si>
  <si>
    <t>Field (name)</t>
  </si>
  <si>
    <t>Campo (nombre)</t>
  </si>
  <si>
    <t>Champ (nom)</t>
  </si>
  <si>
    <t>NONE-BC</t>
  </si>
  <si>
    <t>Côte d'Ivoire</t>
  </si>
  <si>
    <t>H01</t>
  </si>
  <si>
    <t>T04</t>
  </si>
  <si>
    <t>ST01A (by Vessel)</t>
  </si>
  <si>
    <t>Description de la flottille</t>
  </si>
  <si>
    <t>No. Vessels</t>
  </si>
  <si>
    <t>[30, 40[</t>
  </si>
  <si>
    <t>30 t &lt;= GRT &lt; 40 t</t>
  </si>
  <si>
    <t>ST01A &amp; ST01B</t>
  </si>
  <si>
    <t>ST01A only</t>
  </si>
  <si>
    <t>Used in subforms</t>
  </si>
  <si>
    <t>&lt; 30</t>
  </si>
  <si>
    <t>GRT &lt; 30 t</t>
  </si>
  <si>
    <t>ST01B (by Fleet) 
OPTIONAL</t>
  </si>
  <si>
    <t>ST01A (par Navire)</t>
  </si>
  <si>
    <t>(auto)</t>
  </si>
  <si>
    <t>D00</t>
  </si>
  <si>
    <t>H00</t>
  </si>
  <si>
    <t>Choose fishery in which this fleet component has participated (option 4)</t>
  </si>
  <si>
    <t>Choose fishery in which this fleet component has participated (option 1)</t>
  </si>
  <si>
    <t>Choose fishery in which this fleet component has participated (option 2)</t>
  </si>
  <si>
    <t>Choose fishery in which this fleet component has participated (option 3)</t>
  </si>
  <si>
    <t>Enter the registered Length Overall (LOA) of the vessel in meters (rounded to 1 decimal)</t>
  </si>
  <si>
    <t>Choose fishery in which the Vessel has participated (option 1)</t>
  </si>
  <si>
    <t>Choose fishery in which the Vessel has participated (option 2)</t>
  </si>
  <si>
    <t>Choose fishery in which the Vessel has participated (option 3)</t>
  </si>
  <si>
    <t>Choose fishery in which the Vessel has participated (option 4)</t>
  </si>
  <si>
    <t>Choisir la pêcherie à laquelle le navire a participé (option 1)</t>
  </si>
  <si>
    <t>Choisir la pêcherie à laquelle le navire a participé (option 2)</t>
  </si>
  <si>
    <t>Choisir la pêcherie à laquelle le navire a participé (option 3)</t>
  </si>
  <si>
    <t>Choisir la pêcherie à laquelle le navire a participé (option 4)</t>
  </si>
  <si>
    <t>Elegir la pesquería en la que ha participado el buque (opción 1)</t>
  </si>
  <si>
    <t>Elegir la pesquería en la que ha participado el buque (opción 2)</t>
  </si>
  <si>
    <t>Elegir la pesquería en la que ha participado el buque (opción 3)</t>
  </si>
  <si>
    <t>Elegir la pesquería en la que ha participado el buque (opción 4)</t>
  </si>
  <si>
    <t>Introducir las capturas (kg) del buque en el periodo autorizado (AP)</t>
  </si>
  <si>
    <t>Introducir la eslora total (LOA) registrada del buque en metros (redondeado al primer decimal)</t>
  </si>
  <si>
    <t>Complete as far as possible the Header and Detail sections (don't leave fields empty when information is known)</t>
  </si>
  <si>
    <t>In Header section, only white cells can be filled (manually or by selecting from the Combo Box the corresponding code)</t>
  </si>
  <si>
    <t>Always use ICCAT standard codes (when element "OTHERS" of various fields is required it must be explicitly described in "Notes")</t>
  </si>
  <si>
    <t>Toujours utiliser les codes standard ICCAT (si l'élément "AUTRES" de divers champs est requis, celui-ci doit être explicitement décrit dans la rubrique "notes")</t>
  </si>
  <si>
    <t>Dans la section d'en-tête, seules les cellules vides peuvent être remplies (manuellement ou en sélectionnant le code correspondant dans le menu déroulant)</t>
  </si>
  <si>
    <t>Remplir, dans la mesure du possible, les sections "en-tête" et "information détaillée" (ne pas laisser de champs vides lorsque l'information est connue)</t>
  </si>
  <si>
    <t>Choisir le pavillon du navire auquel les données s'appliquent (navire sous pavillon national ou étranger)</t>
  </si>
  <si>
    <t>Escoger el pabellón del buque al que se refieren los datos (ya sea un buque nacional o con pabelllón extranjero)</t>
  </si>
  <si>
    <t>Cumplimentar con la mayor información posible las secciones "cabecera" e "información detallada" (no dejar campos vacíos cuando se conoce la información)</t>
  </si>
  <si>
    <t>En la sección de cabecera, sólo pueden cumplimentarse las celdas en blanco (manualmente o seleccionando en la pestaña desplegable el código correspondiente)</t>
  </si>
  <si>
    <t>Utilice siempre los códigos estándar ICCAT (cuando se requiere el elemento "OTROS" de varios campos, éste debe describirse explícitamente en las "Notas")</t>
  </si>
  <si>
    <t>Choisir la pêcherie à laquelle cette composante de la flottille a participé (option 1)</t>
  </si>
  <si>
    <t>Choisir la pêcherie à laquelle cette composante de la flottille a participé (option 2)</t>
  </si>
  <si>
    <t>Choisir la pêcherie à laquelle cette composante de la flottille a participé (option 3)</t>
  </si>
  <si>
    <t>Choisir la pêcherie à laquelle cette composante de la flottille a participé (option 4)</t>
  </si>
  <si>
    <t>Elegir la pesquería en la que este componente de la flota ha participado (opción 1)</t>
  </si>
  <si>
    <t>Elegir la pesquería en la que este componente de la flota ha participado (opción 2)</t>
  </si>
  <si>
    <t>Elegir la pesquería en la que este componente de la flota ha participado (opción 3)</t>
  </si>
  <si>
    <t>Elegir la pesquería en la que este componente de la flota ha participado (opción 4)</t>
  </si>
  <si>
    <t>Total number of fishing days of this fleet component in the Medditerranen Sea</t>
  </si>
  <si>
    <t>Individual fishing vessels with positive effort (active) in any of the ICCAT fisheries</t>
  </si>
  <si>
    <t>Buques de pesca individuales con esfuerzo positivo (activos) en cualquiera de las pesquerías de ICCAT</t>
  </si>
  <si>
    <t>SMALL SCALE (LOA &lt;20 m) active fishing vessels ONLY: fleet component summaries not fishing for BFT-E or SWO-M</t>
  </si>
  <si>
    <t>Clase LOA (m)</t>
  </si>
  <si>
    <t>Clase TRB (t)</t>
  </si>
  <si>
    <t>ST01B (par Flottille)  
OPTIONAL</t>
  </si>
  <si>
    <t>ST01A (por Buque)</t>
  </si>
  <si>
    <t>Jours de pêche (flottille, ATL)</t>
  </si>
  <si>
    <t>Fishing days (fleet, ATL)</t>
  </si>
  <si>
    <t>Fishing days (fleet, MED)</t>
  </si>
  <si>
    <t>Jours de pêche (flottille, MED)</t>
  </si>
  <si>
    <t>Días de pesca (flota, ATL)</t>
  </si>
  <si>
    <t>Días de pesca (flota, MED)</t>
  </si>
  <si>
    <t>A short description of the fleet (or fleet component) in question</t>
  </si>
  <si>
    <t>Choose the Length Overall (LOA) class of the fleet component (group of vessels)</t>
  </si>
  <si>
    <t>Choose the Gross Registered Tonnage (GRT) class of the fleet component (group of vessels)</t>
  </si>
  <si>
    <t>Total number of fishing days of this fleet component in the Atlantic</t>
  </si>
  <si>
    <t>Number of active vessels belonging to this fleet component</t>
  </si>
  <si>
    <t>Navires de pêche individuels avec un effort positif (actifs) dans les pêcheries de l'ICCAT</t>
  </si>
  <si>
    <t>UNIQUEMENT les navires de pêche actifs de PETITE TAILLE  (LOA &lt;20 m): résumés des composantes de la flottille ne pêchant pas du BFT-E ou SWO-M</t>
  </si>
  <si>
    <t>SOLO buques de pesca activos de PEQUEÑA ESCALA (LOA&lt;20 m):  resúmenes de componentes de la flota que no pescan BFT-E o SWO-M</t>
  </si>
  <si>
    <t>Descripción de la flota</t>
  </si>
  <si>
    <t>Description succincte de la flottille (ou composante de la flottille) en question</t>
  </si>
  <si>
    <t>Una breve descripción de la flota (o componente de la flota) en cuestión</t>
  </si>
  <si>
    <t>Classe de LOA (m)</t>
  </si>
  <si>
    <t>Choisir la classe de longueur hors tout (LOA) de la composante de la flottille (groupe de navires)</t>
  </si>
  <si>
    <t>Elegir la clase de eslora total (LOA) del componente de la flota (grupo de buques)</t>
  </si>
  <si>
    <t>Classe de TJB (t)</t>
  </si>
  <si>
    <t>Choisir la classe de tonnes de jauge brute (TJB) de la composante de la flottille (groupe de navires)</t>
  </si>
  <si>
    <t>Elegir la clase de tonelaje de registro bruto (TRB) del componente de la flota (grupo de buques)</t>
  </si>
  <si>
    <t>Nbre de navires</t>
  </si>
  <si>
    <t>Nº buques</t>
  </si>
  <si>
    <t>Nombre de navires actifs appartenant à cette composante de la flottille</t>
  </si>
  <si>
    <t>Nombre total de jours de pêche de cette composante de la flottille dans l'Atlantique</t>
  </si>
  <si>
    <t>Número total de días de pesca de este componente de la flota en el Atlántico</t>
  </si>
  <si>
    <t>Nombre total de jours de pêche de cette composante de la flottille en Méditerranée</t>
  </si>
  <si>
    <t>Número total de días de pesca de este componente de la flota en el Mediterráneo</t>
  </si>
  <si>
    <t>10 m &lt;= LOA &lt; 15 m</t>
  </si>
  <si>
    <t>Choose fishery in which this fleet component has participated (option 5)</t>
  </si>
  <si>
    <t>Choisir la pêcherie à laquelle cette composante de la flottille a participé (option 5)</t>
  </si>
  <si>
    <t>Elegir la pesquería en la que este componente de la flota ha participado (opción 5)</t>
  </si>
  <si>
    <t>Fishery5Cd</t>
  </si>
  <si>
    <t>Fishery 5 (cod)</t>
  </si>
  <si>
    <t>Choose fishery in which the Vessel has participated (option 5)</t>
  </si>
  <si>
    <t>Choisir la pêcherie à laquelle le navire a participé (option 5)</t>
  </si>
  <si>
    <t>Elegir la pesquería en la que ha participado el buque (opción 5)</t>
  </si>
  <si>
    <t>Canárias, Coruña, Cantabric sea, ETRO, MEDI, Recreational (or Sport)</t>
  </si>
  <si>
    <t>Recreational (or Sport)</t>
  </si>
  <si>
    <t>Mainland, Azores, Madeira, Recreational (or Sport)</t>
  </si>
  <si>
    <t>National, Foreign, Recreational (or Sport)</t>
  </si>
  <si>
    <t>Artisanal, ETRO, Recreational (or Sport)</t>
  </si>
  <si>
    <t>Table. Reporting Flags, Flags of Vessel / Countries (A2 &amp; A3 ISO 3166)</t>
  </si>
  <si>
    <t>Andorra</t>
  </si>
  <si>
    <t>AND</t>
  </si>
  <si>
    <t>AD</t>
  </si>
  <si>
    <t>Australia</t>
  </si>
  <si>
    <t>AUS</t>
  </si>
  <si>
    <t>AU</t>
  </si>
  <si>
    <t>Brunei</t>
  </si>
  <si>
    <t>BND</t>
  </si>
  <si>
    <t>BN</t>
  </si>
  <si>
    <t>Cook Islands</t>
  </si>
  <si>
    <t>COK</t>
  </si>
  <si>
    <t>CK</t>
  </si>
  <si>
    <t>Fiji Islands</t>
  </si>
  <si>
    <t>FJI</t>
  </si>
  <si>
    <t>FJ</t>
  </si>
  <si>
    <t>Guam</t>
  </si>
  <si>
    <t>GUM</t>
  </si>
  <si>
    <t>GU</t>
  </si>
  <si>
    <t>Haiti</t>
  </si>
  <si>
    <t>HTI</t>
  </si>
  <si>
    <t>HT</t>
  </si>
  <si>
    <t>Indonesia</t>
  </si>
  <si>
    <t>IDN</t>
  </si>
  <si>
    <t>ID</t>
  </si>
  <si>
    <t>Kenya</t>
  </si>
  <si>
    <t>KEN</t>
  </si>
  <si>
    <t>KE</t>
  </si>
  <si>
    <t>Kiribati</t>
  </si>
  <si>
    <t>KIR</t>
  </si>
  <si>
    <t>KI</t>
  </si>
  <si>
    <t>Kuwait</t>
  </si>
  <si>
    <t>KWT</t>
  </si>
  <si>
    <t>KW</t>
  </si>
  <si>
    <t>Madagascar</t>
  </si>
  <si>
    <t>MDG</t>
  </si>
  <si>
    <t>MG</t>
  </si>
  <si>
    <t>Maldives</t>
  </si>
  <si>
    <t>MDV</t>
  </si>
  <si>
    <t>MV</t>
  </si>
  <si>
    <t>Marshall Islands</t>
  </si>
  <si>
    <t>MHL</t>
  </si>
  <si>
    <t>MH</t>
  </si>
  <si>
    <t>Micronesia</t>
  </si>
  <si>
    <t>FSM</t>
  </si>
  <si>
    <t>FM</t>
  </si>
  <si>
    <t>Mozambique</t>
  </si>
  <si>
    <t>MOZ</t>
  </si>
  <si>
    <t>MZ</t>
  </si>
  <si>
    <t>New Caledonia</t>
  </si>
  <si>
    <t>NCL</t>
  </si>
  <si>
    <t>NC</t>
  </si>
  <si>
    <t>New Zealand</t>
  </si>
  <si>
    <t>NZL</t>
  </si>
  <si>
    <t>NZ</t>
  </si>
  <si>
    <t>Oman</t>
  </si>
  <si>
    <t>OMN</t>
  </si>
  <si>
    <t>OM</t>
  </si>
  <si>
    <t>Palau</t>
  </si>
  <si>
    <t>PLW</t>
  </si>
  <si>
    <t>PW</t>
  </si>
  <si>
    <t>Papua New Guinea</t>
  </si>
  <si>
    <t>PNG</t>
  </si>
  <si>
    <t>PG</t>
  </si>
  <si>
    <t>Perú</t>
  </si>
  <si>
    <t>PER</t>
  </si>
  <si>
    <t>PE</t>
  </si>
  <si>
    <t>Polynesie Française</t>
  </si>
  <si>
    <t>PYF</t>
  </si>
  <si>
    <t>PF</t>
  </si>
  <si>
    <t>Samoa</t>
  </si>
  <si>
    <t>WSM</t>
  </si>
  <si>
    <t>WS</t>
  </si>
  <si>
    <t>Saudi Arabia</t>
  </si>
  <si>
    <t>SAU</t>
  </si>
  <si>
    <t>SA</t>
  </si>
  <si>
    <t>Solomon Islands</t>
  </si>
  <si>
    <t>SLB</t>
  </si>
  <si>
    <t>SB</t>
  </si>
  <si>
    <t>Sri Lanka</t>
  </si>
  <si>
    <t>LKA</t>
  </si>
  <si>
    <t>LK</t>
  </si>
  <si>
    <t>Tanzania</t>
  </si>
  <si>
    <t>TZA</t>
  </si>
  <si>
    <t>TZ</t>
  </si>
  <si>
    <t>Tonga</t>
  </si>
  <si>
    <t>TON</t>
  </si>
  <si>
    <t>TO</t>
  </si>
  <si>
    <t>Tuvalu</t>
  </si>
  <si>
    <t>TUV</t>
  </si>
  <si>
    <t>TV</t>
  </si>
  <si>
    <t>United Arab Emirates</t>
  </si>
  <si>
    <t>ARE</t>
  </si>
  <si>
    <t>AE</t>
  </si>
  <si>
    <t>Vietnam</t>
  </si>
  <si>
    <t>VNM</t>
  </si>
  <si>
    <t>VN</t>
  </si>
  <si>
    <t>TonType</t>
  </si>
  <si>
    <t>Tonnage (t)</t>
  </si>
  <si>
    <t>Tonelage (t)</t>
  </si>
  <si>
    <t>TonTypeEN</t>
  </si>
  <si>
    <t>GRT</t>
  </si>
  <si>
    <t>Gross registered tonnage (m3)</t>
  </si>
  <si>
    <t>Gross tonnage (m3)</t>
  </si>
  <si>
    <t>Tnage</t>
  </si>
  <si>
    <t>Titles</t>
  </si>
  <si>
    <t>Specific</t>
  </si>
  <si>
    <t>Tonnage type</t>
  </si>
  <si>
    <t>Type de tonnage</t>
  </si>
  <si>
    <t>Tipo de tonelaje</t>
  </si>
  <si>
    <t>LangFieldID</t>
  </si>
  <si>
    <t>LangNameID</t>
  </si>
  <si>
    <t>Vessel attributes must be complete (particularly LOA and GT/GRT) using proper units</t>
  </si>
  <si>
    <t>{Vessels registry}</t>
  </si>
  <si>
    <t>{1 ,365}</t>
  </si>
  <si>
    <t>Mainland, ETRO, MEDI, Recreational (or Sport), Guadeloupe, Martinique</t>
  </si>
  <si>
    <t>Burkina Faso</t>
  </si>
  <si>
    <t>BFA</t>
  </si>
  <si>
    <t>BF</t>
  </si>
  <si>
    <t>Table. ICCAT major fisheries</t>
  </si>
  <si>
    <t xml:space="preserve">Table. Tonnage types (GRT OR GT) </t>
  </si>
  <si>
    <t>Table. Gear groups (mapped to ISSCFG codes)</t>
  </si>
  <si>
    <t>Caractéristiques jeu de données</t>
  </si>
  <si>
    <t>Características conjunto de datos</t>
  </si>
  <si>
    <t>string</t>
  </si>
  <si>
    <t>Proper time resolution (calendar year only)</t>
  </si>
  <si>
    <t>Years covered (from)</t>
  </si>
  <si>
    <t>Années visées (de)</t>
  </si>
  <si>
    <t>Años incluidos (desde)</t>
  </si>
  <si>
    <t>(to)</t>
  </si>
  <si>
    <t>(à)</t>
  </si>
  <si>
    <t>(hasta)</t>
  </si>
  <si>
    <t>AUT</t>
  </si>
  <si>
    <t>AT</t>
  </si>
  <si>
    <t>Djibouti</t>
  </si>
  <si>
    <t>DJI</t>
  </si>
  <si>
    <t>DJ</t>
  </si>
  <si>
    <t>New (FULL)</t>
  </si>
  <si>
    <t>New data (never reported to ICCAT): FULL coverage</t>
  </si>
  <si>
    <t>New (PARTIAL)</t>
  </si>
  <si>
    <t>New data (never reported to ICCAT): PARTIAL coverage</t>
  </si>
  <si>
    <t>Revised data (FULL): to fully replace the previously reported data</t>
  </si>
  <si>
    <t>Revised data (PARTIAL): to partially replace the previously reported data</t>
  </si>
  <si>
    <t>Year (calendar)</t>
  </si>
  <si>
    <t>YearC</t>
  </si>
  <si>
    <t>Period</t>
  </si>
  <si>
    <t>D21</t>
  </si>
  <si>
    <t>D22</t>
  </si>
  <si>
    <t>D23</t>
  </si>
  <si>
    <t>Année (calendrier)</t>
  </si>
  <si>
    <t>D12</t>
  </si>
  <si>
    <t>D13</t>
  </si>
  <si>
    <t>D24</t>
  </si>
  <si>
    <t>D23b</t>
  </si>
  <si>
    <t>The year (Jan-Dec) in which the vessel was actively fishing</t>
  </si>
  <si>
    <t>Période</t>
  </si>
  <si>
    <t>Periodo</t>
  </si>
  <si>
    <t>pending (SCRS)</t>
  </si>
  <si>
    <t>{yyyy}</t>
  </si>
  <si>
    <t>ssFlagVesCd</t>
  </si>
  <si>
    <t>ssGearGrpCd</t>
  </si>
  <si>
    <t>ssFleetDescrip</t>
  </si>
  <si>
    <t>ssLoaClassCd</t>
  </si>
  <si>
    <t>ssGrtClassCd</t>
  </si>
  <si>
    <t>ssFishDatl</t>
  </si>
  <si>
    <t>ssFishDmed</t>
  </si>
  <si>
    <t>ssFishery1Cd</t>
  </si>
  <si>
    <t>ssFishery2Cd</t>
  </si>
  <si>
    <t>ssFishery3Cd</t>
  </si>
  <si>
    <t>ssFishery4Cd</t>
  </si>
  <si>
    <t>ssFishery5Cd</t>
  </si>
  <si>
    <t>ssYearC</t>
  </si>
  <si>
    <t>tVersion</t>
  </si>
  <si>
    <t>tLang</t>
  </si>
  <si>
    <t>FormID</t>
  </si>
  <si>
    <t>ST01</t>
  </si>
  <si>
    <t>ST01A</t>
  </si>
  <si>
    <t>Title</t>
  </si>
  <si>
    <t>Titre</t>
  </si>
  <si>
    <t>Título</t>
  </si>
  <si>
    <t>Form Title</t>
  </si>
  <si>
    <t>Titre du formulaire</t>
  </si>
  <si>
    <t>Título del formulario</t>
  </si>
  <si>
    <t>Always use the lastest version of this form</t>
  </si>
  <si>
    <t>Utiliser toujours la dernière version de ce formulaire</t>
  </si>
  <si>
    <t>Utilice siempre la última versión de este formulario</t>
  </si>
  <si>
    <t>Choose the language (ENG, FRA, ESP) for form translation</t>
  </si>
  <si>
    <t>Elija el idioma (ENG, FRA, ESP) para la traducción del formulario</t>
  </si>
  <si>
    <t>ST01B</t>
  </si>
  <si>
    <t>Name (full OR Name &amp; Surname) of the Statistical Correspondent (officially nominated by the CPC)</t>
  </si>
  <si>
    <t>Nombre (completo o nombre y apellido) del Corresponsal estadístico designado oficialmente por la CPC</t>
  </si>
  <si>
    <t>Email address of the Statistical Correspondent</t>
  </si>
  <si>
    <t>Dirección de correo electrónico del corresponsal estadístico</t>
  </si>
  <si>
    <t>Telephone number of the Statistical Correspondent</t>
  </si>
  <si>
    <t>Número de teléfono del corresponsal estadístico</t>
  </si>
  <si>
    <t>Institución (Ministerio, Agencia, instituto de investigación, etc.) al que pertenece el corresponsal estadístico</t>
  </si>
  <si>
    <t>Department within the Institution, where applicable</t>
  </si>
  <si>
    <t>Département au sein de l'institution, le cas échéant</t>
  </si>
  <si>
    <t>Departamento dentro de la institución, si procede</t>
  </si>
  <si>
    <t>Postal address of the institution (street, number, city, state)</t>
  </si>
  <si>
    <t>Dirección postal de la institución (calle, número, ciudad, estado)</t>
  </si>
  <si>
    <t>Country in which the Institution is based</t>
  </si>
  <si>
    <t>País en el que tiene su sede la institución</t>
  </si>
  <si>
    <t>Choose the Flag CPC reporting the data (ICCAT codes)</t>
  </si>
  <si>
    <t>Choisir la CPC de pavillon qui déclare les données (code ICCAT)</t>
  </si>
  <si>
    <t>Escoger la CPC del pabellón que comunica los datos (códigos ICCAT)</t>
  </si>
  <si>
    <t>hYearFrom</t>
  </si>
  <si>
    <t>One or more years can be added to the form. Add the first (from) year (4 digits) to which the data relate</t>
  </si>
  <si>
    <t>Une ou plusieurs années peuvent être ajoutées au formulaire. Ajouter la première année (de) (4 chiffres) à laquelle les données correspondent</t>
  </si>
  <si>
    <t>Pueden añadirse uno o más años al formulario. Añadir el primer año (desde, cuatro dígitos) al que conciernen los datos</t>
  </si>
  <si>
    <t>hYearTo</t>
  </si>
  <si>
    <t>One or more years can be added to the form. Add the last (to) year (4 digits) to which the data relate</t>
  </si>
  <si>
    <t>Pueden añadirse uno o más años al formulario. Añadir el último año (hasta, cuatro dígitos) al que conciernen los datos</t>
  </si>
  <si>
    <t>Specify if this submission is Preliminary (subject to revision) or Final (already validated)</t>
  </si>
  <si>
    <t>Préciser si cette soumission est préliminaire (sujette à révision) ou finale (déjà validée)</t>
  </si>
  <si>
    <t>Especificar si la presentación es preliminar (sujeta a revisión) o final (ya validada)</t>
  </si>
  <si>
    <t>Add additional (complementary) notes in respect to the overall dataset (if needed)</t>
  </si>
  <si>
    <t>Ajouter des notes additionnelles (complémentaires) en ce qui concerne le jeu de données global (si nécessaire)</t>
  </si>
  <si>
    <t>Añadir notas adicionales (complementarias) para el conjunto de datos global (si se requieren)</t>
  </si>
  <si>
    <t>ICCAT serial number (unique) of the Vessel registered</t>
  </si>
  <si>
    <t>Número de serie ICCAT (único) del buque registrado</t>
  </si>
  <si>
    <t>National registration number (NRN) of the vessel</t>
  </si>
  <si>
    <t>El numero de registro nacional (NRN) del buque</t>
  </si>
  <si>
    <t>Indicatif d'appel radio de la UIT</t>
  </si>
  <si>
    <t>Indicativo de llamadas radiofónico de la UIT</t>
  </si>
  <si>
    <t>El nombre del buque en caracteres latinos</t>
  </si>
  <si>
    <t>Gear group (cod)</t>
  </si>
  <si>
    <t>Engin groupe (cód)</t>
  </si>
  <si>
    <t>Arte grupo (cód)</t>
  </si>
  <si>
    <t>Enter the Gross Registered Tonnage (GRT) in tons rounded to 1 decimal</t>
  </si>
  <si>
    <t>Introducir el tonelaje de registro bruto (TRB) en toneladas redondeado al primer decimal</t>
  </si>
  <si>
    <t>Choose the proper tonnage code (GT or GRT)</t>
  </si>
  <si>
    <t>Número de días de pesca en el Atlántico (total)</t>
  </si>
  <si>
    <t>Número de días de pesca en el Mediterráneo (total)</t>
  </si>
  <si>
    <t>Pêcherie 1 (cod)</t>
  </si>
  <si>
    <t>Pesquería 1 (cód)</t>
  </si>
  <si>
    <t>Pêcherie 2 (cod)</t>
  </si>
  <si>
    <t>Pesquería 2 (cód)</t>
  </si>
  <si>
    <t>Pêcherie 3 (cod)</t>
  </si>
  <si>
    <t>Pesquería 3 (cód)</t>
  </si>
  <si>
    <t>Pêcherie 4 (cod)</t>
  </si>
  <si>
    <t>Pesquería 4 (cód)</t>
  </si>
  <si>
    <t>Pêcherie 5 (cod)</t>
  </si>
  <si>
    <t>Pesquería 5 (cód)</t>
  </si>
  <si>
    <t>Fecha (dd/mm/aaaa) de inicio del periodo de autorización (AP) del buque en la pesquería de BFTE</t>
  </si>
  <si>
    <t>Fecha (dd/mm/aaaa)  del fin del periodo de autorización (AP) del buque en la pesquería de BFTE</t>
  </si>
  <si>
    <t>Total de días de pesca</t>
  </si>
  <si>
    <t>Enter the catches (kg) of the vessel in the authorised period (AP)</t>
  </si>
  <si>
    <t>Saisir les prises (kg) du navire dans la période autorisée (AP)</t>
  </si>
  <si>
    <t xml:space="preserve">By-catch (kg) outside authorisation period </t>
  </si>
  <si>
    <t>Prises accessoires (kg) en dehors de la période d'autorisation</t>
  </si>
  <si>
    <t>Captura fortuita (kg) fuera del periodo de autorización</t>
  </si>
  <si>
    <t>Recommandation aux utilisateurs de bases de données : pour copier tout un jeu de données dans la section "Information détaillée" (qui doit avoir les mêmes structure et format), utiliser "Paste special (values)"</t>
  </si>
  <si>
    <t>Laisser en blanc les champs pour lesquels vous ne recueillez pas d'informations</t>
  </si>
  <si>
    <t>Deje en blanco los campos para los que no se ha recopilado información</t>
  </si>
  <si>
    <t>S00</t>
  </si>
  <si>
    <t>Choisir la langue (ENG, FRA, ESP) pour la traduction du formulaire</t>
  </si>
  <si>
    <t>Nom (complet OU Prénom et Nom) du correspondant statistique (officiellement désigné par la CPC)</t>
  </si>
  <si>
    <t>Adresse email du correspondant statistique</t>
  </si>
  <si>
    <t>Numéro de téléphone du correspondant statistique</t>
  </si>
  <si>
    <t>Institute (ministry, agency, research Institute, etc.) to which the Statistical Correspondent is affiliated</t>
  </si>
  <si>
    <t>Institution (ministère, agence, institut de recherche, etc.) à laquelle le correspondant statistique est affilié</t>
  </si>
  <si>
    <t>Adresse postale de l'institution (rue, numéro, ville, État)</t>
  </si>
  <si>
    <t>Pays dans lequel l'institution est basée</t>
  </si>
  <si>
    <t>Une ou plusieurs années peuvent être ajoutées au formulaire. Ajouter la dernière année (jusqu'à) (4 chiffres) à laquelle les données correspondent</t>
  </si>
  <si>
    <t>Specify if the overall data content is NEW (full set OR partial set) OR a REVISION (full set OR partial set)</t>
  </si>
  <si>
    <t>Préciser si le contenu global de données est NOUVEAU (ensemble complète OU ensemble partiel) OU une RÉVISION (ensemble complète OU ensemble partiel)</t>
  </si>
  <si>
    <t>Especificar si el contenido general de los datos es NUEVO (conjunto completo O conjunto parcial) O una REVISIÓN (conjunto completo O conjunto parcial)</t>
  </si>
  <si>
    <t>Envoyer le formulaire à l'ICCAT avec le nom du fichier proposé (si nécessaire, ajouter un suffixe d'ID à la fin)</t>
  </si>
  <si>
    <t>Nom du navire en caractères latins</t>
  </si>
  <si>
    <t>Choose the flag of the vessel for which the data apply (whether national or foreign flagged vessel)</t>
  </si>
  <si>
    <t>Elegir el código del grupo de artes más adecuado (ICCAT)</t>
  </si>
  <si>
    <t>Saisir le tonnage de jauge brute (TJB) en tonnes arrondies à la première décimale</t>
  </si>
  <si>
    <t>Saisir le code du tonnage adéquat (GT ou TJB)</t>
  </si>
  <si>
    <t xml:space="preserve">Elegir el código adecuado de tonelaje (GT o TRB) </t>
  </si>
  <si>
    <t>Calendar year (four digits) in which the catch was taken</t>
  </si>
  <si>
    <t>Année civile (quatre chiffres) au cours de laquelle la prise a été réalisée</t>
  </si>
  <si>
    <t>Año civil (cuatro dígitos) en que se realizó la captura</t>
  </si>
  <si>
    <t>Start date (dd/mm/yyyy) of the vessel Autorisation Period (AP) in the BFTE fishery</t>
  </si>
  <si>
    <t>End date (dd/mm/yyyy) of the vessel Autorisation Period (AP) in the BFTE fishery</t>
  </si>
  <si>
    <t>Choisir le code du groupe d'engins le plus approprié (ICCAT)</t>
  </si>
  <si>
    <t>Número de buques activos que pertenece a este componente de la flota</t>
  </si>
  <si>
    <t>L'année (jan-déc) au cours de laquelle le navire pêchait activement</t>
  </si>
  <si>
    <t>El año (ene-dic) en el que el buque pescó activamente</t>
  </si>
  <si>
    <t>Recommendation for users with databases: To paste an entire dataset into the Detail section (must have the same structure and format) use "Paste special (values)"</t>
  </si>
  <si>
    <t>Multiple fisheries (&gt;=6 ICCAT fisheries)</t>
  </si>
  <si>
    <t>Sub-form / Description</t>
  </si>
  <si>
    <t>Sous-forme / Description</t>
  </si>
  <si>
    <t>Sub-formulario / Descripción</t>
  </si>
  <si>
    <t>Vessel attributes</t>
  </si>
  <si>
    <t>Attributs du navire</t>
  </si>
  <si>
    <t>Vessel ID</t>
  </si>
  <si>
    <t>Navire ID</t>
  </si>
  <si>
    <t>Vessel activity in ICCAT Fisheries</t>
  </si>
  <si>
    <t>Activité des bateuax dans pêcheries ICCAT</t>
  </si>
  <si>
    <t xml:space="preserve">Actividad de cada buque en las pesquerías ICCAT </t>
  </si>
  <si>
    <t>Fleet (small-scale) activity in ICCAT Fisheries</t>
  </si>
  <si>
    <t>Activité de la flotte (petite échelle) dans pêcheries ICCAT</t>
  </si>
  <si>
    <t>Actividad de la flota (pequeña escala) en las pesquerías de ICCAT</t>
  </si>
  <si>
    <t>OrderID</t>
  </si>
  <si>
    <t>SubformID</t>
  </si>
  <si>
    <t>ST01B (por Flota)  
OPTIONAL</t>
  </si>
  <si>
    <t>Attributos del buque</t>
  </si>
  <si>
    <t>Buque ID</t>
  </si>
  <si>
    <t>Flota ID</t>
  </si>
  <si>
    <t>Nº Registro Nac. (NRN)</t>
  </si>
  <si>
    <t>Año (calendario)</t>
  </si>
  <si>
    <t xml:space="preserve">Attributs de la flotille (petite échelle) </t>
  </si>
  <si>
    <t>Attributos de la flota (pequeña escala)</t>
  </si>
  <si>
    <t>id</t>
  </si>
  <si>
    <t>CZE</t>
  </si>
  <si>
    <t>CZ</t>
  </si>
  <si>
    <t>FIN</t>
  </si>
  <si>
    <t>FI</t>
  </si>
  <si>
    <t>LUX</t>
  </si>
  <si>
    <t>LU</t>
  </si>
  <si>
    <t>SVK</t>
  </si>
  <si>
    <t>SK</t>
  </si>
  <si>
    <t>Bosnia and Herzegovina</t>
  </si>
  <si>
    <t>BIH</t>
  </si>
  <si>
    <t>BA</t>
  </si>
  <si>
    <t>Isle of Man</t>
  </si>
  <si>
    <t>IMN</t>
  </si>
  <si>
    <t>IM</t>
  </si>
  <si>
    <t>Mongolia</t>
  </si>
  <si>
    <t>MNG</t>
  </si>
  <si>
    <t>MN</t>
  </si>
  <si>
    <t>MKD</t>
  </si>
  <si>
    <t>MK</t>
  </si>
  <si>
    <t>FisheryCode</t>
  </si>
  <si>
    <t>FlagCode</t>
  </si>
  <si>
    <t>GearGrpCode</t>
  </si>
  <si>
    <t>LOACLassCode</t>
  </si>
  <si>
    <t>GRTCLassCode</t>
  </si>
  <si>
    <t>TonTypeCode</t>
  </si>
  <si>
    <t>IsscfgCode</t>
  </si>
  <si>
    <t>ENG</t>
  </si>
  <si>
    <t>ContentCode</t>
  </si>
  <si>
    <t>NF</t>
  </si>
  <si>
    <t>NP</t>
  </si>
  <si>
    <t>RF</t>
  </si>
  <si>
    <t>RP</t>
  </si>
  <si>
    <t>Qatar</t>
  </si>
  <si>
    <t>QAT</t>
  </si>
  <si>
    <t>QA</t>
  </si>
  <si>
    <t>StatusCPC</t>
  </si>
  <si>
    <t>TASK 1 - FLEET CHARACTERISTICS</t>
  </si>
  <si>
    <t>TÂCHE 1 - CARACTÉRISTIQUES DES FLOTTILLES</t>
  </si>
  <si>
    <t>TAREA 1 - CARACTERÍSTICAS DE LA FLOTA</t>
  </si>
  <si>
    <t>EU-Austria</t>
  </si>
  <si>
    <t>EU-AUT</t>
  </si>
  <si>
    <t>EU-Belgium</t>
  </si>
  <si>
    <t>EU-BEL</t>
  </si>
  <si>
    <t>EU-Bulgaria</t>
  </si>
  <si>
    <t>EU-BGR</t>
  </si>
  <si>
    <t>EU-Croatia</t>
  </si>
  <si>
    <t>EU-HRV</t>
  </si>
  <si>
    <t>EU-Cyprus</t>
  </si>
  <si>
    <t>EU-CYP</t>
  </si>
  <si>
    <t>EU-Czechia</t>
  </si>
  <si>
    <t>EU-CZE</t>
  </si>
  <si>
    <t>EU-Denmark</t>
  </si>
  <si>
    <t>EU-DNK</t>
  </si>
  <si>
    <t>EU-España</t>
  </si>
  <si>
    <t>EU-ESP</t>
  </si>
  <si>
    <t>EU-Estonia</t>
  </si>
  <si>
    <t>EU-EST</t>
  </si>
  <si>
    <t>EU-Finland</t>
  </si>
  <si>
    <t>EU-FIN</t>
  </si>
  <si>
    <t>EU-France</t>
  </si>
  <si>
    <t>EU-FRA</t>
  </si>
  <si>
    <t>EU-Germany</t>
  </si>
  <si>
    <t>EU-DEU</t>
  </si>
  <si>
    <t>EU-Greece</t>
  </si>
  <si>
    <t>EU-GRC</t>
  </si>
  <si>
    <t>EU-Hungary</t>
  </si>
  <si>
    <t>EU-HUN</t>
  </si>
  <si>
    <t>EU-Ireland</t>
  </si>
  <si>
    <t>EU-IRL</t>
  </si>
  <si>
    <t>EU-Italy</t>
  </si>
  <si>
    <t>EU-ITA</t>
  </si>
  <si>
    <t>EU-Latvia</t>
  </si>
  <si>
    <t>EU-LVA</t>
  </si>
  <si>
    <t>EU-Lithuania</t>
  </si>
  <si>
    <t>EU-LTU</t>
  </si>
  <si>
    <t>EU-Luxemburg</t>
  </si>
  <si>
    <t>EU-LUX</t>
  </si>
  <si>
    <t>EU-Malta</t>
  </si>
  <si>
    <t>EU-MLT</t>
  </si>
  <si>
    <t>EU-Netherlands</t>
  </si>
  <si>
    <t>EU-NLD</t>
  </si>
  <si>
    <t>EU-Poland</t>
  </si>
  <si>
    <t>EU-POL</t>
  </si>
  <si>
    <t>EU-Portugal</t>
  </si>
  <si>
    <t>EU-PRT</t>
  </si>
  <si>
    <t>EU-Rumania</t>
  </si>
  <si>
    <t>EU-ROU</t>
  </si>
  <si>
    <t>EU-Slovakia</t>
  </si>
  <si>
    <t>EU-SVK</t>
  </si>
  <si>
    <t>EU-Slovenia</t>
  </si>
  <si>
    <t>EU-SVN</t>
  </si>
  <si>
    <t>EU-Sweden</t>
  </si>
  <si>
    <t>EU-SWE</t>
  </si>
  <si>
    <t>England</t>
  </si>
  <si>
    <t>GB-ENG</t>
  </si>
  <si>
    <t>FR-St Pierre et Miquelon</t>
  </si>
  <si>
    <t>FR-SPM</t>
  </si>
  <si>
    <t>Great Britain</t>
  </si>
  <si>
    <t>Guinée Rep</t>
  </si>
  <si>
    <t>Korea Rep</t>
  </si>
  <si>
    <t>Northern Ireland</t>
  </si>
  <si>
    <t>GB-NIR</t>
  </si>
  <si>
    <t>NIR</t>
  </si>
  <si>
    <t>S Tomé e Príncipe</t>
  </si>
  <si>
    <t>Scotland</t>
  </si>
  <si>
    <t>GB-SCT</t>
  </si>
  <si>
    <t>SCT</t>
  </si>
  <si>
    <t>St Vincent and Grenadines</t>
  </si>
  <si>
    <t>UK-Bermuda</t>
  </si>
  <si>
    <t>UK-BMU</t>
  </si>
  <si>
    <t>UK-British Virgin Islands</t>
  </si>
  <si>
    <t>UK-VGB</t>
  </si>
  <si>
    <t>UK-Sta Helena</t>
  </si>
  <si>
    <t>UK-SHN</t>
  </si>
  <si>
    <t>UK-Turks and Caicos</t>
  </si>
  <si>
    <t>UK-TCA</t>
  </si>
  <si>
    <t>Wales</t>
  </si>
  <si>
    <t>GB-WLS</t>
  </si>
  <si>
    <t>WLS</t>
  </si>
  <si>
    <t>Gibraltar</t>
  </si>
  <si>
    <t>GIB</t>
  </si>
  <si>
    <t>GI</t>
  </si>
  <si>
    <t>North Macedonia Rep</t>
  </si>
  <si>
    <t>San Marino</t>
  </si>
  <si>
    <t>SMR</t>
  </si>
  <si>
    <t>SM</t>
  </si>
  <si>
    <t>Sta Lucia</t>
  </si>
  <si>
    <t>Türkiye</t>
  </si>
  <si>
    <t>2024a</t>
  </si>
  <si>
    <t>ImoNr</t>
  </si>
  <si>
    <t>FCarrCap</t>
  </si>
  <si>
    <t>IMOnr</t>
  </si>
  <si>
    <t>IMO number</t>
  </si>
  <si>
    <t>Vessel unique number (7 digits) issued by the International Maritime Organisation</t>
  </si>
  <si>
    <t>Total effort</t>
  </si>
  <si>
    <t>Effort total</t>
  </si>
  <si>
    <t>Esfuerzo total</t>
  </si>
  <si>
    <t xml:space="preserve">Fleet suffix </t>
  </si>
  <si>
    <t>FleetSuffix</t>
  </si>
  <si>
    <t>ssFleetSuffix</t>
  </si>
  <si>
    <t>* Suffix "a" refers to the sub-version (revisions with minor corrections &amp; no changes in structure) within a year. Sequentially issued (a,b,...) if required (i.e.: 2024a, 2024b, ...)</t>
  </si>
  <si>
    <t>Flotte (suffixe)</t>
  </si>
  <si>
    <t>Flota (sufijo)</t>
  </si>
  <si>
    <t>This field should be completed by those CPCs operating various fisheries with an independent data collection system (e.g. Portugal-Azores, Spain-Fuenterrabía, etc.). Additional fleet sufixes (former base ports/zones) can be adopted.</t>
  </si>
  <si>
    <t>Ce champ doit être complété par les CPCs opérant diverses pêcheries avec des systèmes de collecte de données indépendants (p.ex. Portugal-Azores, Espagne-Fuenterrabía, etc.). Des suffixes de flotte supplémentaires (anciens ports/zones de base) peuvent être adoptés.</t>
  </si>
  <si>
    <t xml:space="preserve">Este campo debe ser completado por aquellos CPCs que operan varias pesquerías con sistemas independientes de recopilación de datos (por ejemplo, Portugal-Azores, España-Fuenterrabía, etc.). Se pueden adoptar sufijos de flota adicionales (antiguos puertos/zonas base). </t>
  </si>
  <si>
    <t>Capacité transport poisson (mt)</t>
  </si>
  <si>
    <t>Capacidad carga pescado (mt)</t>
  </si>
  <si>
    <t>IMO (nombre)</t>
  </si>
  <si>
    <t>IMO (número)</t>
  </si>
  <si>
    <t>Número único del buque (7 dígitos) emitido por la Organización Marítima Internacional</t>
  </si>
  <si>
    <t>Numéro unique du navire (7 chiffres) émis par l'Organisation Maritime Internationale</t>
  </si>
  <si>
    <t>Numéro de série ICCAT (unique) du navire enregistré</t>
  </si>
  <si>
    <t>Numéro de registre national (NRN) du navire</t>
  </si>
  <si>
    <r>
      <t xml:space="preserve">Measured for most tuna fishing vessels as the </t>
    </r>
    <r>
      <rPr>
        <i/>
        <sz val="10"/>
        <rFont val="Arial"/>
        <family val="2"/>
      </rPr>
      <t>tonnage of fish that can be stored</t>
    </r>
    <r>
      <rPr>
        <sz val="10"/>
        <rFont val="Arial"/>
        <family val="2"/>
      </rPr>
      <t xml:space="preserve"> on the vessel when it is fully loaded, expressed in metric tons (mt)</t>
    </r>
  </si>
  <si>
    <t>Fish Carrying capacity (mt)</t>
  </si>
  <si>
    <t>Fish carrying capacity (FCC): tonnage of fish that can be stored on the fishing vessel when it is fully loaded (metric tons). Mostly used by tuna fishing vessels.</t>
  </si>
  <si>
    <t>Capacité de transport de poisson (FCC) : tonnage de poisson pouvant être stocké à bord du navire de pêche lorsqu'il est entièrement chargé (tonnes métriques). Principalement utilisé par les navires de pêche au thon.</t>
  </si>
  <si>
    <t>Capacidad de carga de pescado (FCC): tonelaje de pescado que se puede almacenar en el buque pesquero cuando está completamente cargado (toneladas métricas). Utilizado principalmente por barcos atuneros.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</si>
</sst>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/mm\/yyyy"/>
  </numFmts>
  <fonts count="41" x14ac:knownFonts="1">
    <font>
      <sz val="10"/>
      <name val="Arial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b/>
      <sz val="9"/>
      <name val="Calibri"/>
      <family val="2"/>
    </font>
    <font>
      <b/>
      <sz val="9"/>
      <color rgb="FF0070C0"/>
      <name val="Cambria"/>
      <family val="1"/>
      <scheme val="major"/>
    </font>
    <font>
      <sz val="9"/>
      <color rgb="FF0070C0"/>
      <name val="Cambria"/>
      <family val="1"/>
      <scheme val="major"/>
    </font>
    <font>
      <b/>
      <sz val="9"/>
      <color rgb="FF00B050"/>
      <name val="Cambria"/>
      <family val="1"/>
      <scheme val="major"/>
    </font>
    <font>
      <b/>
      <sz val="9"/>
      <color rgb="FFFF0000"/>
      <name val="Cambria"/>
      <family val="1"/>
      <scheme val="major"/>
    </font>
    <font>
      <b/>
      <sz val="14"/>
      <color theme="0"/>
      <name val="Cambria"/>
      <family val="1"/>
      <scheme val="major"/>
    </font>
    <font>
      <b/>
      <sz val="16"/>
      <color rgb="FF0070C0"/>
      <name val="Cambria"/>
      <family val="1"/>
      <scheme val="major"/>
    </font>
    <font>
      <b/>
      <sz val="14"/>
      <color rgb="FF0070C0"/>
      <name val="Calibri"/>
      <family val="2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mbria"/>
      <family val="1"/>
      <scheme val="major"/>
    </font>
    <font>
      <b/>
      <sz val="12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name val="Times New Roman"/>
      <family val="1"/>
    </font>
    <font>
      <sz val="9"/>
      <color rgb="FFFF0000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rgb="FF0070C0"/>
      <name val="Calibri"/>
      <family val="2"/>
      <scheme val="minor"/>
    </font>
    <font>
      <u/>
      <sz val="8"/>
      <color indexed="12"/>
      <name val="Calibri"/>
      <family val="2"/>
      <scheme val="minor"/>
    </font>
    <font>
      <u/>
      <sz val="8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u/>
      <sz val="8"/>
      <color indexed="12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sz val="8"/>
      <color theme="0" tint="-0.14999847407452621"/>
      <name val="Calibri"/>
      <family val="2"/>
      <scheme val="minor"/>
    </font>
    <font>
      <sz val="9"/>
      <color rgb="FFFF0000"/>
      <name val="Calibri"/>
      <family val="2"/>
    </font>
    <font>
      <sz val="11"/>
      <color rgb="FF0070C0"/>
      <name val="Cambria"/>
      <family val="1"/>
      <scheme val="major"/>
    </font>
    <font>
      <i/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4.9989318521683403E-2"/>
      </right>
      <top style="thin">
        <color theme="0" tint="-0.24994659260841701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 style="thin">
        <color theme="0" tint="-0.24994659260841701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4.9989318521683403E-2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4.9989318521683403E-2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4.9989318521683403E-2"/>
      </bottom>
      <diagonal/>
    </border>
    <border>
      <left/>
      <right style="thin">
        <color theme="0" tint="-0.34998626667073579"/>
      </right>
      <top style="thin">
        <color theme="0" tint="-4.9989318521683403E-2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4.9989318521683403E-2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2" fillId="0" borderId="0"/>
    <xf numFmtId="0" fontId="2" fillId="0" borderId="0"/>
  </cellStyleXfs>
  <cellXfs count="376">
    <xf numFmtId="0" fontId="0" fillId="0" borderId="0" xfId="0"/>
    <xf numFmtId="0" fontId="3" fillId="0" borderId="0" xfId="0" applyFont="1" applyAlignment="1" applyProtection="1">
      <alignment shrinkToFit="1"/>
      <protection locked="0"/>
    </xf>
    <xf numFmtId="0" fontId="13" fillId="3" borderId="1" xfId="0" applyFont="1" applyFill="1" applyBorder="1" applyAlignment="1" applyProtection="1">
      <alignment horizontal="center" vertical="center"/>
      <protection hidden="1"/>
    </xf>
    <xf numFmtId="0" fontId="13" fillId="3" borderId="10" xfId="0" applyFont="1" applyFill="1" applyBorder="1" applyAlignment="1" applyProtection="1">
      <alignment horizontal="center" vertical="center"/>
      <protection hidden="1"/>
    </xf>
    <xf numFmtId="0" fontId="15" fillId="3" borderId="9" xfId="0" applyFont="1" applyFill="1" applyBorder="1" applyAlignment="1" applyProtection="1">
      <alignment horizontal="center" vertical="top"/>
      <protection hidden="1"/>
    </xf>
    <xf numFmtId="0" fontId="3" fillId="0" borderId="0" xfId="0" applyFont="1" applyAlignment="1" applyProtection="1">
      <alignment shrinkToFit="1"/>
      <protection hidden="1"/>
    </xf>
    <xf numFmtId="0" fontId="3" fillId="0" borderId="0" xfId="0" applyFont="1" applyAlignment="1" applyProtection="1">
      <alignment wrapText="1" shrinkToFit="1"/>
      <protection locked="0"/>
    </xf>
    <xf numFmtId="0" fontId="16" fillId="0" borderId="8" xfId="0" applyFont="1" applyBorder="1" applyAlignment="1" applyProtection="1">
      <alignment horizontal="center" vertical="top"/>
      <protection locked="0"/>
    </xf>
    <xf numFmtId="0" fontId="23" fillId="3" borderId="9" xfId="0" applyFont="1" applyFill="1" applyBorder="1" applyAlignment="1" applyProtection="1">
      <alignment horizontal="center" vertical="top"/>
      <protection hidden="1"/>
    </xf>
    <xf numFmtId="0" fontId="23" fillId="3" borderId="8" xfId="0" applyFont="1" applyFill="1" applyBorder="1" applyAlignment="1" applyProtection="1">
      <alignment horizontal="center" vertical="top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top" shrinkToFit="1"/>
      <protection hidden="1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0" fontId="6" fillId="12" borderId="11" xfId="0" applyFont="1" applyFill="1" applyBorder="1" applyProtection="1">
      <protection hidden="1"/>
    </xf>
    <xf numFmtId="0" fontId="3" fillId="12" borderId="1" xfId="0" applyFont="1" applyFill="1" applyBorder="1" applyProtection="1">
      <protection hidden="1"/>
    </xf>
    <xf numFmtId="0" fontId="6" fillId="12" borderId="3" xfId="0" applyFont="1" applyFill="1" applyBorder="1" applyProtection="1">
      <protection hidden="1"/>
    </xf>
    <xf numFmtId="0" fontId="6" fillId="0" borderId="11" xfId="0" applyFont="1" applyBorder="1" applyProtection="1">
      <protection hidden="1"/>
    </xf>
    <xf numFmtId="0" fontId="3" fillId="0" borderId="1" xfId="0" applyFont="1" applyBorder="1" applyProtection="1">
      <protection hidden="1"/>
    </xf>
    <xf numFmtId="0" fontId="3" fillId="0" borderId="3" xfId="0" applyFont="1" applyBorder="1" applyProtection="1">
      <protection hidden="1"/>
    </xf>
    <xf numFmtId="0" fontId="6" fillId="0" borderId="5" xfId="0" applyFont="1" applyBorder="1" applyProtection="1">
      <protection hidden="1"/>
    </xf>
    <xf numFmtId="0" fontId="3" fillId="0" borderId="14" xfId="0" applyFont="1" applyBorder="1" applyProtection="1">
      <protection hidden="1"/>
    </xf>
    <xf numFmtId="0" fontId="3" fillId="0" borderId="5" xfId="0" applyFont="1" applyBorder="1" applyProtection="1">
      <protection hidden="1"/>
    </xf>
    <xf numFmtId="0" fontId="3" fillId="9" borderId="5" xfId="0" applyFont="1" applyFill="1" applyBorder="1" applyProtection="1">
      <protection hidden="1"/>
    </xf>
    <xf numFmtId="0" fontId="3" fillId="9" borderId="0" xfId="0" applyFont="1" applyFill="1" applyProtection="1">
      <protection hidden="1"/>
    </xf>
    <xf numFmtId="0" fontId="5" fillId="9" borderId="14" xfId="0" applyFont="1" applyFill="1" applyBorder="1" applyAlignment="1" applyProtection="1">
      <alignment horizontal="center"/>
      <protection hidden="1"/>
    </xf>
    <xf numFmtId="0" fontId="3" fillId="15" borderId="7" xfId="0" applyFont="1" applyFill="1" applyBorder="1" applyProtection="1">
      <protection hidden="1"/>
    </xf>
    <xf numFmtId="0" fontId="3" fillId="15" borderId="9" xfId="0" applyFont="1" applyFill="1" applyBorder="1" applyProtection="1">
      <protection hidden="1"/>
    </xf>
    <xf numFmtId="0" fontId="5" fillId="15" borderId="15" xfId="0" applyFont="1" applyFill="1" applyBorder="1" applyAlignment="1" applyProtection="1">
      <alignment horizontal="center"/>
      <protection hidden="1"/>
    </xf>
    <xf numFmtId="0" fontId="3" fillId="12" borderId="11" xfId="0" applyFont="1" applyFill="1" applyBorder="1" applyProtection="1">
      <protection hidden="1"/>
    </xf>
    <xf numFmtId="0" fontId="3" fillId="12" borderId="10" xfId="0" applyFont="1" applyFill="1" applyBorder="1" applyProtection="1">
      <protection hidden="1"/>
    </xf>
    <xf numFmtId="0" fontId="8" fillId="11" borderId="11" xfId="4" applyFont="1" applyFill="1" applyBorder="1" applyAlignment="1" applyProtection="1">
      <alignment horizontal="center"/>
      <protection hidden="1"/>
    </xf>
    <xf numFmtId="0" fontId="8" fillId="11" borderId="10" xfId="4" applyFont="1" applyFill="1" applyBorder="1" applyAlignment="1" applyProtection="1">
      <alignment horizontal="center"/>
      <protection hidden="1"/>
    </xf>
    <xf numFmtId="0" fontId="3" fillId="0" borderId="6" xfId="0" applyFont="1" applyBorder="1" applyProtection="1">
      <protection hidden="1"/>
    </xf>
    <xf numFmtId="0" fontId="8" fillId="0" borderId="5" xfId="4" applyFont="1" applyBorder="1" applyProtection="1">
      <protection hidden="1"/>
    </xf>
    <xf numFmtId="0" fontId="8" fillId="0" borderId="6" xfId="4" applyFont="1" applyBorder="1" applyProtection="1">
      <protection hidden="1"/>
    </xf>
    <xf numFmtId="0" fontId="3" fillId="0" borderId="6" xfId="0" applyFont="1" applyBorder="1" applyAlignment="1" applyProtection="1">
      <alignment vertical="top" wrapText="1"/>
      <protection hidden="1"/>
    </xf>
    <xf numFmtId="0" fontId="22" fillId="0" borderId="7" xfId="0" applyFont="1" applyBorder="1" applyProtection="1">
      <protection hidden="1"/>
    </xf>
    <xf numFmtId="0" fontId="22" fillId="5" borderId="8" xfId="0" applyFont="1" applyFill="1" applyBorder="1" applyProtection="1">
      <protection hidden="1"/>
    </xf>
    <xf numFmtId="0" fontId="3" fillId="0" borderId="7" xfId="0" applyFont="1" applyBorder="1" applyProtection="1">
      <protection hidden="1"/>
    </xf>
    <xf numFmtId="0" fontId="3" fillId="0" borderId="8" xfId="0" applyFont="1" applyBorder="1" applyProtection="1">
      <protection hidden="1"/>
    </xf>
    <xf numFmtId="0" fontId="3" fillId="12" borderId="11" xfId="0" applyFont="1" applyFill="1" applyBorder="1" applyAlignment="1" applyProtection="1">
      <alignment vertical="top"/>
      <protection hidden="1"/>
    </xf>
    <xf numFmtId="0" fontId="3" fillId="12" borderId="10" xfId="0" applyFont="1" applyFill="1" applyBorder="1" applyAlignment="1" applyProtection="1">
      <alignment vertical="top"/>
      <protection hidden="1"/>
    </xf>
    <xf numFmtId="0" fontId="10" fillId="0" borderId="0" xfId="0" applyFont="1" applyProtection="1">
      <protection hidden="1"/>
    </xf>
    <xf numFmtId="0" fontId="12" fillId="9" borderId="2" xfId="0" applyFont="1" applyFill="1" applyBorder="1" applyAlignment="1" applyProtection="1">
      <alignment vertical="top" wrapText="1"/>
      <protection hidden="1"/>
    </xf>
    <xf numFmtId="0" fontId="12" fillId="9" borderId="2" xfId="0" applyFont="1" applyFill="1" applyBorder="1" applyAlignment="1" applyProtection="1">
      <alignment vertical="top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1" fillId="0" borderId="1" xfId="0" applyFont="1" applyBorder="1" applyAlignment="1" applyProtection="1">
      <alignment vertical="center" readingOrder="1"/>
      <protection hidden="1"/>
    </xf>
    <xf numFmtId="0" fontId="10" fillId="0" borderId="1" xfId="0" applyFont="1" applyBorder="1" applyProtection="1">
      <protection hidden="1"/>
    </xf>
    <xf numFmtId="0" fontId="10" fillId="0" borderId="10" xfId="0" applyFont="1" applyBorder="1" applyAlignment="1" applyProtection="1">
      <alignment horizontal="center"/>
      <protection hidden="1"/>
    </xf>
    <xf numFmtId="0" fontId="10" fillId="0" borderId="3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vertical="center" readingOrder="1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14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left" vertical="center" readingOrder="1"/>
      <protection hidden="1"/>
    </xf>
    <xf numFmtId="0" fontId="10" fillId="0" borderId="0" xfId="0" applyFont="1" applyAlignment="1" applyProtection="1">
      <alignment horizontal="left" vertical="center" readingOrder="1"/>
      <protection hidden="1"/>
    </xf>
    <xf numFmtId="0" fontId="10" fillId="0" borderId="9" xfId="0" applyFont="1" applyBorder="1" applyAlignment="1" applyProtection="1">
      <alignment horizontal="center"/>
      <protection hidden="1"/>
    </xf>
    <xf numFmtId="0" fontId="10" fillId="0" borderId="9" xfId="0" applyFont="1" applyBorder="1" applyProtection="1">
      <protection hidden="1"/>
    </xf>
    <xf numFmtId="0" fontId="10" fillId="0" borderId="9" xfId="0" applyFont="1" applyBorder="1" applyAlignment="1" applyProtection="1">
      <alignment horizontal="left" vertical="center" readingOrder="1"/>
      <protection hidden="1"/>
    </xf>
    <xf numFmtId="0" fontId="9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 shrinkToFit="1"/>
      <protection hidden="1"/>
    </xf>
    <xf numFmtId="0" fontId="26" fillId="0" borderId="0" xfId="2" applyFont="1" applyAlignment="1" applyProtection="1">
      <alignment vertical="top"/>
      <protection hidden="1"/>
    </xf>
    <xf numFmtId="0" fontId="27" fillId="0" borderId="0" xfId="2" applyFont="1" applyAlignment="1" applyProtection="1">
      <alignment vertical="top"/>
      <protection hidden="1"/>
    </xf>
    <xf numFmtId="0" fontId="10" fillId="0" borderId="8" xfId="0" applyFont="1" applyBorder="1" applyAlignment="1" applyProtection="1">
      <alignment horizontal="center"/>
      <protection hidden="1"/>
    </xf>
    <xf numFmtId="0" fontId="8" fillId="16" borderId="11" xfId="5" applyFont="1" applyFill="1" applyBorder="1" applyProtection="1">
      <protection hidden="1"/>
    </xf>
    <xf numFmtId="0" fontId="8" fillId="16" borderId="10" xfId="5" applyFont="1" applyFill="1" applyBorder="1" applyProtection="1">
      <protection hidden="1"/>
    </xf>
    <xf numFmtId="0" fontId="8" fillId="0" borderId="5" xfId="5" applyFont="1" applyBorder="1" applyAlignment="1" applyProtection="1">
      <alignment wrapText="1"/>
      <protection hidden="1"/>
    </xf>
    <xf numFmtId="0" fontId="8" fillId="0" borderId="6" xfId="5" applyFont="1" applyBorder="1" applyAlignment="1" applyProtection="1">
      <alignment wrapText="1"/>
      <protection hidden="1"/>
    </xf>
    <xf numFmtId="0" fontId="8" fillId="0" borderId="7" xfId="5" applyFont="1" applyBorder="1" applyAlignment="1" applyProtection="1">
      <alignment wrapText="1"/>
      <protection hidden="1"/>
    </xf>
    <xf numFmtId="0" fontId="8" fillId="0" borderId="8" xfId="5" applyFont="1" applyBorder="1" applyAlignment="1" applyProtection="1">
      <alignment wrapText="1"/>
      <protection hidden="1"/>
    </xf>
    <xf numFmtId="0" fontId="7" fillId="0" borderId="0" xfId="0" applyFont="1" applyAlignment="1" applyProtection="1">
      <alignment shrinkToFit="1"/>
      <protection hidden="1"/>
    </xf>
    <xf numFmtId="0" fontId="30" fillId="3" borderId="1" xfId="0" applyFont="1" applyFill="1" applyBorder="1" applyAlignment="1" applyProtection="1">
      <alignment horizontal="center" vertical="top" shrinkToFit="1"/>
      <protection hidden="1"/>
    </xf>
    <xf numFmtId="14" fontId="7" fillId="0" borderId="0" xfId="0" applyNumberFormat="1" applyFont="1" applyAlignment="1" applyProtection="1">
      <alignment shrinkToFit="1"/>
      <protection hidden="1"/>
    </xf>
    <xf numFmtId="0" fontId="32" fillId="3" borderId="5" xfId="0" applyFont="1" applyFill="1" applyBorder="1" applyAlignment="1" applyProtection="1">
      <alignment horizontal="right" wrapText="1" shrinkToFit="1"/>
      <protection hidden="1"/>
    </xf>
    <xf numFmtId="0" fontId="7" fillId="3" borderId="0" xfId="0" applyFont="1" applyFill="1" applyAlignment="1" applyProtection="1">
      <alignment shrinkToFit="1"/>
      <protection hidden="1"/>
    </xf>
    <xf numFmtId="0" fontId="7" fillId="3" borderId="5" xfId="0" applyFont="1" applyFill="1" applyBorder="1" applyAlignment="1" applyProtection="1">
      <alignment horizontal="right" wrapText="1" shrinkToFit="1"/>
      <protection hidden="1"/>
    </xf>
    <xf numFmtId="0" fontId="7" fillId="3" borderId="0" xfId="0" applyFont="1" applyFill="1" applyAlignment="1" applyProtection="1">
      <alignment horizontal="right" shrinkToFit="1"/>
      <protection hidden="1"/>
    </xf>
    <xf numFmtId="0" fontId="7" fillId="4" borderId="14" xfId="0" applyFont="1" applyFill="1" applyBorder="1" applyAlignment="1" applyProtection="1">
      <alignment horizontal="center" shrinkToFit="1"/>
      <protection locked="0"/>
    </xf>
    <xf numFmtId="0" fontId="32" fillId="3" borderId="5" xfId="0" applyFont="1" applyFill="1" applyBorder="1" applyAlignment="1" applyProtection="1">
      <alignment horizontal="right" vertical="top" shrinkToFit="1"/>
      <protection hidden="1"/>
    </xf>
    <xf numFmtId="0" fontId="32" fillId="3" borderId="0" xfId="0" applyFont="1" applyFill="1" applyAlignment="1" applyProtection="1">
      <alignment vertical="top" shrinkToFit="1"/>
      <protection hidden="1"/>
    </xf>
    <xf numFmtId="0" fontId="29" fillId="3" borderId="0" xfId="0" applyFont="1" applyFill="1" applyAlignment="1" applyProtection="1">
      <alignment vertical="top" shrinkToFit="1"/>
      <protection hidden="1"/>
    </xf>
    <xf numFmtId="49" fontId="7" fillId="3" borderId="0" xfId="0" applyNumberFormat="1" applyFont="1" applyFill="1" applyAlignment="1" applyProtection="1">
      <alignment horizontal="right" vertical="top" shrinkToFit="1"/>
      <protection hidden="1"/>
    </xf>
    <xf numFmtId="0" fontId="7" fillId="3" borderId="14" xfId="0" applyFont="1" applyFill="1" applyBorder="1" applyAlignment="1" applyProtection="1">
      <alignment horizontal="center" shrinkToFit="1"/>
      <protection hidden="1"/>
    </xf>
    <xf numFmtId="0" fontId="7" fillId="3" borderId="5" xfId="0" applyFont="1" applyFill="1" applyBorder="1" applyAlignment="1" applyProtection="1">
      <alignment wrapText="1" shrinkToFit="1"/>
      <protection hidden="1"/>
    </xf>
    <xf numFmtId="0" fontId="7" fillId="3" borderId="5" xfId="0" applyFont="1" applyFill="1" applyBorder="1" applyAlignment="1" applyProtection="1">
      <alignment horizontal="right" vertical="top" wrapText="1" shrinkToFit="1"/>
      <protection hidden="1"/>
    </xf>
    <xf numFmtId="0" fontId="31" fillId="3" borderId="0" xfId="1" applyNumberFormat="1" applyFont="1" applyFill="1" applyBorder="1" applyAlignment="1" applyProtection="1">
      <alignment horizontal="right" vertical="top" shrinkToFit="1"/>
      <protection hidden="1"/>
    </xf>
    <xf numFmtId="0" fontId="7" fillId="3" borderId="7" xfId="0" applyFont="1" applyFill="1" applyBorder="1" applyAlignment="1" applyProtection="1">
      <alignment horizontal="right" vertical="top" wrapText="1" shrinkToFit="1"/>
      <protection hidden="1"/>
    </xf>
    <xf numFmtId="0" fontId="7" fillId="3" borderId="9" xfId="0" applyFont="1" applyFill="1" applyBorder="1" applyAlignment="1" applyProtection="1">
      <alignment shrinkToFit="1"/>
      <protection hidden="1"/>
    </xf>
    <xf numFmtId="0" fontId="29" fillId="3" borderId="9" xfId="0" applyFont="1" applyFill="1" applyBorder="1" applyAlignment="1" applyProtection="1">
      <alignment vertical="top" shrinkToFit="1"/>
      <protection hidden="1"/>
    </xf>
    <xf numFmtId="49" fontId="7" fillId="3" borderId="9" xfId="0" applyNumberFormat="1" applyFont="1" applyFill="1" applyBorder="1" applyAlignment="1" applyProtection="1">
      <alignment horizontal="right" vertical="top" shrinkToFit="1"/>
      <protection hidden="1"/>
    </xf>
    <xf numFmtId="0" fontId="7" fillId="3" borderId="7" xfId="0" applyFont="1" applyFill="1" applyBorder="1" applyAlignment="1" applyProtection="1">
      <alignment shrinkToFit="1"/>
      <protection hidden="1"/>
    </xf>
    <xf numFmtId="0" fontId="7" fillId="3" borderId="9" xfId="0" applyFont="1" applyFill="1" applyBorder="1" applyAlignment="1" applyProtection="1">
      <alignment horizontal="right" vertical="top" shrinkToFit="1"/>
      <protection hidden="1"/>
    </xf>
    <xf numFmtId="0" fontId="33" fillId="3" borderId="9" xfId="0" applyFont="1" applyFill="1" applyBorder="1" applyAlignment="1" applyProtection="1">
      <alignment vertical="center" wrapText="1" shrinkToFit="1"/>
      <protection hidden="1"/>
    </xf>
    <xf numFmtId="0" fontId="36" fillId="0" borderId="0" xfId="0" quotePrefix="1" applyFont="1" applyAlignment="1" applyProtection="1">
      <alignment vertical="top" wrapText="1"/>
      <protection hidden="1"/>
    </xf>
    <xf numFmtId="0" fontId="36" fillId="0" borderId="0" xfId="0" quotePrefix="1" applyFont="1" applyAlignment="1" applyProtection="1">
      <alignment vertical="top"/>
      <protection hidden="1"/>
    </xf>
    <xf numFmtId="0" fontId="7" fillId="0" borderId="0" xfId="0" applyFont="1" applyProtection="1">
      <protection hidden="1"/>
    </xf>
    <xf numFmtId="0" fontId="37" fillId="0" borderId="5" xfId="0" applyFont="1" applyBorder="1" applyProtection="1">
      <protection hidden="1"/>
    </xf>
    <xf numFmtId="0" fontId="37" fillId="0" borderId="0" xfId="0" applyFont="1" applyProtection="1">
      <protection hidden="1"/>
    </xf>
    <xf numFmtId="49" fontId="25" fillId="0" borderId="0" xfId="3" applyNumberFormat="1" applyFont="1" applyAlignment="1" applyProtection="1">
      <alignment shrinkToFit="1"/>
      <protection locked="0"/>
    </xf>
    <xf numFmtId="49" fontId="21" fillId="0" borderId="0" xfId="0" applyNumberFormat="1" applyFont="1" applyAlignment="1" applyProtection="1">
      <alignment shrinkToFit="1"/>
      <protection locked="0"/>
    </xf>
    <xf numFmtId="49" fontId="21" fillId="0" borderId="0" xfId="3" applyNumberFormat="1" applyFont="1" applyAlignment="1" applyProtection="1">
      <alignment shrinkToFit="1"/>
      <protection locked="0"/>
    </xf>
    <xf numFmtId="0" fontId="7" fillId="3" borderId="1" xfId="0" applyFont="1" applyFill="1" applyBorder="1" applyAlignment="1" applyProtection="1">
      <alignment vertical="top" shrinkToFit="1"/>
      <protection hidden="1"/>
    </xf>
    <xf numFmtId="0" fontId="7" fillId="3" borderId="9" xfId="0" applyFont="1" applyFill="1" applyBorder="1" applyAlignment="1" applyProtection="1">
      <alignment vertical="top" wrapText="1" shrinkToFit="1"/>
      <protection hidden="1"/>
    </xf>
    <xf numFmtId="0" fontId="7" fillId="3" borderId="8" xfId="0" applyFont="1" applyFill="1" applyBorder="1" applyAlignment="1" applyProtection="1">
      <alignment vertical="top" wrapText="1" shrinkToFit="1"/>
      <protection hidden="1"/>
    </xf>
    <xf numFmtId="0" fontId="7" fillId="3" borderId="6" xfId="0" applyFont="1" applyFill="1" applyBorder="1" applyAlignment="1" applyProtection="1">
      <alignment shrinkToFit="1"/>
      <protection hidden="1"/>
    </xf>
    <xf numFmtId="49" fontId="7" fillId="3" borderId="15" xfId="0" applyNumberFormat="1" applyFont="1" applyFill="1" applyBorder="1" applyAlignment="1" applyProtection="1">
      <alignment horizontal="right" vertical="top" shrinkToFit="1"/>
      <protection hidden="1"/>
    </xf>
    <xf numFmtId="0" fontId="7" fillId="3" borderId="15" xfId="0" applyFont="1" applyFill="1" applyBorder="1" applyAlignment="1" applyProtection="1">
      <alignment shrinkToFit="1"/>
      <protection hidden="1"/>
    </xf>
    <xf numFmtId="0" fontId="7" fillId="3" borderId="2" xfId="0" applyFont="1" applyFill="1" applyBorder="1" applyAlignment="1" applyProtection="1">
      <alignment horizontal="center" shrinkToFit="1"/>
      <protection hidden="1"/>
    </xf>
    <xf numFmtId="0" fontId="7" fillId="3" borderId="0" xfId="0" applyFont="1" applyFill="1" applyAlignment="1" applyProtection="1">
      <alignment horizontal="center" vertical="top" shrinkToFit="1"/>
      <protection hidden="1"/>
    </xf>
    <xf numFmtId="0" fontId="7" fillId="0" borderId="0" xfId="0" applyFont="1" applyAlignment="1" applyProtection="1">
      <alignment vertical="top"/>
      <protection locked="0"/>
    </xf>
    <xf numFmtId="0" fontId="6" fillId="0" borderId="21" xfId="0" applyFont="1" applyBorder="1"/>
    <xf numFmtId="0" fontId="31" fillId="3" borderId="2" xfId="1" applyFont="1" applyFill="1" applyBorder="1" applyAlignment="1" applyProtection="1">
      <alignment horizontal="center" vertical="top" wrapText="1" shrinkToFit="1"/>
      <protection hidden="1"/>
    </xf>
    <xf numFmtId="0" fontId="38" fillId="0" borderId="15" xfId="0" applyFont="1" applyBorder="1" applyAlignment="1" applyProtection="1">
      <alignment horizontal="center"/>
      <protection hidden="1"/>
    </xf>
    <xf numFmtId="0" fontId="6" fillId="12" borderId="11" xfId="0" applyFont="1" applyFill="1" applyBorder="1"/>
    <xf numFmtId="0" fontId="6" fillId="12" borderId="1" xfId="0" applyFont="1" applyFill="1" applyBorder="1"/>
    <xf numFmtId="0" fontId="3" fillId="12" borderId="1" xfId="0" applyFont="1" applyFill="1" applyBorder="1" applyAlignment="1" applyProtection="1">
      <alignment vertical="top"/>
      <protection hidden="1"/>
    </xf>
    <xf numFmtId="0" fontId="6" fillId="12" borderId="10" xfId="0" applyFont="1" applyFill="1" applyBorder="1"/>
    <xf numFmtId="0" fontId="9" fillId="17" borderId="0" xfId="0" applyFont="1" applyFill="1" applyAlignment="1" applyProtection="1">
      <alignment vertical="top"/>
      <protection hidden="1"/>
    </xf>
    <xf numFmtId="0" fontId="7" fillId="15" borderId="2" xfId="0" applyFont="1" applyFill="1" applyBorder="1" applyAlignment="1" applyProtection="1">
      <alignment horizontal="center" vertical="top" wrapText="1" shrinkToFit="1"/>
      <protection hidden="1"/>
    </xf>
    <xf numFmtId="0" fontId="7" fillId="9" borderId="2" xfId="0" applyFont="1" applyFill="1" applyBorder="1" applyAlignment="1" applyProtection="1">
      <alignment vertical="top" wrapText="1"/>
      <protection hidden="1"/>
    </xf>
    <xf numFmtId="0" fontId="7" fillId="0" borderId="0" xfId="0" applyFont="1" applyAlignment="1" applyProtection="1">
      <alignment horizontal="center" vertical="top" shrinkToFit="1"/>
      <protection hidden="1"/>
    </xf>
    <xf numFmtId="0" fontId="7" fillId="0" borderId="0" xfId="0" applyFont="1" applyAlignment="1" applyProtection="1">
      <alignment horizontal="center" vertical="top" wrapText="1" shrinkToFit="1"/>
      <protection hidden="1"/>
    </xf>
    <xf numFmtId="0" fontId="9" fillId="3" borderId="0" xfId="0" applyFont="1" applyFill="1" applyAlignment="1" applyProtection="1">
      <alignment horizontal="center" vertical="top"/>
      <protection hidden="1"/>
    </xf>
    <xf numFmtId="0" fontId="9" fillId="17" borderId="0" xfId="0" applyFont="1" applyFill="1" applyAlignment="1" applyProtection="1">
      <alignment horizontal="center" vertical="top"/>
      <protection hidden="1"/>
    </xf>
    <xf numFmtId="0" fontId="9" fillId="14" borderId="0" xfId="0" applyFont="1" applyFill="1" applyAlignment="1" applyProtection="1">
      <alignment horizontal="center" vertical="top"/>
      <protection hidden="1"/>
    </xf>
    <xf numFmtId="0" fontId="9" fillId="9" borderId="0" xfId="0" applyFont="1" applyFill="1" applyAlignment="1" applyProtection="1">
      <alignment horizontal="center" vertical="top"/>
      <protection hidden="1"/>
    </xf>
    <xf numFmtId="0" fontId="9" fillId="6" borderId="0" xfId="0" applyFont="1" applyFill="1" applyAlignment="1" applyProtection="1">
      <alignment horizontal="center" vertical="top"/>
      <protection hidden="1"/>
    </xf>
    <xf numFmtId="0" fontId="7" fillId="17" borderId="14" xfId="0" applyFont="1" applyFill="1" applyBorder="1" applyAlignment="1" applyProtection="1">
      <alignment vertical="center" wrapText="1" shrinkToFit="1"/>
      <protection hidden="1"/>
    </xf>
    <xf numFmtId="0" fontId="7" fillId="3" borderId="2" xfId="0" applyFont="1" applyFill="1" applyBorder="1" applyAlignment="1" applyProtection="1">
      <alignment horizontal="center" vertical="top" wrapText="1"/>
      <protection hidden="1"/>
    </xf>
    <xf numFmtId="0" fontId="7" fillId="17" borderId="2" xfId="0" applyFont="1" applyFill="1" applyBorder="1" applyAlignment="1" applyProtection="1">
      <alignment horizontal="center" vertical="top" wrapText="1"/>
      <protection hidden="1"/>
    </xf>
    <xf numFmtId="0" fontId="9" fillId="3" borderId="16" xfId="0" applyFont="1" applyFill="1" applyBorder="1" applyAlignment="1" applyProtection="1">
      <alignment vertical="top"/>
      <protection hidden="1"/>
    </xf>
    <xf numFmtId="0" fontId="7" fillId="3" borderId="0" xfId="0" applyFont="1" applyFill="1" applyProtection="1">
      <protection hidden="1"/>
    </xf>
    <xf numFmtId="0" fontId="9" fillId="15" borderId="16" xfId="0" applyFont="1" applyFill="1" applyBorder="1" applyAlignment="1" applyProtection="1">
      <alignment vertical="top"/>
      <protection hidden="1"/>
    </xf>
    <xf numFmtId="0" fontId="9" fillId="9" borderId="16" xfId="0" applyFont="1" applyFill="1" applyBorder="1" applyAlignment="1" applyProtection="1">
      <alignment vertical="top"/>
      <protection hidden="1"/>
    </xf>
    <xf numFmtId="0" fontId="30" fillId="3" borderId="1" xfId="0" applyFont="1" applyFill="1" applyBorder="1" applyAlignment="1" applyProtection="1">
      <alignment vertical="top" shrinkToFit="1"/>
      <protection hidden="1"/>
    </xf>
    <xf numFmtId="0" fontId="7" fillId="3" borderId="1" xfId="0" applyFont="1" applyFill="1" applyBorder="1" applyProtection="1">
      <protection hidden="1"/>
    </xf>
    <xf numFmtId="0" fontId="7" fillId="3" borderId="10" xfId="0" applyFont="1" applyFill="1" applyBorder="1" applyProtection="1">
      <protection hidden="1"/>
    </xf>
    <xf numFmtId="0" fontId="33" fillId="3" borderId="0" xfId="0" applyFont="1" applyFill="1" applyAlignment="1" applyProtection="1">
      <alignment vertical="center" wrapText="1"/>
      <protection hidden="1"/>
    </xf>
    <xf numFmtId="0" fontId="7" fillId="3" borderId="6" xfId="0" applyFont="1" applyFill="1" applyBorder="1" applyProtection="1">
      <protection hidden="1"/>
    </xf>
    <xf numFmtId="0" fontId="9" fillId="3" borderId="0" xfId="0" applyFont="1" applyFill="1" applyAlignment="1" applyProtection="1">
      <alignment horizontal="left" vertical="top" shrinkToFit="1"/>
      <protection hidden="1"/>
    </xf>
    <xf numFmtId="0" fontId="31" fillId="3" borderId="9" xfId="1" applyFont="1" applyFill="1" applyBorder="1" applyAlignment="1" applyProtection="1">
      <alignment horizontal="center" vertical="center" wrapText="1"/>
      <protection hidden="1"/>
    </xf>
    <xf numFmtId="0" fontId="33" fillId="3" borderId="9" xfId="0" applyFont="1" applyFill="1" applyBorder="1" applyAlignment="1" applyProtection="1">
      <alignment vertical="center" wrapText="1"/>
      <protection hidden="1"/>
    </xf>
    <xf numFmtId="0" fontId="29" fillId="3" borderId="9" xfId="0" applyFont="1" applyFill="1" applyBorder="1" applyAlignment="1" applyProtection="1">
      <alignment horizontal="left" vertical="top" shrinkToFit="1"/>
      <protection hidden="1"/>
    </xf>
    <xf numFmtId="0" fontId="7" fillId="3" borderId="9" xfId="0" applyFont="1" applyFill="1" applyBorder="1" applyProtection="1">
      <protection hidden="1"/>
    </xf>
    <xf numFmtId="0" fontId="7" fillId="3" borderId="8" xfId="0" applyFont="1" applyFill="1" applyBorder="1" applyProtection="1">
      <protection hidden="1"/>
    </xf>
    <xf numFmtId="0" fontId="7" fillId="0" borderId="23" xfId="0" applyFont="1" applyBorder="1" applyAlignment="1">
      <alignment vertical="top"/>
    </xf>
    <xf numFmtId="0" fontId="7" fillId="0" borderId="24" xfId="0" applyFont="1" applyBorder="1" applyAlignment="1">
      <alignment vertical="top"/>
    </xf>
    <xf numFmtId="0" fontId="7" fillId="0" borderId="24" xfId="0" applyFont="1" applyBorder="1" applyAlignment="1">
      <alignment vertical="top" wrapText="1"/>
    </xf>
    <xf numFmtId="0" fontId="7" fillId="0" borderId="25" xfId="0" applyFont="1" applyBorder="1" applyAlignment="1">
      <alignment vertical="top" wrapText="1"/>
    </xf>
    <xf numFmtId="0" fontId="7" fillId="0" borderId="23" xfId="0" applyFont="1" applyBorder="1" applyAlignment="1">
      <alignment vertical="top" shrinkToFit="1"/>
    </xf>
    <xf numFmtId="0" fontId="7" fillId="0" borderId="23" xfId="2" applyFont="1" applyBorder="1" applyAlignment="1">
      <alignment vertical="top"/>
    </xf>
    <xf numFmtId="0" fontId="7" fillId="0" borderId="24" xfId="2" applyFont="1" applyBorder="1" applyAlignment="1">
      <alignment vertical="top"/>
    </xf>
    <xf numFmtId="0" fontId="7" fillId="0" borderId="24" xfId="2" applyFont="1" applyBorder="1" applyAlignment="1">
      <alignment vertical="top" wrapText="1"/>
    </xf>
    <xf numFmtId="0" fontId="7" fillId="0" borderId="24" xfId="0" applyFont="1" applyBorder="1" applyAlignment="1">
      <alignment vertical="top" wrapText="1" shrinkToFit="1"/>
    </xf>
    <xf numFmtId="0" fontId="9" fillId="0" borderId="0" xfId="0" applyFont="1" applyAlignment="1" applyProtection="1">
      <alignment vertical="top" wrapText="1"/>
      <protection hidden="1"/>
    </xf>
    <xf numFmtId="0" fontId="7" fillId="0" borderId="0" xfId="0" applyFont="1" applyAlignment="1" applyProtection="1">
      <alignment vertical="top" wrapText="1"/>
      <protection hidden="1"/>
    </xf>
    <xf numFmtId="0" fontId="9" fillId="3" borderId="0" xfId="0" applyFont="1" applyFill="1" applyAlignment="1" applyProtection="1">
      <alignment shrinkToFit="1"/>
      <protection hidden="1"/>
    </xf>
    <xf numFmtId="0" fontId="35" fillId="3" borderId="0" xfId="0" applyFont="1" applyFill="1" applyAlignment="1" applyProtection="1">
      <alignment vertical="center" wrapText="1" shrinkToFit="1"/>
      <protection hidden="1"/>
    </xf>
    <xf numFmtId="0" fontId="7" fillId="3" borderId="2" xfId="0" applyFont="1" applyFill="1" applyBorder="1" applyAlignment="1" applyProtection="1">
      <alignment vertical="top" wrapText="1" shrinkToFit="1"/>
      <protection hidden="1"/>
    </xf>
    <xf numFmtId="0" fontId="31" fillId="3" borderId="2" xfId="1" applyFont="1" applyFill="1" applyBorder="1" applyAlignment="1" applyProtection="1">
      <alignment vertical="top" wrapText="1" shrinkToFit="1"/>
      <protection hidden="1"/>
    </xf>
    <xf numFmtId="0" fontId="7" fillId="15" borderId="2" xfId="0" applyFont="1" applyFill="1" applyBorder="1" applyAlignment="1" applyProtection="1">
      <alignment vertical="top" wrapText="1" shrinkToFit="1"/>
      <protection hidden="1"/>
    </xf>
    <xf numFmtId="0" fontId="7" fillId="6" borderId="2" xfId="0" applyFont="1" applyFill="1" applyBorder="1" applyAlignment="1" applyProtection="1">
      <alignment vertical="top" wrapText="1" shrinkToFit="1"/>
      <protection hidden="1"/>
    </xf>
    <xf numFmtId="0" fontId="35" fillId="3" borderId="9" xfId="0" applyFont="1" applyFill="1" applyBorder="1" applyAlignment="1" applyProtection="1">
      <alignment vertical="top" wrapText="1"/>
      <protection hidden="1"/>
    </xf>
    <xf numFmtId="0" fontId="7" fillId="0" borderId="0" xfId="0" applyFont="1" applyAlignment="1">
      <alignment vertical="top" wrapText="1"/>
    </xf>
    <xf numFmtId="0" fontId="29" fillId="0" borderId="0" xfId="0" applyFont="1" applyAlignment="1">
      <alignment horizontal="center" vertical="top" wrapText="1"/>
    </xf>
    <xf numFmtId="0" fontId="7" fillId="0" borderId="0" xfId="2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wrapText="1"/>
    </xf>
    <xf numFmtId="0" fontId="7" fillId="0" borderId="0" xfId="0" quotePrefix="1" applyFont="1" applyAlignment="1">
      <alignment wrapText="1"/>
    </xf>
    <xf numFmtId="0" fontId="7" fillId="0" borderId="0" xfId="0" applyFont="1" applyAlignment="1">
      <alignment wrapText="1"/>
    </xf>
    <xf numFmtId="0" fontId="9" fillId="13" borderId="3" xfId="0" applyFont="1" applyFill="1" applyBorder="1" applyAlignment="1">
      <alignment vertical="top" wrapText="1"/>
    </xf>
    <xf numFmtId="0" fontId="9" fillId="13" borderId="2" xfId="0" applyFont="1" applyFill="1" applyBorder="1" applyAlignment="1">
      <alignment vertical="top" wrapText="1"/>
    </xf>
    <xf numFmtId="0" fontId="9" fillId="13" borderId="4" xfId="0" applyFont="1" applyFill="1" applyBorder="1" applyAlignment="1">
      <alignment horizontal="center" vertical="top" wrapText="1"/>
    </xf>
    <xf numFmtId="0" fontId="7" fillId="0" borderId="2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1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1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15" xfId="0" applyFont="1" applyBorder="1" applyAlignment="1">
      <alignment vertical="top" wrapText="1"/>
    </xf>
    <xf numFmtId="0" fontId="7" fillId="3" borderId="2" xfId="0" applyFont="1" applyFill="1" applyBorder="1" applyAlignment="1">
      <alignment vertical="top" wrapText="1" shrinkToFit="1"/>
    </xf>
    <xf numFmtId="0" fontId="7" fillId="17" borderId="2" xfId="0" applyFont="1" applyFill="1" applyBorder="1" applyAlignment="1">
      <alignment vertical="top" wrapText="1"/>
    </xf>
    <xf numFmtId="0" fontId="7" fillId="15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21" fillId="6" borderId="2" xfId="0" applyFont="1" applyFill="1" applyBorder="1" applyAlignment="1">
      <alignment vertical="top" wrapText="1" shrinkToFit="1"/>
    </xf>
    <xf numFmtId="0" fontId="21" fillId="0" borderId="2" xfId="0" applyFont="1" applyBorder="1" applyAlignment="1">
      <alignment vertical="top" wrapText="1" shrinkToFit="1"/>
    </xf>
    <xf numFmtId="0" fontId="21" fillId="0" borderId="2" xfId="0" applyFont="1" applyBorder="1" applyAlignment="1">
      <alignment horizontal="center" vertical="top" wrapText="1" shrinkToFit="1"/>
    </xf>
    <xf numFmtId="0" fontId="7" fillId="4" borderId="0" xfId="0" applyFont="1" applyFill="1" applyAlignment="1" applyProtection="1">
      <alignment shrinkToFit="1"/>
      <protection locked="0"/>
    </xf>
    <xf numFmtId="49" fontId="6" fillId="0" borderId="0" xfId="0" applyNumberFormat="1" applyFont="1" applyAlignment="1" applyProtection="1">
      <alignment vertical="top" shrinkToFit="1"/>
      <protection locked="0"/>
    </xf>
    <xf numFmtId="49" fontId="3" fillId="0" borderId="0" xfId="0" applyNumberFormat="1" applyFont="1" applyAlignment="1" applyProtection="1">
      <alignment shrinkToFit="1"/>
      <protection locked="0"/>
    </xf>
    <xf numFmtId="1" fontId="3" fillId="0" borderId="0" xfId="0" applyNumberFormat="1" applyFont="1" applyAlignment="1" applyProtection="1">
      <alignment shrinkToFit="1"/>
      <protection locked="0"/>
    </xf>
    <xf numFmtId="1" fontId="3" fillId="0" borderId="3" xfId="0" applyNumberFormat="1" applyFont="1" applyBorder="1" applyAlignment="1" applyProtection="1">
      <alignment shrinkToFit="1"/>
      <protection locked="0"/>
    </xf>
    <xf numFmtId="1" fontId="6" fillId="0" borderId="17" xfId="0" applyNumberFormat="1" applyFont="1" applyBorder="1" applyAlignment="1" applyProtection="1">
      <alignment vertical="top" shrinkToFit="1"/>
      <protection locked="0"/>
    </xf>
    <xf numFmtId="1" fontId="6" fillId="0" borderId="0" xfId="0" applyNumberFormat="1" applyFont="1" applyAlignment="1" applyProtection="1">
      <alignment vertical="top" shrinkToFit="1"/>
      <protection locked="0"/>
    </xf>
    <xf numFmtId="49" fontId="6" fillId="0" borderId="17" xfId="0" applyNumberFormat="1" applyFont="1" applyBorder="1" applyAlignment="1" applyProtection="1">
      <alignment shrinkToFit="1"/>
      <protection locked="0"/>
    </xf>
    <xf numFmtId="49" fontId="6" fillId="0" borderId="0" xfId="0" applyNumberFormat="1" applyFont="1" applyAlignment="1" applyProtection="1">
      <alignment shrinkToFit="1"/>
      <protection locked="0"/>
    </xf>
    <xf numFmtId="1" fontId="3" fillId="0" borderId="14" xfId="0" applyNumberFormat="1" applyFont="1" applyBorder="1" applyAlignment="1" applyProtection="1">
      <alignment shrinkToFit="1"/>
      <protection locked="0"/>
    </xf>
    <xf numFmtId="1" fontId="6" fillId="0" borderId="5" xfId="0" applyNumberFormat="1" applyFont="1" applyBorder="1" applyAlignment="1" applyProtection="1">
      <alignment vertical="top" shrinkToFit="1"/>
      <protection locked="0"/>
    </xf>
    <xf numFmtId="49" fontId="6" fillId="0" borderId="5" xfId="0" applyNumberFormat="1" applyFont="1" applyBorder="1" applyAlignment="1" applyProtection="1">
      <alignment shrinkToFit="1"/>
      <protection locked="0"/>
    </xf>
    <xf numFmtId="0" fontId="6" fillId="0" borderId="5" xfId="0" applyFont="1" applyBorder="1" applyAlignment="1" applyProtection="1">
      <alignment vertical="top" shrinkToFit="1"/>
      <protection locked="0"/>
    </xf>
    <xf numFmtId="0" fontId="6" fillId="0" borderId="0" xfId="0" applyFont="1" applyAlignment="1" applyProtection="1">
      <alignment vertical="top" shrinkToFit="1"/>
      <protection locked="0"/>
    </xf>
    <xf numFmtId="0" fontId="31" fillId="3" borderId="2" xfId="1" applyFont="1" applyFill="1" applyBorder="1" applyAlignment="1" applyProtection="1">
      <alignment horizontal="center" vertical="top" wrapText="1"/>
      <protection hidden="1"/>
    </xf>
    <xf numFmtId="0" fontId="7" fillId="3" borderId="0" xfId="0" applyFont="1" applyFill="1" applyAlignment="1" applyProtection="1">
      <alignment horizontal="right" vertical="top" shrinkToFit="1"/>
      <protection hidden="1"/>
    </xf>
    <xf numFmtId="0" fontId="7" fillId="0" borderId="0" xfId="0" applyFont="1" applyAlignment="1" applyProtection="1">
      <alignment vertical="top" shrinkToFit="1"/>
      <protection locked="0"/>
    </xf>
    <xf numFmtId="0" fontId="7" fillId="3" borderId="0" xfId="0" applyFont="1" applyFill="1" applyAlignment="1" applyProtection="1">
      <alignment vertical="top" shrinkToFit="1"/>
      <protection hidden="1"/>
    </xf>
    <xf numFmtId="0" fontId="37" fillId="0" borderId="5" xfId="0" applyFont="1" applyBorder="1" applyAlignment="1" applyProtection="1">
      <alignment vertical="top"/>
      <protection hidden="1"/>
    </xf>
    <xf numFmtId="0" fontId="37" fillId="0" borderId="0" xfId="0" applyFont="1" applyAlignment="1" applyProtection="1">
      <alignment vertical="top"/>
      <protection hidden="1"/>
    </xf>
    <xf numFmtId="0" fontId="37" fillId="0" borderId="6" xfId="0" applyFont="1" applyBorder="1" applyAlignment="1" applyProtection="1">
      <alignment vertical="top"/>
      <protection hidden="1"/>
    </xf>
    <xf numFmtId="0" fontId="36" fillId="0" borderId="0" xfId="0" applyFont="1" applyAlignment="1" applyProtection="1">
      <alignment vertical="top" shrinkToFit="1"/>
      <protection hidden="1"/>
    </xf>
    <xf numFmtId="0" fontId="7" fillId="3" borderId="9" xfId="0" applyFont="1" applyFill="1" applyBorder="1" applyAlignment="1" applyProtection="1">
      <alignment vertical="top" shrinkToFit="1"/>
      <protection hidden="1"/>
    </xf>
    <xf numFmtId="0" fontId="7" fillId="3" borderId="5" xfId="0" applyFont="1" applyFill="1" applyBorder="1" applyAlignment="1" applyProtection="1">
      <alignment horizontal="right" vertical="top" shrinkToFit="1"/>
      <protection hidden="1"/>
    </xf>
    <xf numFmtId="0" fontId="9" fillId="3" borderId="0" xfId="0" applyFont="1" applyFill="1" applyAlignment="1" applyProtection="1">
      <alignment vertical="top" shrinkToFit="1"/>
      <protection hidden="1"/>
    </xf>
    <xf numFmtId="0" fontId="6" fillId="0" borderId="0" xfId="0" applyFont="1"/>
    <xf numFmtId="0" fontId="6" fillId="0" borderId="0" xfId="0" applyFont="1" applyProtection="1">
      <protection hidden="1"/>
    </xf>
    <xf numFmtId="0" fontId="22" fillId="0" borderId="0" xfId="0" applyFont="1"/>
    <xf numFmtId="0" fontId="3" fillId="0" borderId="0" xfId="0" applyFont="1"/>
    <xf numFmtId="0" fontId="4" fillId="0" borderId="0" xfId="0" applyFont="1"/>
    <xf numFmtId="164" fontId="21" fillId="0" borderId="0" xfId="0" applyNumberFormat="1" applyFont="1" applyAlignment="1" applyProtection="1">
      <alignment shrinkToFit="1"/>
      <protection locked="0"/>
    </xf>
    <xf numFmtId="164" fontId="21" fillId="0" borderId="5" xfId="0" applyNumberFormat="1" applyFont="1" applyBorder="1" applyAlignment="1" applyProtection="1">
      <alignment shrinkToFit="1"/>
      <protection locked="0"/>
    </xf>
    <xf numFmtId="1" fontId="21" fillId="0" borderId="5" xfId="3" applyNumberFormat="1" applyFont="1" applyBorder="1" applyAlignment="1" applyProtection="1">
      <alignment shrinkToFit="1"/>
      <protection locked="0"/>
    </xf>
    <xf numFmtId="1" fontId="21" fillId="0" borderId="5" xfId="0" applyNumberFormat="1" applyFont="1" applyBorder="1" applyAlignment="1" applyProtection="1">
      <alignment shrinkToFit="1"/>
      <protection locked="0"/>
    </xf>
    <xf numFmtId="1" fontId="21" fillId="0" borderId="0" xfId="0" applyNumberFormat="1" applyFont="1" applyAlignment="1" applyProtection="1">
      <alignment shrinkToFit="1"/>
      <protection locked="0"/>
    </xf>
    <xf numFmtId="49" fontId="21" fillId="0" borderId="5" xfId="0" applyNumberFormat="1" applyFont="1" applyBorder="1" applyAlignment="1" applyProtection="1">
      <alignment horizontal="center" shrinkToFit="1"/>
      <protection locked="0"/>
    </xf>
    <xf numFmtId="49" fontId="21" fillId="0" borderId="0" xfId="0" applyNumberFormat="1" applyFont="1" applyAlignment="1" applyProtection="1">
      <alignment horizontal="center" shrinkToFit="1"/>
      <protection locked="0"/>
    </xf>
    <xf numFmtId="165" fontId="21" fillId="0" borderId="5" xfId="3" applyNumberFormat="1" applyFont="1" applyBorder="1" applyAlignment="1" applyProtection="1">
      <alignment shrinkToFit="1"/>
      <protection locked="0"/>
    </xf>
    <xf numFmtId="165" fontId="21" fillId="0" borderId="0" xfId="3" applyNumberFormat="1" applyFont="1" applyAlignment="1" applyProtection="1">
      <alignment shrinkToFit="1"/>
      <protection locked="0"/>
    </xf>
    <xf numFmtId="1" fontId="21" fillId="0" borderId="0" xfId="3" applyNumberFormat="1" applyFont="1" applyAlignment="1" applyProtection="1">
      <alignment shrinkToFit="1"/>
      <protection locked="0"/>
    </xf>
    <xf numFmtId="49" fontId="21" fillId="0" borderId="5" xfId="3" applyNumberFormat="1" applyFont="1" applyBorder="1" applyAlignment="1" applyProtection="1">
      <alignment horizontal="center" shrinkToFit="1"/>
      <protection locked="0"/>
    </xf>
    <xf numFmtId="0" fontId="7" fillId="5" borderId="24" xfId="0" applyFont="1" applyFill="1" applyBorder="1" applyAlignment="1">
      <alignment vertical="top" wrapText="1"/>
    </xf>
    <xf numFmtId="0" fontId="7" fillId="5" borderId="25" xfId="0" applyFont="1" applyFill="1" applyBorder="1" applyAlignment="1">
      <alignment vertical="top" wrapText="1"/>
    </xf>
    <xf numFmtId="0" fontId="7" fillId="18" borderId="2" xfId="0" applyFont="1" applyFill="1" applyBorder="1" applyAlignment="1" applyProtection="1">
      <alignment vertical="top" wrapText="1" shrinkToFit="1"/>
      <protection hidden="1"/>
    </xf>
    <xf numFmtId="0" fontId="7" fillId="18" borderId="24" xfId="0" applyFont="1" applyFill="1" applyBorder="1" applyAlignment="1">
      <alignment vertical="top" wrapText="1" shrinkToFit="1"/>
    </xf>
    <xf numFmtId="0" fontId="7" fillId="18" borderId="24" xfId="0" applyFont="1" applyFill="1" applyBorder="1" applyAlignment="1">
      <alignment vertical="top" wrapText="1"/>
    </xf>
    <xf numFmtId="0" fontId="31" fillId="18" borderId="2" xfId="1" applyFont="1" applyFill="1" applyBorder="1" applyAlignment="1" applyProtection="1">
      <alignment vertical="top" wrapText="1" shrinkToFit="1"/>
      <protection hidden="1"/>
    </xf>
    <xf numFmtId="0" fontId="7" fillId="18" borderId="23" xfId="0" applyFont="1" applyFill="1" applyBorder="1" applyAlignment="1">
      <alignment vertical="top" shrinkToFit="1"/>
    </xf>
    <xf numFmtId="0" fontId="7" fillId="18" borderId="23" xfId="0" applyFont="1" applyFill="1" applyBorder="1" applyAlignment="1">
      <alignment vertical="top"/>
    </xf>
    <xf numFmtId="0" fontId="6" fillId="0" borderId="0" xfId="0" applyFont="1" applyAlignment="1" applyProtection="1">
      <alignment shrinkToFit="1"/>
      <protection locked="0"/>
    </xf>
    <xf numFmtId="49" fontId="9" fillId="3" borderId="0" xfId="0" applyNumberFormat="1" applyFont="1" applyFill="1" applyAlignment="1" applyProtection="1">
      <alignment horizontal="center" vertical="top"/>
      <protection hidden="1"/>
    </xf>
    <xf numFmtId="0" fontId="7" fillId="5" borderId="24" xfId="2" applyFont="1" applyFill="1" applyBorder="1" applyAlignment="1">
      <alignment vertical="top" wrapText="1"/>
    </xf>
    <xf numFmtId="0" fontId="7" fillId="18" borderId="24" xfId="0" applyFont="1" applyFill="1" applyBorder="1" applyAlignment="1">
      <alignment vertical="top"/>
    </xf>
    <xf numFmtId="0" fontId="7" fillId="18" borderId="24" xfId="2" applyFont="1" applyFill="1" applyBorder="1" applyAlignment="1">
      <alignment vertical="top" wrapText="1"/>
    </xf>
    <xf numFmtId="0" fontId="4" fillId="0" borderId="0" xfId="0" applyFont="1" applyAlignment="1">
      <alignment wrapText="1"/>
    </xf>
    <xf numFmtId="0" fontId="9" fillId="17" borderId="2" xfId="0" applyFont="1" applyFill="1" applyBorder="1" applyAlignment="1" applyProtection="1">
      <alignment vertical="top" wrapText="1" shrinkToFit="1"/>
      <protection hidden="1"/>
    </xf>
    <xf numFmtId="0" fontId="7" fillId="17" borderId="2" xfId="0" applyFont="1" applyFill="1" applyBorder="1" applyAlignment="1">
      <alignment horizontal="center" vertical="top" wrapText="1"/>
    </xf>
    <xf numFmtId="0" fontId="7" fillId="0" borderId="0" xfId="0" applyFont="1" applyAlignment="1" applyProtection="1">
      <alignment vertical="top" wrapText="1" shrinkToFit="1"/>
      <protection locked="0"/>
    </xf>
    <xf numFmtId="0" fontId="7" fillId="0" borderId="6" xfId="0" applyFont="1" applyBorder="1" applyAlignment="1" applyProtection="1">
      <alignment vertical="top" wrapText="1" shrinkToFit="1"/>
      <protection locked="0"/>
    </xf>
    <xf numFmtId="0" fontId="7" fillId="3" borderId="5" xfId="0" applyFont="1" applyFill="1" applyBorder="1" applyAlignment="1" applyProtection="1">
      <alignment horizontal="right" vertical="top" shrinkToFit="1"/>
      <protection hidden="1"/>
    </xf>
    <xf numFmtId="0" fontId="7" fillId="3" borderId="0" xfId="0" applyFont="1" applyFill="1" applyAlignment="1" applyProtection="1">
      <alignment horizontal="right" vertical="top" shrinkToFit="1"/>
      <protection hidden="1"/>
    </xf>
    <xf numFmtId="0" fontId="7" fillId="3" borderId="5" xfId="0" applyFont="1" applyFill="1" applyBorder="1" applyAlignment="1" applyProtection="1">
      <alignment vertical="top" shrinkToFit="1"/>
      <protection hidden="1"/>
    </xf>
    <xf numFmtId="0" fontId="7" fillId="3" borderId="0" xfId="0" applyFont="1" applyFill="1" applyAlignment="1" applyProtection="1">
      <alignment vertical="top" shrinkToFit="1"/>
      <protection hidden="1"/>
    </xf>
    <xf numFmtId="0" fontId="20" fillId="7" borderId="5" xfId="0" applyFont="1" applyFill="1" applyBorder="1" applyAlignment="1" applyProtection="1">
      <alignment vertical="top" shrinkToFit="1"/>
      <protection hidden="1"/>
    </xf>
    <xf numFmtId="0" fontId="20" fillId="7" borderId="0" xfId="0" applyFont="1" applyFill="1" applyAlignment="1" applyProtection="1">
      <alignment vertical="top" shrinkToFit="1"/>
      <protection hidden="1"/>
    </xf>
    <xf numFmtId="0" fontId="33" fillId="0" borderId="0" xfId="0" applyFont="1" applyAlignment="1" applyProtection="1">
      <alignment vertical="top" shrinkToFit="1"/>
      <protection locked="0"/>
    </xf>
    <xf numFmtId="0" fontId="7" fillId="0" borderId="0" xfId="0" applyFont="1" applyAlignment="1" applyProtection="1">
      <alignment vertical="top" shrinkToFit="1"/>
      <protection locked="0"/>
    </xf>
    <xf numFmtId="0" fontId="29" fillId="3" borderId="11" xfId="0" applyFont="1" applyFill="1" applyBorder="1" applyAlignment="1" applyProtection="1">
      <alignment vertical="top" shrinkToFit="1"/>
      <protection hidden="1"/>
    </xf>
    <xf numFmtId="0" fontId="29" fillId="3" borderId="1" xfId="0" applyFont="1" applyFill="1" applyBorder="1" applyAlignment="1" applyProtection="1">
      <alignment vertical="top" shrinkToFit="1"/>
      <protection hidden="1"/>
    </xf>
    <xf numFmtId="0" fontId="31" fillId="3" borderId="5" xfId="1" applyFont="1" applyFill="1" applyBorder="1" applyAlignment="1" applyProtection="1">
      <alignment horizontal="right" vertical="top" shrinkToFit="1"/>
      <protection hidden="1"/>
    </xf>
    <xf numFmtId="0" fontId="31" fillId="3" borderId="0" xfId="1" applyFont="1" applyFill="1" applyBorder="1" applyAlignment="1" applyProtection="1">
      <alignment horizontal="right" vertical="top" shrinkToFit="1"/>
      <protection hidden="1"/>
    </xf>
    <xf numFmtId="49" fontId="7" fillId="0" borderId="0" xfId="0" applyNumberFormat="1" applyFont="1" applyAlignment="1" applyProtection="1">
      <alignment vertical="top" shrinkToFit="1"/>
      <protection locked="0"/>
    </xf>
    <xf numFmtId="0" fontId="7" fillId="3" borderId="41" xfId="0" applyFont="1" applyFill="1" applyBorder="1" applyAlignment="1" applyProtection="1">
      <alignment horizontal="center" vertical="center" wrapText="1"/>
      <protection hidden="1"/>
    </xf>
    <xf numFmtId="0" fontId="7" fillId="3" borderId="40" xfId="0" applyFont="1" applyFill="1" applyBorder="1" applyAlignment="1" applyProtection="1">
      <alignment horizontal="center" vertical="center" wrapText="1"/>
      <protection hidden="1"/>
    </xf>
    <xf numFmtId="0" fontId="7" fillId="3" borderId="43" xfId="0" applyFont="1" applyFill="1" applyBorder="1" applyAlignment="1" applyProtection="1">
      <alignment horizontal="center" vertical="center" wrapText="1"/>
      <protection hidden="1"/>
    </xf>
    <xf numFmtId="0" fontId="34" fillId="3" borderId="33" xfId="1" applyFont="1" applyFill="1" applyBorder="1" applyAlignment="1" applyProtection="1">
      <alignment horizontal="center" vertical="center" wrapText="1"/>
      <protection hidden="1"/>
    </xf>
    <xf numFmtId="0" fontId="34" fillId="3" borderId="35" xfId="1" applyFont="1" applyFill="1" applyBorder="1" applyAlignment="1" applyProtection="1">
      <alignment horizontal="center" vertical="center" wrapText="1"/>
      <protection hidden="1"/>
    </xf>
    <xf numFmtId="0" fontId="34" fillId="3" borderId="46" xfId="1" applyFont="1" applyFill="1" applyBorder="1" applyAlignment="1" applyProtection="1">
      <alignment horizontal="center" vertical="center" wrapText="1"/>
      <protection hidden="1"/>
    </xf>
    <xf numFmtId="0" fontId="17" fillId="10" borderId="11" xfId="0" applyFont="1" applyFill="1" applyBorder="1" applyAlignment="1" applyProtection="1">
      <alignment horizontal="center" vertical="center" wrapText="1"/>
      <protection hidden="1"/>
    </xf>
    <xf numFmtId="0" fontId="17" fillId="10" borderId="1" xfId="0" applyFont="1" applyFill="1" applyBorder="1" applyAlignment="1" applyProtection="1">
      <alignment horizontal="center" vertical="center" wrapText="1"/>
      <protection hidden="1"/>
    </xf>
    <xf numFmtId="0" fontId="17" fillId="10" borderId="7" xfId="0" applyFont="1" applyFill="1" applyBorder="1" applyAlignment="1" applyProtection="1">
      <alignment horizontal="center" vertical="center" wrapText="1"/>
      <protection hidden="1"/>
    </xf>
    <xf numFmtId="0" fontId="17" fillId="10" borderId="9" xfId="0" applyFont="1" applyFill="1" applyBorder="1" applyAlignment="1" applyProtection="1">
      <alignment horizontal="center" vertical="center" wrapText="1"/>
      <protection hidden="1"/>
    </xf>
    <xf numFmtId="0" fontId="29" fillId="3" borderId="20" xfId="0" applyFont="1" applyFill="1" applyBorder="1" applyAlignment="1" applyProtection="1">
      <alignment shrinkToFit="1"/>
      <protection hidden="1"/>
    </xf>
    <xf numFmtId="0" fontId="35" fillId="3" borderId="18" xfId="0" applyFont="1" applyFill="1" applyBorder="1" applyAlignment="1" applyProtection="1">
      <alignment horizontal="center" vertical="top" wrapText="1" shrinkToFit="1"/>
      <protection hidden="1"/>
    </xf>
    <xf numFmtId="0" fontId="35" fillId="3" borderId="42" xfId="0" applyFont="1" applyFill="1" applyBorder="1" applyAlignment="1" applyProtection="1">
      <alignment horizontal="center" vertical="top" wrapText="1" shrinkToFit="1"/>
      <protection hidden="1"/>
    </xf>
    <xf numFmtId="0" fontId="35" fillId="3" borderId="0" xfId="0" applyFont="1" applyFill="1" applyAlignment="1" applyProtection="1">
      <alignment horizontal="center" vertical="top" wrapText="1" shrinkToFit="1"/>
      <protection hidden="1"/>
    </xf>
    <xf numFmtId="0" fontId="35" fillId="3" borderId="28" xfId="0" applyFont="1" applyFill="1" applyBorder="1" applyAlignment="1" applyProtection="1">
      <alignment horizontal="center" vertical="top" wrapText="1" shrinkToFit="1"/>
      <protection hidden="1"/>
    </xf>
    <xf numFmtId="0" fontId="35" fillId="3" borderId="19" xfId="0" applyFont="1" applyFill="1" applyBorder="1" applyAlignment="1" applyProtection="1">
      <alignment horizontal="center" vertical="top" wrapText="1" shrinkToFit="1"/>
      <protection hidden="1"/>
    </xf>
    <xf numFmtId="0" fontId="35" fillId="3" borderId="29" xfId="0" applyFont="1" applyFill="1" applyBorder="1" applyAlignment="1" applyProtection="1">
      <alignment horizontal="center" vertical="top" wrapText="1" shrinkToFit="1"/>
      <protection hidden="1"/>
    </xf>
    <xf numFmtId="0" fontId="35" fillId="3" borderId="22" xfId="0" applyFont="1" applyFill="1" applyBorder="1" applyAlignment="1" applyProtection="1">
      <alignment horizontal="center" vertical="top" wrapText="1"/>
      <protection hidden="1"/>
    </xf>
    <xf numFmtId="0" fontId="35" fillId="3" borderId="44" xfId="0" applyFont="1" applyFill="1" applyBorder="1" applyAlignment="1" applyProtection="1">
      <alignment horizontal="center" vertical="top" wrapText="1"/>
      <protection hidden="1"/>
    </xf>
    <xf numFmtId="0" fontId="35" fillId="3" borderId="0" xfId="0" applyFont="1" applyFill="1" applyAlignment="1" applyProtection="1">
      <alignment horizontal="center" vertical="top" wrapText="1"/>
      <protection hidden="1"/>
    </xf>
    <xf numFmtId="0" fontId="35" fillId="3" borderId="45" xfId="0" applyFont="1" applyFill="1" applyBorder="1" applyAlignment="1" applyProtection="1">
      <alignment horizontal="center" vertical="top" wrapText="1"/>
      <protection hidden="1"/>
    </xf>
    <xf numFmtId="0" fontId="35" fillId="3" borderId="20" xfId="0" applyFont="1" applyFill="1" applyBorder="1" applyAlignment="1" applyProtection="1">
      <alignment horizontal="center" vertical="top" wrapText="1"/>
      <protection hidden="1"/>
    </xf>
    <xf numFmtId="0" fontId="35" fillId="3" borderId="47" xfId="0" applyFont="1" applyFill="1" applyBorder="1" applyAlignment="1" applyProtection="1">
      <alignment horizontal="center" vertical="top" wrapText="1"/>
      <protection hidden="1"/>
    </xf>
    <xf numFmtId="0" fontId="18" fillId="3" borderId="1" xfId="0" applyFont="1" applyFill="1" applyBorder="1" applyAlignment="1" applyProtection="1">
      <alignment horizontal="center" vertical="center"/>
      <protection hidden="1"/>
    </xf>
    <xf numFmtId="0" fontId="39" fillId="3" borderId="9" xfId="0" applyFont="1" applyFill="1" applyBorder="1" applyAlignment="1" applyProtection="1">
      <alignment horizontal="center" vertical="center"/>
      <protection hidden="1"/>
    </xf>
    <xf numFmtId="0" fontId="31" fillId="3" borderId="1" xfId="1" applyFont="1" applyFill="1" applyBorder="1" applyAlignment="1" applyProtection="1">
      <alignment horizontal="center" shrinkToFit="1"/>
      <protection hidden="1"/>
    </xf>
    <xf numFmtId="0" fontId="31" fillId="3" borderId="10" xfId="1" applyFont="1" applyFill="1" applyBorder="1" applyAlignment="1" applyProtection="1">
      <alignment horizontal="center" shrinkToFit="1"/>
      <protection hidden="1"/>
    </xf>
    <xf numFmtId="0" fontId="9" fillId="3" borderId="11" xfId="0" applyFont="1" applyFill="1" applyBorder="1" applyAlignment="1" applyProtection="1">
      <alignment shrinkToFit="1"/>
      <protection hidden="1"/>
    </xf>
    <xf numFmtId="0" fontId="9" fillId="3" borderId="1" xfId="0" applyFont="1" applyFill="1" applyBorder="1" applyAlignment="1" applyProtection="1">
      <alignment shrinkToFit="1"/>
      <protection hidden="1"/>
    </xf>
    <xf numFmtId="14" fontId="7" fillId="4" borderId="0" xfId="0" applyNumberFormat="1" applyFont="1" applyFill="1" applyAlignment="1" applyProtection="1">
      <alignment vertical="top" shrinkToFit="1"/>
      <protection locked="0"/>
    </xf>
    <xf numFmtId="0" fontId="7" fillId="4" borderId="0" xfId="0" applyFont="1" applyFill="1" applyAlignment="1" applyProtection="1">
      <alignment vertical="top" shrinkToFit="1"/>
      <protection locked="0"/>
    </xf>
    <xf numFmtId="0" fontId="31" fillId="0" borderId="0" xfId="1" applyFont="1" applyFill="1" applyBorder="1" applyAlignment="1" applyProtection="1">
      <alignment vertical="top" shrinkToFit="1"/>
      <protection locked="0"/>
    </xf>
    <xf numFmtId="0" fontId="32" fillId="0" borderId="0" xfId="1" applyFont="1" applyFill="1" applyBorder="1" applyAlignment="1" applyProtection="1">
      <alignment vertical="top" shrinkToFit="1"/>
      <protection locked="0"/>
    </xf>
    <xf numFmtId="49" fontId="7" fillId="0" borderId="0" xfId="0" applyNumberFormat="1" applyFont="1" applyAlignment="1" applyProtection="1">
      <alignment horizontal="center" shrinkToFit="1"/>
      <protection locked="0"/>
    </xf>
    <xf numFmtId="0" fontId="7" fillId="0" borderId="0" xfId="0" applyFont="1" applyAlignment="1" applyProtection="1">
      <alignment vertical="top" shrinkToFit="1"/>
      <protection hidden="1"/>
    </xf>
    <xf numFmtId="0" fontId="9" fillId="17" borderId="4" xfId="0" applyFont="1" applyFill="1" applyBorder="1" applyAlignment="1" applyProtection="1">
      <alignment horizontal="center" vertical="top" wrapText="1"/>
      <protection hidden="1"/>
    </xf>
    <xf numFmtId="0" fontId="9" fillId="17" borderId="12" xfId="0" applyFont="1" applyFill="1" applyBorder="1" applyAlignment="1" applyProtection="1">
      <alignment horizontal="center" vertical="top" wrapText="1"/>
      <protection hidden="1"/>
    </xf>
    <xf numFmtId="0" fontId="9" fillId="17" borderId="13" xfId="0" applyFont="1" applyFill="1" applyBorder="1" applyAlignment="1" applyProtection="1">
      <alignment horizontal="center" vertical="top" wrapText="1"/>
      <protection hidden="1"/>
    </xf>
    <xf numFmtId="0" fontId="28" fillId="6" borderId="4" xfId="0" applyFont="1" applyFill="1" applyBorder="1" applyAlignment="1" applyProtection="1">
      <alignment horizontal="center" vertical="top" wrapText="1"/>
      <protection hidden="1"/>
    </xf>
    <xf numFmtId="0" fontId="28" fillId="6" borderId="12" xfId="0" applyFont="1" applyFill="1" applyBorder="1" applyAlignment="1" applyProtection="1">
      <alignment horizontal="center" vertical="top" wrapText="1"/>
      <protection hidden="1"/>
    </xf>
    <xf numFmtId="0" fontId="28" fillId="6" borderId="13" xfId="0" applyFont="1" applyFill="1" applyBorder="1" applyAlignment="1" applyProtection="1">
      <alignment horizontal="center" vertical="top" wrapText="1"/>
      <protection hidden="1"/>
    </xf>
    <xf numFmtId="0" fontId="34" fillId="9" borderId="4" xfId="1" applyFont="1" applyFill="1" applyBorder="1" applyAlignment="1" applyProtection="1">
      <alignment horizontal="center" vertical="top" wrapText="1"/>
      <protection hidden="1"/>
    </xf>
    <xf numFmtId="0" fontId="34" fillId="9" borderId="12" xfId="1" applyFont="1" applyFill="1" applyBorder="1" applyAlignment="1" applyProtection="1">
      <alignment horizontal="center" vertical="top" wrapText="1"/>
      <protection hidden="1"/>
    </xf>
    <xf numFmtId="0" fontId="34" fillId="9" borderId="13" xfId="1" applyFont="1" applyFill="1" applyBorder="1" applyAlignment="1" applyProtection="1">
      <alignment horizontal="center" vertical="top" wrapText="1"/>
      <protection hidden="1"/>
    </xf>
    <xf numFmtId="0" fontId="9" fillId="15" borderId="4" xfId="0" applyFont="1" applyFill="1" applyBorder="1" applyAlignment="1" applyProtection="1">
      <alignment horizontal="center" vertical="top" wrapText="1"/>
      <protection hidden="1"/>
    </xf>
    <xf numFmtId="0" fontId="9" fillId="15" borderId="13" xfId="0" applyFont="1" applyFill="1" applyBorder="1" applyAlignment="1" applyProtection="1">
      <alignment horizontal="center" vertical="top" wrapText="1"/>
      <protection hidden="1"/>
    </xf>
    <xf numFmtId="0" fontId="7" fillId="3" borderId="9" xfId="0" applyFont="1" applyFill="1" applyBorder="1" applyAlignment="1" applyProtection="1">
      <alignment vertical="top" shrinkToFit="1"/>
      <protection hidden="1"/>
    </xf>
    <xf numFmtId="0" fontId="9" fillId="3" borderId="2" xfId="0" applyFont="1" applyFill="1" applyBorder="1" applyAlignment="1" applyProtection="1">
      <alignment horizontal="left" vertical="top" wrapText="1"/>
      <protection hidden="1"/>
    </xf>
    <xf numFmtId="0" fontId="9" fillId="3" borderId="4" xfId="0" applyFont="1" applyFill="1" applyBorder="1" applyAlignment="1" applyProtection="1">
      <alignment horizontal="left" vertical="top" wrapText="1"/>
      <protection hidden="1"/>
    </xf>
    <xf numFmtId="0" fontId="9" fillId="3" borderId="13" xfId="0" applyFont="1" applyFill="1" applyBorder="1" applyAlignment="1" applyProtection="1">
      <alignment horizontal="left" vertical="top" wrapText="1"/>
      <protection hidden="1"/>
    </xf>
    <xf numFmtId="0" fontId="9" fillId="3" borderId="12" xfId="0" applyFont="1" applyFill="1" applyBorder="1" applyAlignment="1" applyProtection="1">
      <alignment horizontal="left" vertical="top" wrapText="1"/>
      <protection hidden="1"/>
    </xf>
    <xf numFmtId="0" fontId="35" fillId="3" borderId="22" xfId="0" applyFont="1" applyFill="1" applyBorder="1" applyAlignment="1" applyProtection="1">
      <alignment horizontal="center" vertical="center" wrapText="1" shrinkToFit="1"/>
      <protection hidden="1"/>
    </xf>
    <xf numFmtId="0" fontId="35" fillId="3" borderId="34" xfId="0" applyFont="1" applyFill="1" applyBorder="1" applyAlignment="1" applyProtection="1">
      <alignment horizontal="center" vertical="center" wrapText="1" shrinkToFit="1"/>
      <protection hidden="1"/>
    </xf>
    <xf numFmtId="0" fontId="35" fillId="3" borderId="0" xfId="0" applyFont="1" applyFill="1" applyAlignment="1" applyProtection="1">
      <alignment horizontal="center" vertical="center" wrapText="1" shrinkToFit="1"/>
      <protection hidden="1"/>
    </xf>
    <xf numFmtId="0" fontId="35" fillId="3" borderId="36" xfId="0" applyFont="1" applyFill="1" applyBorder="1" applyAlignment="1" applyProtection="1">
      <alignment horizontal="center" vertical="center" wrapText="1" shrinkToFit="1"/>
      <protection hidden="1"/>
    </xf>
    <xf numFmtId="0" fontId="35" fillId="3" borderId="38" xfId="0" applyFont="1" applyFill="1" applyBorder="1" applyAlignment="1" applyProtection="1">
      <alignment horizontal="center" vertical="center" wrapText="1" shrinkToFit="1"/>
      <protection hidden="1"/>
    </xf>
    <xf numFmtId="0" fontId="35" fillId="3" borderId="39" xfId="0" applyFont="1" applyFill="1" applyBorder="1" applyAlignment="1" applyProtection="1">
      <alignment horizontal="center" vertical="center" wrapText="1" shrinkToFit="1"/>
      <protection hidden="1"/>
    </xf>
    <xf numFmtId="0" fontId="9" fillId="3" borderId="4" xfId="0" applyFont="1" applyFill="1" applyBorder="1" applyAlignment="1" applyProtection="1">
      <alignment vertical="top" wrapText="1"/>
      <protection hidden="1"/>
    </xf>
    <xf numFmtId="0" fontId="9" fillId="3" borderId="12" xfId="0" applyFont="1" applyFill="1" applyBorder="1" applyAlignment="1" applyProtection="1">
      <alignment vertical="top" wrapText="1"/>
      <protection hidden="1"/>
    </xf>
    <xf numFmtId="0" fontId="9" fillId="3" borderId="13" xfId="0" applyFont="1" applyFill="1" applyBorder="1" applyAlignment="1" applyProtection="1">
      <alignment vertical="top" wrapText="1"/>
      <protection hidden="1"/>
    </xf>
    <xf numFmtId="0" fontId="31" fillId="9" borderId="4" xfId="1" applyFont="1" applyFill="1" applyBorder="1" applyAlignment="1" applyProtection="1">
      <alignment horizontal="center" vertical="top" wrapText="1"/>
      <protection hidden="1"/>
    </xf>
    <xf numFmtId="0" fontId="31" fillId="9" borderId="12" xfId="1" applyFont="1" applyFill="1" applyBorder="1" applyAlignment="1" applyProtection="1">
      <alignment horizontal="center" vertical="top" wrapText="1"/>
      <protection hidden="1"/>
    </xf>
    <xf numFmtId="0" fontId="31" fillId="9" borderId="13" xfId="1" applyFont="1" applyFill="1" applyBorder="1" applyAlignment="1" applyProtection="1">
      <alignment horizontal="center" vertical="top" wrapText="1"/>
      <protection hidden="1"/>
    </xf>
    <xf numFmtId="0" fontId="9" fillId="15" borderId="7" xfId="0" applyFont="1" applyFill="1" applyBorder="1" applyAlignment="1" applyProtection="1">
      <alignment horizontal="center" vertical="top" wrapText="1"/>
      <protection hidden="1"/>
    </xf>
    <xf numFmtId="0" fontId="9" fillId="15" borderId="8" xfId="0" applyFont="1" applyFill="1" applyBorder="1" applyAlignment="1" applyProtection="1">
      <alignment horizontal="center" vertical="top" wrapText="1"/>
      <protection hidden="1"/>
    </xf>
    <xf numFmtId="0" fontId="9" fillId="17" borderId="4" xfId="0" applyFont="1" applyFill="1" applyBorder="1" applyAlignment="1" applyProtection="1">
      <alignment horizontal="center" vertical="center" wrapText="1"/>
      <protection hidden="1"/>
    </xf>
    <xf numFmtId="0" fontId="9" fillId="17" borderId="12" xfId="0" applyFont="1" applyFill="1" applyBorder="1" applyAlignment="1" applyProtection="1">
      <alignment horizontal="center" vertical="center" wrapText="1"/>
      <protection hidden="1"/>
    </xf>
    <xf numFmtId="0" fontId="9" fillId="17" borderId="13" xfId="0" applyFont="1" applyFill="1" applyBorder="1" applyAlignment="1" applyProtection="1">
      <alignment horizontal="center" vertical="center" wrapText="1"/>
      <protection hidden="1"/>
    </xf>
    <xf numFmtId="0" fontId="9" fillId="3" borderId="2" xfId="0" applyFont="1" applyFill="1" applyBorder="1" applyAlignment="1" applyProtection="1">
      <alignment vertical="top" wrapText="1"/>
      <protection hidden="1"/>
    </xf>
    <xf numFmtId="0" fontId="33" fillId="3" borderId="26" xfId="0" applyFont="1" applyFill="1" applyBorder="1" applyAlignment="1" applyProtection="1">
      <alignment horizontal="center" vertical="center" wrapText="1"/>
      <protection hidden="1"/>
    </xf>
    <xf numFmtId="0" fontId="33" fillId="3" borderId="27" xfId="0" applyFont="1" applyFill="1" applyBorder="1" applyAlignment="1" applyProtection="1">
      <alignment horizontal="center" vertical="center" wrapText="1"/>
      <protection hidden="1"/>
    </xf>
    <xf numFmtId="0" fontId="33" fillId="3" borderId="0" xfId="0" applyFont="1" applyFill="1" applyAlignment="1" applyProtection="1">
      <alignment horizontal="center" vertical="center" wrapText="1"/>
      <protection hidden="1"/>
    </xf>
    <xf numFmtId="0" fontId="33" fillId="3" borderId="28" xfId="0" applyFont="1" applyFill="1" applyBorder="1" applyAlignment="1" applyProtection="1">
      <alignment horizontal="center" vertical="center" wrapText="1"/>
      <protection hidden="1"/>
    </xf>
    <xf numFmtId="0" fontId="33" fillId="3" borderId="19" xfId="0" applyFont="1" applyFill="1" applyBorder="1" applyAlignment="1" applyProtection="1">
      <alignment horizontal="center" vertical="center" wrapText="1"/>
      <protection hidden="1"/>
    </xf>
    <xf numFmtId="0" fontId="33" fillId="3" borderId="29" xfId="0" applyFont="1" applyFill="1" applyBorder="1" applyAlignment="1" applyProtection="1">
      <alignment horizontal="center" vertical="center" wrapText="1"/>
      <protection hidden="1"/>
    </xf>
    <xf numFmtId="0" fontId="9" fillId="3" borderId="0" xfId="0" applyFont="1" applyFill="1" applyAlignment="1" applyProtection="1">
      <alignment vertical="top" shrinkToFit="1"/>
      <protection hidden="1"/>
    </xf>
    <xf numFmtId="0" fontId="7" fillId="3" borderId="30" xfId="0" applyFont="1" applyFill="1" applyBorder="1" applyAlignment="1" applyProtection="1">
      <alignment horizontal="center" vertical="center" wrapText="1"/>
      <protection hidden="1"/>
    </xf>
    <xf numFmtId="0" fontId="7" fillId="3" borderId="31" xfId="0" applyFont="1" applyFill="1" applyBorder="1" applyAlignment="1" applyProtection="1">
      <alignment horizontal="center" vertical="center" wrapText="1"/>
      <protection hidden="1"/>
    </xf>
    <xf numFmtId="0" fontId="7" fillId="3" borderId="32" xfId="0" applyFont="1" applyFill="1" applyBorder="1" applyAlignment="1" applyProtection="1">
      <alignment horizontal="center" vertical="center" wrapText="1"/>
      <protection hidden="1"/>
    </xf>
    <xf numFmtId="0" fontId="34" fillId="3" borderId="37" xfId="1" applyFont="1" applyFill="1" applyBorder="1" applyAlignment="1" applyProtection="1">
      <alignment horizontal="center" vertical="center" wrapText="1"/>
      <protection hidden="1"/>
    </xf>
    <xf numFmtId="0" fontId="9" fillId="3" borderId="19" xfId="0" applyFont="1" applyFill="1" applyBorder="1" applyAlignment="1" applyProtection="1">
      <alignment shrinkToFit="1"/>
      <protection hidden="1"/>
    </xf>
    <xf numFmtId="0" fontId="14" fillId="3" borderId="9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vertical="top" shrinkToFit="1"/>
      <protection hidden="1"/>
    </xf>
    <xf numFmtId="0" fontId="7" fillId="3" borderId="5" xfId="0" applyFont="1" applyFill="1" applyBorder="1" applyAlignment="1" applyProtection="1">
      <alignment horizontal="right"/>
      <protection hidden="1"/>
    </xf>
    <xf numFmtId="0" fontId="7" fillId="3" borderId="0" xfId="0" applyFont="1" applyFill="1" applyAlignment="1" applyProtection="1">
      <alignment horizontal="right"/>
      <protection hidden="1"/>
    </xf>
    <xf numFmtId="0" fontId="5" fillId="11" borderId="11" xfId="0" applyFont="1" applyFill="1" applyBorder="1" applyAlignment="1" applyProtection="1">
      <alignment horizontal="center"/>
      <protection hidden="1"/>
    </xf>
    <xf numFmtId="0" fontId="5" fillId="11" borderId="10" xfId="0" applyFont="1" applyFill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2" borderId="0" xfId="0" applyFont="1" applyFill="1" applyAlignment="1" applyProtection="1">
      <alignment vertical="top"/>
      <protection hidden="1"/>
    </xf>
    <xf numFmtId="0" fontId="5" fillId="0" borderId="9" xfId="0" applyFont="1" applyBorder="1" applyProtection="1">
      <protection hidden="1"/>
    </xf>
    <xf numFmtId="0" fontId="7" fillId="17" borderId="2" xfId="0" applyFont="1" applyFill="1" applyBorder="1" applyAlignment="1">
      <alignment horizontal="center" vertical="top" wrapText="1"/>
    </xf>
    <xf numFmtId="0" fontId="7" fillId="9" borderId="2" xfId="0" applyFont="1" applyFill="1" applyBorder="1" applyAlignment="1">
      <alignment horizontal="center" vertical="top" wrapText="1"/>
    </xf>
    <xf numFmtId="0" fontId="24" fillId="13" borderId="0" xfId="0" applyFont="1" applyFill="1" applyAlignment="1">
      <alignment vertical="top" wrapText="1"/>
    </xf>
    <xf numFmtId="0" fontId="9" fillId="0" borderId="2" xfId="0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9" fillId="0" borderId="9" xfId="0" applyFont="1" applyBorder="1" applyAlignment="1">
      <alignment wrapText="1"/>
    </xf>
    <xf numFmtId="0" fontId="7" fillId="15" borderId="2" xfId="0" applyFont="1" applyFill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center" textRotation="90"/>
    </xf>
    <xf numFmtId="0" fontId="9" fillId="0" borderId="2" xfId="0" applyFont="1" applyBorder="1" applyAlignment="1">
      <alignment vertical="top" wrapText="1"/>
    </xf>
    <xf numFmtId="0" fontId="7" fillId="0" borderId="0" xfId="0" applyFont="1" applyAlignment="1">
      <alignment vertical="top"/>
    </xf>
    <xf numFmtId="0" fontId="21" fillId="6" borderId="2" xfId="0" applyFont="1" applyFill="1" applyBorder="1" applyAlignment="1">
      <alignment horizontal="center" vertical="top" wrapText="1"/>
    </xf>
    <xf numFmtId="0" fontId="19" fillId="9" borderId="0" xfId="0" applyFont="1" applyFill="1" applyAlignment="1" applyProtection="1">
      <alignment vertical="center" readingOrder="1"/>
      <protection hidden="1"/>
    </xf>
    <xf numFmtId="0" fontId="12" fillId="0" borderId="11" xfId="0" applyFont="1" applyBorder="1" applyAlignment="1" applyProtection="1">
      <alignment horizontal="center" vertical="center" textRotation="90"/>
      <protection hidden="1"/>
    </xf>
    <xf numFmtId="0" fontId="12" fillId="0" borderId="5" xfId="0" applyFont="1" applyBorder="1" applyAlignment="1" applyProtection="1">
      <alignment horizontal="center" vertical="center" textRotation="90"/>
      <protection hidden="1"/>
    </xf>
    <xf numFmtId="0" fontId="12" fillId="0" borderId="7" xfId="0" applyFont="1" applyBorder="1" applyAlignment="1" applyProtection="1">
      <alignment horizontal="center" vertical="center" textRotation="90"/>
      <protection hidden="1"/>
    </xf>
    <xf numFmtId="0" fontId="10" fillId="0" borderId="3" xfId="0" applyFont="1" applyBorder="1" applyAlignment="1" applyProtection="1">
      <alignment horizontal="center" vertical="top"/>
      <protection hidden="1"/>
    </xf>
    <xf numFmtId="0" fontId="10" fillId="0" borderId="14" xfId="0" applyFont="1" applyBorder="1" applyAlignment="1" applyProtection="1">
      <alignment horizontal="center" vertical="top"/>
      <protection hidden="1"/>
    </xf>
    <xf numFmtId="0" fontId="10" fillId="0" borderId="15" xfId="0" applyFont="1" applyBorder="1" applyAlignment="1" applyProtection="1">
      <alignment horizontal="center" vertical="top"/>
      <protection hidden="1"/>
    </xf>
    <xf numFmtId="0" fontId="10" fillId="0" borderId="0" xfId="0" applyFont="1" applyProtection="1">
      <protection hidden="1"/>
    </xf>
    <xf numFmtId="0" fontId="9" fillId="8" borderId="0" xfId="0" applyFont="1" applyFill="1" applyAlignment="1" applyProtection="1">
      <alignment vertical="top"/>
      <protection hidden="1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_codes_1" xfId="5" xr:uid="{00000000-0005-0000-0000-000004000000}"/>
    <cellStyle name="Normal_PreviousYears (Form-B)" xfId="3" xr:uid="{00000000-0005-0000-0000-000005000000}"/>
    <cellStyle name="Normal_Sheet1_1" xfId="4" xr:uid="{00000000-0005-0000-0000-000006000000}"/>
  </cellStyles>
  <dxfs count="90"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8"/>
        </left>
        <right/>
        <top style="thin">
          <color theme="8"/>
        </top>
        <bottom/>
      </border>
      <protection locked="1" hidden="1"/>
    </dxf>
    <dxf>
      <border outline="0">
        <top style="thin">
          <color theme="7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1" readingOrder="0"/>
      <border diagonalUp="0" diagonalDown="0">
        <left style="thin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top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protection locked="1" hidden="1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1" readingOrder="0"/>
      <protection locked="0" hidden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protection locked="1" hidden="1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dd\/mm\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dd\/mm\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 style="thin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 style="thin">
          <color indexed="64"/>
        </left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 style="thin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 style="thin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 style="thin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1" readingOrder="0"/>
      <protection locked="0" hidden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protection locked="1" hidden="1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1" readingOrder="0"/>
      <protection locked="0" hidden="0"/>
    </dxf>
    <dxf>
      <font>
        <b/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  <protection locked="1" hidden="1"/>
    </dxf>
  </dxfs>
  <tableStyles count="0" defaultTableStyle="TableStyleMedium9" defaultPivotStyle="PivotStyleLight16"/>
  <colors>
    <mruColors>
      <color rgb="FFFFFF99"/>
      <color rgb="FF0000FF"/>
      <color rgb="FF969696"/>
      <color rgb="FFC500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ST01A" displayName="tblST01A" ref="A25:Y50" headerRowDxfId="89" dataDxfId="88" totalsRowDxfId="87">
  <autoFilter ref="A25:Y50" xr:uid="{00000000-0009-0000-0100-000001000000}"/>
  <tableColumns count="25">
    <tableColumn id="1" xr3:uid="{00000000-0010-0000-0000-000001000000}" name="ICCATSerialNo" totalsRowLabel="Total" dataDxfId="86"/>
    <tableColumn id="2" xr3:uid="{00000000-0010-0000-0000-000002000000}" name="NatRegNo" dataDxfId="85" totalsRowDxfId="84"/>
    <tableColumn id="20" xr3:uid="{00000000-0010-0000-0000-000014000000}" name="IRCS" dataDxfId="83"/>
    <tableColumn id="18" xr3:uid="{00000000-0010-0000-0000-000012000000}" name="ImoNr" dataDxfId="82" totalsRowDxfId="81"/>
    <tableColumn id="3" xr3:uid="{00000000-0010-0000-0000-000003000000}" name="VesselName" dataDxfId="80" totalsRowDxfId="79"/>
    <tableColumn id="8" xr3:uid="{00000000-0010-0000-0000-000008000000}" name="FlagVesCd" dataDxfId="78" totalsRowDxfId="77"/>
    <tableColumn id="17" xr3:uid="{00000000-0010-0000-0000-000011000000}" name="FleetSuffix" dataDxfId="76" totalsRowDxfId="75"/>
    <tableColumn id="16" xr3:uid="{00000000-0010-0000-0000-000010000000}" name="GearGrpCd" dataDxfId="74" totalsRowDxfId="73"/>
    <tableColumn id="22" xr3:uid="{00000000-0010-0000-0000-000016000000}" name="LOAm" dataDxfId="72" totalsRowDxfId="71"/>
    <tableColumn id="23" xr3:uid="{C78E53D5-08E2-43F5-8298-B66E4E636AB1}" name="Tnage" dataDxfId="70" totalsRowDxfId="69"/>
    <tableColumn id="15" xr3:uid="{00000000-0010-0000-0000-00000F000000}" name="TonType" dataDxfId="68" totalsRowDxfId="67"/>
    <tableColumn id="4" xr3:uid="{00000000-0010-0000-0000-000004000000}" name="FCarrCap" dataDxfId="66" totalsRowDxfId="65"/>
    <tableColumn id="14" xr3:uid="{00000000-0010-0000-0000-00000E000000}" name="YearC" dataDxfId="64" totalsRowDxfId="63"/>
    <tableColumn id="19" xr3:uid="{00000000-0010-0000-0000-000013000000}" name="FishDatl" dataDxfId="62" totalsRowDxfId="61"/>
    <tableColumn id="9" xr3:uid="{00000000-0010-0000-0000-000009000000}" name="FishDmed" dataDxfId="60" totalsRowDxfId="59"/>
    <tableColumn id="10" xr3:uid="{00000000-0010-0000-0000-00000A000000}" name="Fishery1Cd" dataDxfId="58" totalsRowDxfId="57"/>
    <tableColumn id="7" xr3:uid="{00000000-0010-0000-0000-000007000000}" name="Fishery2Cd" dataDxfId="56" totalsRowDxfId="55"/>
    <tableColumn id="21" xr3:uid="{00000000-0010-0000-0000-000015000000}" name="Fishery3Cd" dataDxfId="54" totalsRowDxfId="53"/>
    <tableColumn id="13" xr3:uid="{00000000-0010-0000-0000-00000D000000}" name="Fishery4Cd" dataDxfId="52" totalsRowDxfId="51"/>
    <tableColumn id="12" xr3:uid="{00000000-0010-0000-0000-00000C000000}" name="Fishery5Cd" dataDxfId="50" totalsRowDxfId="49" dataCellStyle="Normal_PreviousYears (Form-B)"/>
    <tableColumn id="5" xr3:uid="{00000000-0010-0000-0000-000005000000}" name="DtAuthFrom" dataDxfId="48" totalsRowDxfId="47" dataCellStyle="Normal_PreviousYears (Form-B)"/>
    <tableColumn id="6" xr3:uid="{00000000-0010-0000-0000-000006000000}" name="DtAuthTo" dataDxfId="46" totalsRowDxfId="45" dataCellStyle="Normal_PreviousYears (Form-B)"/>
    <tableColumn id="11" xr3:uid="{00000000-0010-0000-0000-00000B000000}" name="FishDtot" dataDxfId="44" totalsRowDxfId="43"/>
    <tableColumn id="24" xr3:uid="{5067E1C7-13CD-4FCE-80FB-148596746E35}" name="CatchAP" dataDxfId="42" totalsRowDxfId="41"/>
    <tableColumn id="25" xr3:uid="{632BD365-3617-445D-B3A5-0C76F205B259}" name="bCatchOutAP" dataDxfId="40" totalsRowDxfId="39"/>
  </tableColumns>
  <tableStyleInfo name="TableStyleLight1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blST01B" displayName="tblST01B" ref="A18:O40" totalsRowShown="0" headerRowDxfId="38" dataDxfId="37">
  <autoFilter ref="A18:O40" xr:uid="{00000000-0009-0000-0100-000004000000}"/>
  <tableColumns count="15">
    <tableColumn id="1" xr3:uid="{00000000-0010-0000-0100-000001000000}" name="ssFlagVesCd" dataDxfId="36"/>
    <tableColumn id="2" xr3:uid="{00000000-0010-0000-0100-000002000000}" name="ssFleetSuffix" dataDxfId="35"/>
    <tableColumn id="3" xr3:uid="{00000000-0010-0000-0100-000003000000}" name="ssGearGrpCd" dataDxfId="34"/>
    <tableColumn id="4" xr3:uid="{00000000-0010-0000-0100-000004000000}" name="ssFleetDescrip" dataDxfId="33"/>
    <tableColumn id="5" xr3:uid="{00000000-0010-0000-0100-000005000000}" name="ssLoaClassCd" dataDxfId="32"/>
    <tableColumn id="6" xr3:uid="{00000000-0010-0000-0100-000006000000}" name="ssGrtClassCd" dataDxfId="31"/>
    <tableColumn id="7" xr3:uid="{00000000-0010-0000-0100-000007000000}" name="NrVessels" dataDxfId="30"/>
    <tableColumn id="15" xr3:uid="{944F0077-C4B3-45A9-8324-7B6B86C436D0}" name="ssYearC" dataDxfId="29"/>
    <tableColumn id="8" xr3:uid="{00000000-0010-0000-0100-000008000000}" name="ssFishDatl" dataDxfId="28"/>
    <tableColumn id="9" xr3:uid="{00000000-0010-0000-0100-000009000000}" name="ssFishDmed" dataDxfId="27"/>
    <tableColumn id="10" xr3:uid="{00000000-0010-0000-0100-00000A000000}" name="ssFishery1Cd" dataDxfId="26"/>
    <tableColumn id="11" xr3:uid="{00000000-0010-0000-0100-00000B000000}" name="ssFishery2Cd" dataDxfId="25"/>
    <tableColumn id="12" xr3:uid="{00000000-0010-0000-0100-00000C000000}" name="ssFishery3Cd" dataDxfId="24"/>
    <tableColumn id="13" xr3:uid="{00000000-0010-0000-0100-00000D000000}" name="ssFishery4Cd" dataDxfId="23"/>
    <tableColumn id="14" xr3:uid="{00000000-0010-0000-0100-00000E000000}" name="ssFishery5Cd" dataDxfId="2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Translation" displayName="tblTranslation" ref="A4:M112" totalsRowShown="0" headerRowDxfId="21" dataDxfId="20" tableBorderDxfId="19">
  <autoFilter ref="A4:M112" xr:uid="{56C8B716-DD77-45B6-9217-4557596B4366}">
    <filterColumn colId="3">
      <filters>
        <filter val="ST01A"/>
      </filters>
    </filterColumn>
  </autoFilter>
  <tableColumns count="13">
    <tableColumn id="1" xr3:uid="{00000000-0010-0000-0200-000001000000}" name="FieldID" dataDxfId="18"/>
    <tableColumn id="13" xr3:uid="{00000000-0010-0000-0200-00000D000000}" name="OrderID" dataDxfId="17"/>
    <tableColumn id="5" xr3:uid="{C59ED2A1-4A93-4266-B7F6-29986CD14BFA}" name="FormID" dataDxfId="16"/>
    <tableColumn id="14" xr3:uid="{00000000-0010-0000-0200-00000E000000}" name="SubformID" dataDxfId="15"/>
    <tableColumn id="15" xr3:uid="{00000000-0010-0000-0200-00000F000000}" name="Section" dataDxfId="14"/>
    <tableColumn id="17" xr3:uid="{00000000-0010-0000-0200-000011000000}" name="Item" dataDxfId="13"/>
    <tableColumn id="16" xr3:uid="{00000000-0010-0000-0200-000010000000}" name="FieldType" dataDxfId="12"/>
    <tableColumn id="2" xr3:uid="{00000000-0010-0000-0200-000002000000}" name="FldNameEN" dataDxfId="11"/>
    <tableColumn id="3" xr3:uid="{00000000-0010-0000-0200-000003000000}" name="FldNameFR" dataDxfId="10"/>
    <tableColumn id="4" xr3:uid="{00000000-0010-0000-0200-000004000000}" name="FldNameES" dataDxfId="9"/>
    <tableColumn id="11" xr3:uid="{00000000-0010-0000-0200-00000B000000}" name="FldInstructEN" dataDxfId="8"/>
    <tableColumn id="6" xr3:uid="{00000000-0010-0000-0200-000006000000}" name="FldInstructFR" dataDxfId="7"/>
    <tableColumn id="7" xr3:uid="{00000000-0010-0000-0200-000007000000}" name="FldInstructES" dataDxfId="6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F0"/>
    <pageSetUpPr autoPageBreaks="0" fitToPage="1"/>
  </sheetPr>
  <dimension ref="A1:Y50"/>
  <sheetViews>
    <sheetView tabSelected="1" showOutlineSymbols="0" zoomScaleNormal="100" zoomScaleSheetLayoutView="85" workbookViewId="0">
      <selection activeCell="R2" sqref="R2"/>
    </sheetView>
  </sheetViews>
  <sheetFormatPr defaultColWidth="8.765625" defaultRowHeight="12" x14ac:dyDescent="0.35"/>
  <cols>
    <col min="1" max="1" width="12" style="6" bestFit="1" customWidth="1"/>
    <col min="2" max="2" width="11.23046875" style="1" bestFit="1" customWidth="1"/>
    <col min="3" max="3" width="8.23046875" style="1" bestFit="1" customWidth="1"/>
    <col min="4" max="4" width="9.53515625" style="1" bestFit="1" customWidth="1"/>
    <col min="5" max="5" width="9.765625" style="1" bestFit="1" customWidth="1"/>
    <col min="6" max="6" width="10.61328125" style="1" customWidth="1"/>
    <col min="7" max="7" width="11.84375" style="1" bestFit="1" customWidth="1"/>
    <col min="8" max="9" width="9.4609375" style="1" bestFit="1" customWidth="1"/>
    <col min="10" max="10" width="11" style="1" bestFit="1" customWidth="1"/>
    <col min="11" max="11" width="7.765625" style="1" customWidth="1"/>
    <col min="12" max="12" width="12.3046875" style="1" customWidth="1"/>
    <col min="13" max="13" width="7.84375" style="1" customWidth="1"/>
    <col min="14" max="15" width="10.61328125" style="1" customWidth="1"/>
    <col min="16" max="20" width="8.3046875" style="1" customWidth="1"/>
    <col min="21" max="21" width="13.23046875" style="1" bestFit="1" customWidth="1"/>
    <col min="22" max="22" width="11.53515625" style="1" bestFit="1" customWidth="1"/>
    <col min="23" max="23" width="10.84375" style="1" bestFit="1" customWidth="1"/>
    <col min="24" max="24" width="10.69140625" style="1" bestFit="1" customWidth="1"/>
    <col min="25" max="25" width="13.765625" style="1" bestFit="1" customWidth="1"/>
    <col min="26" max="16384" width="8.765625" style="1"/>
  </cols>
  <sheetData>
    <row r="1" spans="1:21" s="5" customFormat="1" ht="19.75" x14ac:dyDescent="0.35">
      <c r="A1" s="268" t="str">
        <f>VLOOKUP("T00",tblTranslation[],LangFieldID,FALSE)</f>
        <v>ST01-T1FC</v>
      </c>
      <c r="B1" s="269"/>
      <c r="C1" s="285" t="str">
        <f>VLOOKUP("T00",tblTranslation[],LangNameID,FALSE)</f>
        <v>TASK 1 - FLEET CHARACTERISTICS</v>
      </c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" t="str">
        <f>VLOOKUP("tVersion",tblTranslation[],LangFieldID,FALSE)</f>
        <v>Version</v>
      </c>
      <c r="R1" s="3" t="str">
        <f>VLOOKUP("tLang",tblTranslation[],LangFieldID,FALSE)</f>
        <v>Language</v>
      </c>
    </row>
    <row r="2" spans="1:21" s="5" customFormat="1" ht="14.15" x14ac:dyDescent="0.35">
      <c r="A2" s="270"/>
      <c r="B2" s="271"/>
      <c r="C2" s="286" t="str">
        <f>VLOOKUP("T01",tblTranslation[],LangFieldID,FALSE)&amp;": "&amp;VLOOKUP("T01",tblTranslation[],LangNameID,FALSE)</f>
        <v>ICCAT: INTERNATIONAL COMMISSION FOR THE CONSERVATION OF ATLANTIC TUNAS</v>
      </c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4" t="s">
        <v>1289</v>
      </c>
      <c r="R2" s="7" t="s">
        <v>1187</v>
      </c>
    </row>
    <row r="3" spans="1:21" s="73" customFormat="1" ht="10.75" x14ac:dyDescent="0.3">
      <c r="A3" s="296"/>
      <c r="B3" s="296"/>
      <c r="C3" s="296"/>
      <c r="D3" s="296"/>
      <c r="E3" s="296"/>
      <c r="F3" s="296"/>
      <c r="G3" s="296"/>
      <c r="H3" s="296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spans="1:21" s="73" customFormat="1" ht="10.75" x14ac:dyDescent="0.3">
      <c r="A4" s="257" t="str">
        <f>VLOOKUP("H10",tblTranslation[],LangFieldID,FALSE)</f>
        <v>Statistical correspondent</v>
      </c>
      <c r="B4" s="258"/>
      <c r="C4" s="258"/>
      <c r="D4" s="258"/>
      <c r="E4" s="258"/>
      <c r="F4" s="258"/>
      <c r="G4" s="258"/>
      <c r="H4" s="258"/>
      <c r="I4" s="258"/>
      <c r="J4" s="74" t="str">
        <f>IF(AND(C5&gt;0,C6&gt;0,G6&gt;0,C7&gt;0,C8&gt;0,C9&gt;0,G9&gt;0),"ok","inc")</f>
        <v>inc</v>
      </c>
      <c r="K4" s="289" t="str">
        <f>VLOOKUP("H20",tblTranslation[],LangFieldID,FALSE)</f>
        <v>Secretariat use only</v>
      </c>
      <c r="L4" s="290"/>
      <c r="M4" s="290"/>
      <c r="N4" s="290"/>
      <c r="O4" s="290"/>
      <c r="P4" s="287" t="str">
        <f>VLOOKUP("H21",tblTranslation[],LangFieldID,FALSE)</f>
        <v>Filtering criteria</v>
      </c>
      <c r="Q4" s="287"/>
      <c r="R4" s="288"/>
      <c r="T4" s="75"/>
    </row>
    <row r="5" spans="1:21" s="73" customFormat="1" ht="10.75" x14ac:dyDescent="0.3">
      <c r="A5" s="76" t="str">
        <f>VLOOKUP("H11",tblTranslation[],LangFieldID,FALSE)</f>
        <v>Identification</v>
      </c>
      <c r="B5" s="205" t="str">
        <f>VLOOKUP("hName",tblTranslation[],LangFieldID,FALSE)</f>
        <v>Name</v>
      </c>
      <c r="C5" s="256"/>
      <c r="D5" s="256"/>
      <c r="E5" s="256"/>
      <c r="F5" s="256"/>
      <c r="G5" s="256"/>
      <c r="H5" s="256"/>
      <c r="I5" s="256"/>
      <c r="J5" s="77"/>
      <c r="K5" s="249" t="str">
        <f>VLOOKUP("hDaterep",tblTranslation[],LangFieldID,FALSE)</f>
        <v>Date reported</v>
      </c>
      <c r="L5" s="250"/>
      <c r="M5" s="291"/>
      <c r="N5" s="291"/>
      <c r="O5" s="77"/>
      <c r="P5" s="77"/>
      <c r="Q5" s="110" t="str">
        <f>VLOOKUP("hFilter1",tblTranslation[],LangFieldID,FALSE)</f>
        <v>Filter 1</v>
      </c>
      <c r="R5" s="110" t="str">
        <f>VLOOKUP("hFilter2",tblTranslation[],LangFieldID,FALSE)</f>
        <v>Filter 2</v>
      </c>
      <c r="T5" s="75"/>
    </row>
    <row r="6" spans="1:21" s="73" customFormat="1" ht="10.75" x14ac:dyDescent="0.3">
      <c r="A6" s="78"/>
      <c r="B6" s="205" t="str">
        <f>VLOOKUP("hEmail",tblTranslation[],LangFieldID,FALSE)</f>
        <v>E-mail</v>
      </c>
      <c r="C6" s="293"/>
      <c r="D6" s="294"/>
      <c r="E6" s="294"/>
      <c r="F6" s="205" t="str">
        <f>VLOOKUP("hPhone",tblTranslation[],LangFieldID,FALSE)</f>
        <v>Phone</v>
      </c>
      <c r="G6" s="295"/>
      <c r="H6" s="295"/>
      <c r="I6" s="295"/>
      <c r="J6" s="207"/>
      <c r="K6" s="249" t="str">
        <f>VLOOKUP("hRef",tblTranslation[],LangFieldID,FALSE)</f>
        <v>Reference Nº</v>
      </c>
      <c r="L6" s="250"/>
      <c r="M6" s="292"/>
      <c r="N6" s="292"/>
      <c r="O6" s="77"/>
      <c r="P6" s="79" t="s">
        <v>287</v>
      </c>
      <c r="Q6" s="80">
        <v>0</v>
      </c>
      <c r="R6" s="80">
        <v>0</v>
      </c>
    </row>
    <row r="7" spans="1:21" s="73" customFormat="1" ht="10.75" x14ac:dyDescent="0.3">
      <c r="A7" s="81" t="str">
        <f>VLOOKUP("H12",tblTranslation[],LangFieldID,FALSE)</f>
        <v>Affiliation</v>
      </c>
      <c r="B7" s="205" t="str">
        <f>VLOOKUP("hInstit",tblTranslation[],LangFieldID,FALSE)</f>
        <v>Institution</v>
      </c>
      <c r="C7" s="256"/>
      <c r="D7" s="256"/>
      <c r="E7" s="256"/>
      <c r="F7" s="256"/>
      <c r="G7" s="82"/>
      <c r="H7" s="77"/>
      <c r="I7" s="83"/>
      <c r="J7" s="207"/>
      <c r="K7" s="249" t="s">
        <v>1160</v>
      </c>
      <c r="L7" s="250"/>
      <c r="M7" s="190"/>
      <c r="N7" s="77"/>
      <c r="O7" s="84"/>
      <c r="P7" s="79" t="s">
        <v>288</v>
      </c>
      <c r="Q7" s="80">
        <v>0</v>
      </c>
      <c r="R7" s="80">
        <v>0</v>
      </c>
    </row>
    <row r="8" spans="1:21" s="73" customFormat="1" ht="10.75" x14ac:dyDescent="0.3">
      <c r="A8" s="86"/>
      <c r="B8" s="205" t="str">
        <f>VLOOKUP("hDepart",tblTranslation[],LangFieldID,FALSE)</f>
        <v>Department</v>
      </c>
      <c r="C8" s="256"/>
      <c r="D8" s="256"/>
      <c r="E8" s="256"/>
      <c r="F8" s="256"/>
      <c r="G8" s="82"/>
      <c r="H8" s="77"/>
      <c r="I8" s="83"/>
      <c r="J8" s="207"/>
      <c r="K8" s="251" t="str">
        <f>VLOOKUP("hFName",tblTranslation[],LangFieldID,FALSE)</f>
        <v>File name (proposed)</v>
      </c>
      <c r="L8" s="252"/>
      <c r="M8" s="252"/>
      <c r="N8" s="252"/>
      <c r="O8" s="252"/>
      <c r="P8" s="79" t="s">
        <v>289</v>
      </c>
      <c r="Q8" s="80">
        <v>0</v>
      </c>
      <c r="R8" s="80">
        <v>0</v>
      </c>
      <c r="T8" s="75"/>
    </row>
    <row r="9" spans="1:21" s="73" customFormat="1" ht="10.75" x14ac:dyDescent="0.3">
      <c r="A9" s="87"/>
      <c r="B9" s="205" t="str">
        <f>VLOOKUP("hAddress",tblTranslation[],LangFieldID,FALSE)</f>
        <v>Address</v>
      </c>
      <c r="C9" s="256"/>
      <c r="D9" s="256"/>
      <c r="E9" s="256"/>
      <c r="F9" s="88" t="str">
        <f>VLOOKUP("hCountry",tblTranslation[],LangFieldID,FALSE)</f>
        <v>Country</v>
      </c>
      <c r="G9" s="261"/>
      <c r="H9" s="261"/>
      <c r="I9" s="261"/>
      <c r="J9" s="77"/>
      <c r="K9" s="253" t="str">
        <f>IF(AND(J4="ok",J11="ok"),"ST01_"&amp;E12&amp;C13&amp;"-"&amp;RIGHT(E13,2)&amp;LEFT(C17,1)&amp;"-"&amp;LEFT(C19,2)&amp;"#"&amp;M6&amp;".xlsx","")</f>
        <v/>
      </c>
      <c r="L9" s="254"/>
      <c r="M9" s="254"/>
      <c r="N9" s="254"/>
      <c r="O9" s="254"/>
      <c r="P9" s="79" t="s">
        <v>290</v>
      </c>
      <c r="Q9" s="85"/>
      <c r="R9" s="85"/>
      <c r="U9" s="75"/>
    </row>
    <row r="10" spans="1:21" s="73" customFormat="1" ht="10.75" x14ac:dyDescent="0.3">
      <c r="A10" s="89"/>
      <c r="B10" s="90"/>
      <c r="C10" s="90"/>
      <c r="D10" s="90"/>
      <c r="E10" s="90"/>
      <c r="F10" s="90"/>
      <c r="G10" s="90"/>
      <c r="H10" s="90"/>
      <c r="I10" s="91"/>
      <c r="J10" s="92"/>
      <c r="K10" s="93"/>
      <c r="L10" s="90"/>
      <c r="M10" s="90"/>
      <c r="N10" s="90"/>
      <c r="O10" s="92"/>
      <c r="P10" s="92"/>
      <c r="Q10" s="108"/>
      <c r="R10" s="109"/>
    </row>
    <row r="11" spans="1:21" s="73" customFormat="1" ht="10.75" x14ac:dyDescent="0.3">
      <c r="A11" s="257" t="str">
        <f>VLOOKUP("H30",tblTranslation[],LangFieldID,FALSE)</f>
        <v>Data set characteristics</v>
      </c>
      <c r="B11" s="258"/>
      <c r="C11" s="258"/>
      <c r="D11" s="258"/>
      <c r="E11" s="258"/>
      <c r="F11" s="258"/>
      <c r="G11" s="258"/>
      <c r="H11" s="258"/>
      <c r="I11" s="258"/>
      <c r="J11" s="74" t="str">
        <f>IF(E12="","inc",IF(AND(C13&gt;0,E13&gt;0,C17&gt;0,C18&gt;0),"ok","inc"))</f>
        <v>inc</v>
      </c>
      <c r="K11" s="104" t="str">
        <f>VLOOKUP("hNotes",tblTranslation[],LangFieldID,FALSE)</f>
        <v>Notes</v>
      </c>
      <c r="L11" s="104"/>
      <c r="M11" s="104"/>
      <c r="N11" s="104"/>
      <c r="O11" s="104"/>
      <c r="P11" s="104"/>
      <c r="Q11" s="84"/>
      <c r="R11" s="107"/>
    </row>
    <row r="12" spans="1:21" s="73" customFormat="1" ht="12.15" customHeight="1" x14ac:dyDescent="0.3">
      <c r="A12" s="259" t="str">
        <f>VLOOKUP("hFlagrep",tblTranslation[],LangFieldID,FALSE)</f>
        <v>Reporting Flag</v>
      </c>
      <c r="B12" s="260"/>
      <c r="C12" s="256"/>
      <c r="D12" s="256"/>
      <c r="E12" s="207" t="str">
        <f>IFERROR(IF(C12&gt;0,VLOOKUP(C12,Codes!A3:B175,2,FALSE),""),"")</f>
        <v/>
      </c>
      <c r="F12" s="77"/>
      <c r="G12" s="272" t="str">
        <f>VLOOKUP("H31",tblTranslation[],LangFieldID,FALSE)</f>
        <v>Sub-form / Description</v>
      </c>
      <c r="H12" s="272"/>
      <c r="I12" s="272"/>
      <c r="J12" s="272"/>
      <c r="K12" s="247"/>
      <c r="L12" s="247"/>
      <c r="M12" s="247"/>
      <c r="N12" s="247"/>
      <c r="O12" s="247"/>
      <c r="P12" s="247"/>
      <c r="Q12" s="247"/>
      <c r="R12" s="248"/>
    </row>
    <row r="13" spans="1:21" s="73" customFormat="1" ht="12.15" customHeight="1" x14ac:dyDescent="0.3">
      <c r="A13" s="249" t="str">
        <f>VLOOKUP("hYearfrom",tblTranslation[],LangFieldID,FALSE)</f>
        <v>Years covered (from)</v>
      </c>
      <c r="B13" s="250"/>
      <c r="C13" s="206"/>
      <c r="D13" s="111" t="str">
        <f>VLOOKUP("hYearto",tblTranslation[],LangFieldID,FALSE)</f>
        <v>(to)</v>
      </c>
      <c r="E13" s="112"/>
      <c r="F13" s="77"/>
      <c r="G13" s="262" t="str">
        <f>VLOOKUP("T03",tblTranslation[],LangFieldID,FALSE)</f>
        <v>ST01A (by Vessel)</v>
      </c>
      <c r="H13" s="273" t="str">
        <f>VLOOKUP("T03",tblTranslation[],LangNameID,FALSE)</f>
        <v>Individual fishing vessels with positive effort (active) in any of the ICCAT fisheries</v>
      </c>
      <c r="I13" s="273"/>
      <c r="J13" s="274"/>
      <c r="K13" s="247"/>
      <c r="L13" s="247"/>
      <c r="M13" s="247"/>
      <c r="N13" s="247"/>
      <c r="O13" s="247"/>
      <c r="P13" s="247"/>
      <c r="Q13" s="247"/>
      <c r="R13" s="248"/>
    </row>
    <row r="14" spans="1:21" s="73" customFormat="1" ht="12.15" customHeight="1" x14ac:dyDescent="0.3">
      <c r="A14" s="86"/>
      <c r="B14" s="77"/>
      <c r="C14" s="77"/>
      <c r="D14" s="77"/>
      <c r="E14" s="77"/>
      <c r="F14" s="77"/>
      <c r="G14" s="263"/>
      <c r="H14" s="275"/>
      <c r="I14" s="275"/>
      <c r="J14" s="276"/>
      <c r="K14" s="247"/>
      <c r="L14" s="247"/>
      <c r="M14" s="247"/>
      <c r="N14" s="247"/>
      <c r="O14" s="247"/>
      <c r="P14" s="247"/>
      <c r="Q14" s="247"/>
      <c r="R14" s="248"/>
    </row>
    <row r="15" spans="1:21" s="73" customFormat="1" ht="12.15" customHeight="1" x14ac:dyDescent="0.3">
      <c r="A15" s="77"/>
      <c r="B15" s="77"/>
      <c r="C15" s="77"/>
      <c r="D15" s="207"/>
      <c r="E15" s="77"/>
      <c r="F15" s="77"/>
      <c r="G15" s="264"/>
      <c r="H15" s="277"/>
      <c r="I15" s="277"/>
      <c r="J15" s="278"/>
      <c r="K15" s="247"/>
      <c r="L15" s="247"/>
      <c r="M15" s="247"/>
      <c r="N15" s="247"/>
      <c r="O15" s="247"/>
      <c r="P15" s="247"/>
      <c r="Q15" s="247"/>
      <c r="R15" s="248"/>
    </row>
    <row r="16" spans="1:21" s="73" customFormat="1" ht="12.15" customHeight="1" x14ac:dyDescent="0.3">
      <c r="A16" s="86"/>
      <c r="B16" s="77"/>
      <c r="C16" s="77"/>
      <c r="D16" s="207"/>
      <c r="E16" s="83"/>
      <c r="F16" s="77"/>
      <c r="G16" s="265" t="str">
        <f>VLOOKUP("T04",tblTranslation[],LangFieldID,FALSE)</f>
        <v>ST01B (by Fleet) 
OPTIONAL</v>
      </c>
      <c r="H16" s="279" t="str">
        <f>VLOOKUP("T04",tblTranslation[],LangNameID,FALSE)</f>
        <v>SMALL SCALE (LOA &lt;20 m) active fishing vessels ONLY: fleet component summaries not fishing for BFT-E or SWO-M</v>
      </c>
      <c r="I16" s="279"/>
      <c r="J16" s="280"/>
      <c r="K16" s="247"/>
      <c r="L16" s="247"/>
      <c r="M16" s="247"/>
      <c r="N16" s="247"/>
      <c r="O16" s="247"/>
      <c r="P16" s="247"/>
      <c r="Q16" s="247"/>
      <c r="R16" s="248"/>
    </row>
    <row r="17" spans="1:25" s="73" customFormat="1" ht="12.15" customHeight="1" x14ac:dyDescent="0.3">
      <c r="A17" s="249" t="str">
        <f>VLOOKUP("hVersion",tblTranslation[],LangFieldID,FALSE)</f>
        <v>Version reported</v>
      </c>
      <c r="B17" s="250"/>
      <c r="C17" s="256"/>
      <c r="D17" s="256"/>
      <c r="E17" s="83"/>
      <c r="F17" s="77"/>
      <c r="G17" s="266"/>
      <c r="H17" s="281"/>
      <c r="I17" s="281"/>
      <c r="J17" s="282"/>
      <c r="K17" s="247"/>
      <c r="L17" s="247"/>
      <c r="M17" s="247"/>
      <c r="N17" s="247"/>
      <c r="O17" s="247"/>
      <c r="P17" s="247"/>
      <c r="Q17" s="247"/>
      <c r="R17" s="248"/>
    </row>
    <row r="18" spans="1:25" s="73" customFormat="1" ht="12.15" customHeight="1" x14ac:dyDescent="0.3">
      <c r="A18" s="249" t="str">
        <f>VLOOKUP("hContent",tblTranslation[],LangFieldID,FALSE)</f>
        <v>Content (data)</v>
      </c>
      <c r="B18" s="250"/>
      <c r="C18" s="255"/>
      <c r="D18" s="255"/>
      <c r="E18" s="83"/>
      <c r="F18" s="77"/>
      <c r="G18" s="267"/>
      <c r="H18" s="283"/>
      <c r="I18" s="283"/>
      <c r="J18" s="284"/>
      <c r="K18" s="247"/>
      <c r="L18" s="247"/>
      <c r="M18" s="247"/>
      <c r="N18" s="247"/>
      <c r="O18" s="247"/>
      <c r="P18" s="247"/>
      <c r="Q18" s="247"/>
      <c r="R18" s="248"/>
    </row>
    <row r="19" spans="1:25" s="73" customFormat="1" ht="12.15" customHeight="1" x14ac:dyDescent="0.3">
      <c r="A19" s="89"/>
      <c r="B19" s="94"/>
      <c r="C19" s="308" t="str">
        <f>IF(C18&gt;0,VLOOKUP(C18,Codes!H65:J68,3,FALSE) &amp; ": "&amp; VLOOKUP(C18,Codes!H65:J68,2,FALSE),"")</f>
        <v/>
      </c>
      <c r="D19" s="308"/>
      <c r="E19" s="308"/>
      <c r="F19" s="308"/>
      <c r="G19" s="95"/>
      <c r="H19" s="165"/>
      <c r="I19" s="165"/>
      <c r="J19" s="165"/>
      <c r="K19" s="105"/>
      <c r="L19" s="105"/>
      <c r="M19" s="105"/>
      <c r="N19" s="105"/>
      <c r="O19" s="105"/>
      <c r="P19" s="105"/>
      <c r="Q19" s="105"/>
      <c r="R19" s="106"/>
    </row>
    <row r="20" spans="1:25" s="98" customFormat="1" ht="10.75" x14ac:dyDescent="0.3">
      <c r="A20" s="96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</row>
    <row r="21" spans="1:25" s="123" customFormat="1" ht="12.15" customHeight="1" x14ac:dyDescent="0.3">
      <c r="A21" s="309" t="str">
        <f>VLOOKUP("D10",tblTranslation[],LangFieldID,FALSE)</f>
        <v>Vessel attributes</v>
      </c>
      <c r="B21" s="309"/>
      <c r="C21" s="309"/>
      <c r="D21" s="309"/>
      <c r="E21" s="309"/>
      <c r="F21" s="309"/>
      <c r="G21" s="309"/>
      <c r="H21" s="309"/>
      <c r="I21" s="309"/>
      <c r="J21" s="309"/>
      <c r="K21" s="309"/>
      <c r="L21" s="309"/>
      <c r="M21" s="297" t="str">
        <f>VLOOKUP("D20",tblTranslation[],LangFieldID,FALSE)</f>
        <v>Vessel activity in ICCAT Fisheries</v>
      </c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9"/>
    </row>
    <row r="22" spans="1:25" s="123" customFormat="1" ht="12.15" customHeight="1" x14ac:dyDescent="0.3">
      <c r="A22" s="310" t="str">
        <f>VLOOKUP("D11",tblTranslation[],LangFieldID,FALSE)</f>
        <v>Vessel ID</v>
      </c>
      <c r="B22" s="312"/>
      <c r="C22" s="312"/>
      <c r="D22" s="312"/>
      <c r="E22" s="311"/>
      <c r="F22" s="310" t="str">
        <f>VLOOKUP("D12",tblTranslation[],LangFieldID,FALSE)</f>
        <v>Fleet ID</v>
      </c>
      <c r="G22" s="311"/>
      <c r="H22" s="310" t="str">
        <f>VLOOKUP("D13",tblTranslation[],LangFieldID,FALSE)</f>
        <v>Other attributes</v>
      </c>
      <c r="I22" s="312"/>
      <c r="J22" s="312"/>
      <c r="K22" s="312"/>
      <c r="L22" s="311"/>
      <c r="M22" s="245" t="str">
        <f>VLOOKUP("D21",tblTranslation[],LangFieldID,FALSE)</f>
        <v>Period</v>
      </c>
      <c r="N22" s="306" t="str">
        <f>VLOOKUP("D22",tblTranslation[],LangFieldID,FALSE)</f>
        <v>Total effort</v>
      </c>
      <c r="O22" s="307"/>
      <c r="P22" s="303" t="str">
        <f>VLOOKUP("D23",tblTranslation[],LangFieldID,FALSE)</f>
        <v>Fisheries (activity, 1 or +)</v>
      </c>
      <c r="Q22" s="304"/>
      <c r="R22" s="304"/>
      <c r="S22" s="304"/>
      <c r="T22" s="305"/>
      <c r="U22" s="300" t="str">
        <f>VLOOKUP("D24",tblTranslation[],LangFieldID,FALSE)</f>
        <v>BFTE fishery only (details)</v>
      </c>
      <c r="V22" s="301"/>
      <c r="W22" s="301"/>
      <c r="X22" s="301"/>
      <c r="Y22" s="302"/>
    </row>
    <row r="23" spans="1:25" s="124" customFormat="1" ht="25.75" customHeight="1" x14ac:dyDescent="0.3">
      <c r="A23" s="161" t="str">
        <f>VLOOKUP(A$25,tblTranslation[],LangFieldID,FALSE)</f>
        <v>ICCAT Serial Number</v>
      </c>
      <c r="B23" s="161" t="str">
        <f>VLOOKUP(B$25,tblTranslation[],LangFieldID,FALSE)</f>
        <v>Nat. Registry Nº (NRN)</v>
      </c>
      <c r="C23" s="161" t="str">
        <f>VLOOKUP(C$25,tblTranslation[],LangFieldID,FALSE)</f>
        <v>Internat. RCS</v>
      </c>
      <c r="D23" s="233" t="str">
        <f>VLOOKUP(D$25,tblTranslation[],LangFieldID,FALSE)</f>
        <v>IMO number</v>
      </c>
      <c r="E23" s="161" t="str">
        <f>VLOOKUP(E$25,tblTranslation[],LangFieldID,FALSE)</f>
        <v>Vessel name (latin)</v>
      </c>
      <c r="F23" s="162" t="str">
        <f>VLOOKUP(F$25,tblTranslation[],LangFieldID,FALSE)</f>
        <v>Flag of Vessel (cod)</v>
      </c>
      <c r="G23" s="236" t="str">
        <f>VLOOKUP(G$25,tblTranslation[],LangFieldID,FALSE)</f>
        <v xml:space="preserve">Fleet suffix </v>
      </c>
      <c r="H23" s="162" t="str">
        <f>VLOOKUP(H$25,tblTranslation[],LangFieldID,FALSE)</f>
        <v>Gear group (cod)</v>
      </c>
      <c r="I23" s="161" t="str">
        <f>VLOOKUP(I$25,tblTranslation[],LangFieldID,FALSE)</f>
        <v>LOA (m)</v>
      </c>
      <c r="J23" s="161" t="str">
        <f>VLOOKUP(J$25,tblTranslation[],LangFieldID,FALSE)</f>
        <v>Tonnage (t)</v>
      </c>
      <c r="K23" s="161" t="str">
        <f>VLOOKUP(K$25,tblTranslation[],LangFieldID,FALSE)</f>
        <v>Tonnage type</v>
      </c>
      <c r="L23" s="233" t="str">
        <f>VLOOKUP(L$25,tblTranslation[],LangFieldID,FALSE)</f>
        <v>Fish Carrying capacity (mt)</v>
      </c>
      <c r="M23" s="184" t="str">
        <f>VLOOKUP(M$25,tblTranslation[],LangFieldID,FALSE)</f>
        <v>Year (calendar)</v>
      </c>
      <c r="N23" s="163" t="str">
        <f>VLOOKUP(N$25,tblTranslation[],LangFieldID,FALSE)</f>
        <v>Fishing days (ATL)</v>
      </c>
      <c r="O23" s="163" t="str">
        <f>VLOOKUP(O$25,tblTranslation[],LangFieldID,FALSE)</f>
        <v>Fishing days (MED)</v>
      </c>
      <c r="P23" s="122" t="str">
        <f>VLOOKUP(P$25,tblTranslation[],LangFieldID,FALSE)</f>
        <v>Fishery 1 (cod)</v>
      </c>
      <c r="Q23" s="122" t="str">
        <f>VLOOKUP(Q$25,tblTranslation[],LangFieldID,FALSE)</f>
        <v>Fishery 2 (cod)</v>
      </c>
      <c r="R23" s="122" t="str">
        <f>VLOOKUP(R$25,tblTranslation[],LangFieldID,FALSE)</f>
        <v>Fishery 3 (cod)</v>
      </c>
      <c r="S23" s="122" t="str">
        <f>VLOOKUP(S$25,tblTranslation[],LangFieldID,FALSE)</f>
        <v>Fishery 4 (cod)</v>
      </c>
      <c r="T23" s="122" t="str">
        <f>VLOOKUP(T$25,tblTranslation[],LangFieldID,FALSE)</f>
        <v>Fishery 5 (cod)</v>
      </c>
      <c r="U23" s="164" t="str">
        <f>VLOOKUP(U$25,tblTranslation[],LangFieldID,FALSE)</f>
        <v>Authorised FROM</v>
      </c>
      <c r="V23" s="164" t="str">
        <f>VLOOKUP(V$25,tblTranslation[],LangFieldID,FALSE)</f>
        <v>Authorised TO</v>
      </c>
      <c r="W23" s="164" t="str">
        <f>VLOOKUP(W$25,tblTranslation[],LangFieldID,FALSE)</f>
        <v>Total fishing days</v>
      </c>
      <c r="X23" s="164" t="str">
        <f>VLOOKUP(X$25,tblTranslation[],LangFieldID,FALSE)</f>
        <v>Catches (kg) in Auth. Per.</v>
      </c>
      <c r="Y23" s="164" t="str">
        <f>VLOOKUP(Y$25,tblTranslation[],LangFieldID,FALSE)</f>
        <v>Bycatch (kg) outside Auth. Per.</v>
      </c>
    </row>
    <row r="24" spans="1:25" s="211" customFormat="1" ht="10.75" x14ac:dyDescent="0.3">
      <c r="A24" s="208" t="str">
        <f>REPT("+",13)</f>
        <v>+++++++++++++</v>
      </c>
      <c r="B24" s="209" t="str">
        <f>REPT("+",14)</f>
        <v>++++++++++++++</v>
      </c>
      <c r="C24" s="209" t="str">
        <f>REPT("+",10)</f>
        <v>++++++++++</v>
      </c>
      <c r="D24" s="209" t="str">
        <f>REPT("+",10)</f>
        <v>++++++++++</v>
      </c>
      <c r="E24" s="209" t="str">
        <f>REPT("+",30)</f>
        <v>++++++++++++++++++++++++++++++</v>
      </c>
      <c r="F24" s="208" t="str">
        <f>REPT("+",6)</f>
        <v>++++++</v>
      </c>
      <c r="G24" s="208" t="str">
        <f>REPT("+",15)</f>
        <v>+++++++++++++++</v>
      </c>
      <c r="H24" s="208" t="str">
        <f>REPT("+",22)</f>
        <v>++++++++++++++++++++++</v>
      </c>
      <c r="I24" s="208" t="str">
        <f t="shared" ref="I24:R24" si="0">REPT("+",6)</f>
        <v>++++++</v>
      </c>
      <c r="J24" s="208" t="str">
        <f t="shared" si="0"/>
        <v>++++++</v>
      </c>
      <c r="K24" s="208" t="str">
        <f t="shared" si="0"/>
        <v>++++++</v>
      </c>
      <c r="L24" s="208" t="str">
        <f>REPT("+",10)</f>
        <v>++++++++++</v>
      </c>
      <c r="M24" s="208" t="str">
        <f t="shared" si="0"/>
        <v>++++++</v>
      </c>
      <c r="N24" s="208" t="str">
        <f t="shared" si="0"/>
        <v>++++++</v>
      </c>
      <c r="O24" s="208" t="str">
        <f t="shared" si="0"/>
        <v>++++++</v>
      </c>
      <c r="P24" s="208" t="str">
        <f t="shared" si="0"/>
        <v>++++++</v>
      </c>
      <c r="Q24" s="208" t="str">
        <f t="shared" si="0"/>
        <v>++++++</v>
      </c>
      <c r="R24" s="208" t="str">
        <f t="shared" si="0"/>
        <v>++++++</v>
      </c>
      <c r="S24" s="209" t="str">
        <f>REPT("+",10)</f>
        <v>++++++++++</v>
      </c>
      <c r="T24" s="210" t="str">
        <f>REPT("+",8)</f>
        <v>++++++++</v>
      </c>
      <c r="U24" s="210" t="str">
        <f>REPT("+",8)</f>
        <v>++++++++</v>
      </c>
      <c r="V24" s="210" t="str">
        <f>REPT("+",8)</f>
        <v>++++++++</v>
      </c>
      <c r="W24" s="210" t="str">
        <f>REPT("+",8)</f>
        <v>++++++++</v>
      </c>
      <c r="X24" s="210" t="str">
        <f t="shared" ref="X24:Y24" si="1">REPT("+",8)</f>
        <v>++++++++</v>
      </c>
      <c r="Y24" s="210" t="str">
        <f t="shared" si="1"/>
        <v>++++++++</v>
      </c>
    </row>
    <row r="25" spans="1:25" s="123" customFormat="1" ht="10.75" x14ac:dyDescent="0.3">
      <c r="A25" s="125" t="s">
        <v>449</v>
      </c>
      <c r="B25" s="125" t="s">
        <v>450</v>
      </c>
      <c r="C25" s="125" t="s">
        <v>448</v>
      </c>
      <c r="D25" s="125" t="s">
        <v>1290</v>
      </c>
      <c r="E25" s="125" t="s">
        <v>451</v>
      </c>
      <c r="F25" s="125" t="s">
        <v>641</v>
      </c>
      <c r="G25" s="125" t="s">
        <v>1299</v>
      </c>
      <c r="H25" s="125" t="s">
        <v>721</v>
      </c>
      <c r="I25" s="125" t="s">
        <v>502</v>
      </c>
      <c r="J25" s="125" t="s">
        <v>955</v>
      </c>
      <c r="K25" s="125" t="s">
        <v>948</v>
      </c>
      <c r="L25" s="240" t="s">
        <v>1291</v>
      </c>
      <c r="M25" s="126" t="s">
        <v>995</v>
      </c>
      <c r="N25" s="127" t="s">
        <v>573</v>
      </c>
      <c r="O25" s="127" t="s">
        <v>574</v>
      </c>
      <c r="P25" s="128" t="s">
        <v>635</v>
      </c>
      <c r="Q25" s="128" t="s">
        <v>637</v>
      </c>
      <c r="R25" s="128" t="s">
        <v>639</v>
      </c>
      <c r="S25" s="128" t="s">
        <v>707</v>
      </c>
      <c r="T25" s="128" t="s">
        <v>841</v>
      </c>
      <c r="U25" s="129" t="s">
        <v>466</v>
      </c>
      <c r="V25" s="129" t="s">
        <v>467</v>
      </c>
      <c r="W25" s="129" t="s">
        <v>503</v>
      </c>
      <c r="X25" s="129" t="s">
        <v>490</v>
      </c>
      <c r="Y25" s="129" t="s">
        <v>491</v>
      </c>
    </row>
    <row r="26" spans="1:25" x14ac:dyDescent="0.35">
      <c r="A26" s="101"/>
      <c r="B26" s="102"/>
      <c r="C26" s="102"/>
      <c r="D26" s="239"/>
      <c r="E26" s="102"/>
      <c r="F26" s="102"/>
      <c r="G26" s="102"/>
      <c r="H26" s="102"/>
      <c r="I26" s="220"/>
      <c r="J26" s="221"/>
      <c r="K26" s="221"/>
      <c r="L26" s="239"/>
      <c r="M26" s="222"/>
      <c r="N26" s="223"/>
      <c r="O26" s="223"/>
      <c r="P26" s="225"/>
      <c r="Q26" s="226"/>
      <c r="R26" s="226"/>
      <c r="S26" s="225"/>
      <c r="T26" s="230"/>
      <c r="U26" s="227"/>
      <c r="V26" s="228"/>
      <c r="W26" s="229"/>
      <c r="X26" s="229"/>
      <c r="Y26" s="224"/>
    </row>
    <row r="27" spans="1:25" x14ac:dyDescent="0.35">
      <c r="A27" s="101"/>
      <c r="B27" s="102"/>
      <c r="C27" s="102"/>
      <c r="D27" s="239"/>
      <c r="E27" s="102"/>
      <c r="F27" s="102"/>
      <c r="G27" s="102"/>
      <c r="H27" s="102"/>
      <c r="I27" s="220"/>
      <c r="J27" s="221"/>
      <c r="K27" s="221"/>
      <c r="L27" s="239"/>
      <c r="M27" s="222"/>
      <c r="N27" s="223"/>
      <c r="O27" s="223"/>
      <c r="P27" s="225"/>
      <c r="Q27" s="226"/>
      <c r="R27" s="226"/>
      <c r="S27" s="225"/>
      <c r="T27" s="230"/>
      <c r="U27" s="227"/>
      <c r="V27" s="228"/>
      <c r="W27" s="229"/>
      <c r="X27" s="229"/>
      <c r="Y27" s="224"/>
    </row>
    <row r="28" spans="1:25" x14ac:dyDescent="0.35">
      <c r="A28" s="101"/>
      <c r="B28" s="102"/>
      <c r="C28" s="102"/>
      <c r="D28" s="239"/>
      <c r="E28" s="102"/>
      <c r="F28" s="102"/>
      <c r="G28" s="102"/>
      <c r="H28" s="102"/>
      <c r="I28" s="220"/>
      <c r="J28" s="221"/>
      <c r="K28" s="221"/>
      <c r="L28" s="239"/>
      <c r="M28" s="222"/>
      <c r="N28" s="223"/>
      <c r="O28" s="223"/>
      <c r="P28" s="225"/>
      <c r="Q28" s="226"/>
      <c r="R28" s="226"/>
      <c r="S28" s="225"/>
      <c r="T28" s="230"/>
      <c r="U28" s="227"/>
      <c r="V28" s="228"/>
      <c r="W28" s="229"/>
      <c r="X28" s="229"/>
      <c r="Y28" s="224"/>
    </row>
    <row r="29" spans="1:25" x14ac:dyDescent="0.35">
      <c r="A29" s="101"/>
      <c r="B29" s="102"/>
      <c r="C29" s="102"/>
      <c r="D29" s="239"/>
      <c r="E29" s="102"/>
      <c r="F29" s="102"/>
      <c r="G29" s="102"/>
      <c r="H29" s="102"/>
      <c r="I29" s="220"/>
      <c r="J29" s="221"/>
      <c r="K29" s="221"/>
      <c r="L29" s="239"/>
      <c r="M29" s="222"/>
      <c r="N29" s="223"/>
      <c r="O29" s="223"/>
      <c r="P29" s="225"/>
      <c r="Q29" s="226"/>
      <c r="R29" s="226"/>
      <c r="S29" s="225"/>
      <c r="T29" s="230"/>
      <c r="U29" s="227"/>
      <c r="V29" s="228"/>
      <c r="W29" s="229"/>
      <c r="X29" s="229"/>
      <c r="Y29" s="224"/>
    </row>
    <row r="30" spans="1:25" x14ac:dyDescent="0.35">
      <c r="A30" s="103"/>
      <c r="B30" s="102"/>
      <c r="C30" s="102"/>
      <c r="D30" s="239"/>
      <c r="E30" s="102"/>
      <c r="F30" s="102"/>
      <c r="G30" s="102"/>
      <c r="H30" s="102"/>
      <c r="I30" s="220"/>
      <c r="J30" s="221"/>
      <c r="K30" s="221"/>
      <c r="L30" s="239"/>
      <c r="M30" s="222"/>
      <c r="N30" s="223"/>
      <c r="O30" s="223"/>
      <c r="P30" s="225"/>
      <c r="Q30" s="226"/>
      <c r="R30" s="226"/>
      <c r="S30" s="225"/>
      <c r="T30" s="230"/>
      <c r="U30" s="227"/>
      <c r="V30" s="228"/>
      <c r="W30" s="224"/>
      <c r="X30" s="224"/>
      <c r="Y30" s="224"/>
    </row>
    <row r="31" spans="1:25" x14ac:dyDescent="0.35">
      <c r="A31" s="103"/>
      <c r="B31" s="102"/>
      <c r="C31" s="102"/>
      <c r="D31" s="239"/>
      <c r="E31" s="102"/>
      <c r="F31" s="102"/>
      <c r="G31" s="102"/>
      <c r="H31" s="102"/>
      <c r="I31" s="220"/>
      <c r="J31" s="221"/>
      <c r="K31" s="221"/>
      <c r="L31" s="239"/>
      <c r="M31" s="222"/>
      <c r="N31" s="223"/>
      <c r="O31" s="223"/>
      <c r="P31" s="225"/>
      <c r="Q31" s="226"/>
      <c r="R31" s="226"/>
      <c r="S31" s="225"/>
      <c r="T31" s="230"/>
      <c r="U31" s="227"/>
      <c r="V31" s="228"/>
      <c r="W31" s="224"/>
      <c r="X31" s="224"/>
      <c r="Y31" s="224"/>
    </row>
    <row r="32" spans="1:25" x14ac:dyDescent="0.35">
      <c r="A32" s="101"/>
      <c r="B32" s="102"/>
      <c r="C32" s="102"/>
      <c r="D32" s="239"/>
      <c r="E32" s="102"/>
      <c r="F32" s="102"/>
      <c r="G32" s="102"/>
      <c r="H32" s="102"/>
      <c r="I32" s="220"/>
      <c r="J32" s="221"/>
      <c r="K32" s="221"/>
      <c r="L32" s="239"/>
      <c r="M32" s="222"/>
      <c r="N32" s="223"/>
      <c r="O32" s="223"/>
      <c r="P32" s="225"/>
      <c r="Q32" s="226"/>
      <c r="R32" s="226"/>
      <c r="S32" s="225"/>
      <c r="T32" s="230"/>
      <c r="U32" s="227"/>
      <c r="V32" s="228"/>
      <c r="W32" s="229"/>
      <c r="X32" s="229"/>
      <c r="Y32" s="224"/>
    </row>
    <row r="33" spans="1:25" x14ac:dyDescent="0.35">
      <c r="A33" s="101"/>
      <c r="B33" s="102"/>
      <c r="C33" s="102"/>
      <c r="D33" s="239"/>
      <c r="E33" s="102"/>
      <c r="F33" s="102"/>
      <c r="G33" s="102"/>
      <c r="H33" s="102"/>
      <c r="I33" s="220"/>
      <c r="J33" s="221"/>
      <c r="K33" s="221"/>
      <c r="L33" s="239"/>
      <c r="M33" s="222"/>
      <c r="N33" s="223"/>
      <c r="O33" s="223"/>
      <c r="P33" s="225"/>
      <c r="Q33" s="226"/>
      <c r="R33" s="226"/>
      <c r="S33" s="225"/>
      <c r="T33" s="230"/>
      <c r="U33" s="227"/>
      <c r="V33" s="228"/>
      <c r="W33" s="224"/>
      <c r="X33" s="224"/>
      <c r="Y33" s="224"/>
    </row>
    <row r="34" spans="1:25" x14ac:dyDescent="0.35">
      <c r="A34" s="101"/>
      <c r="B34" s="102"/>
      <c r="C34" s="102"/>
      <c r="D34" s="239"/>
      <c r="E34" s="102"/>
      <c r="F34" s="102"/>
      <c r="G34" s="102"/>
      <c r="H34" s="102"/>
      <c r="I34" s="220"/>
      <c r="J34" s="221"/>
      <c r="K34" s="221"/>
      <c r="L34" s="239"/>
      <c r="M34" s="222"/>
      <c r="N34" s="223"/>
      <c r="O34" s="223"/>
      <c r="P34" s="225"/>
      <c r="Q34" s="226"/>
      <c r="R34" s="226"/>
      <c r="S34" s="225"/>
      <c r="T34" s="230"/>
      <c r="U34" s="227"/>
      <c r="V34" s="228"/>
      <c r="W34" s="229"/>
      <c r="X34" s="229"/>
      <c r="Y34" s="224"/>
    </row>
    <row r="35" spans="1:25" x14ac:dyDescent="0.35">
      <c r="A35" s="103"/>
      <c r="B35" s="102"/>
      <c r="C35" s="102"/>
      <c r="D35" s="239"/>
      <c r="E35" s="102"/>
      <c r="F35" s="102"/>
      <c r="G35" s="102"/>
      <c r="H35" s="102"/>
      <c r="I35" s="220"/>
      <c r="J35" s="221"/>
      <c r="K35" s="221"/>
      <c r="L35" s="239"/>
      <c r="M35" s="222"/>
      <c r="N35" s="223"/>
      <c r="O35" s="223"/>
      <c r="P35" s="225"/>
      <c r="Q35" s="226"/>
      <c r="R35" s="226"/>
      <c r="S35" s="225"/>
      <c r="T35" s="230"/>
      <c r="U35" s="227"/>
      <c r="V35" s="228"/>
      <c r="W35" s="229"/>
      <c r="X35" s="229"/>
      <c r="Y35" s="224"/>
    </row>
    <row r="36" spans="1:25" x14ac:dyDescent="0.35">
      <c r="A36" s="103"/>
      <c r="B36" s="102"/>
      <c r="C36" s="102"/>
      <c r="D36" s="239"/>
      <c r="E36" s="102"/>
      <c r="F36" s="102"/>
      <c r="G36" s="102"/>
      <c r="H36" s="102"/>
      <c r="I36" s="220"/>
      <c r="J36" s="221"/>
      <c r="K36" s="221"/>
      <c r="L36" s="239"/>
      <c r="M36" s="222"/>
      <c r="N36" s="223"/>
      <c r="O36" s="223"/>
      <c r="P36" s="225"/>
      <c r="Q36" s="226"/>
      <c r="R36" s="226"/>
      <c r="S36" s="225"/>
      <c r="T36" s="230"/>
      <c r="U36" s="227"/>
      <c r="V36" s="228"/>
      <c r="W36" s="229"/>
      <c r="X36" s="229"/>
      <c r="Y36" s="224"/>
    </row>
    <row r="37" spans="1:25" x14ac:dyDescent="0.35">
      <c r="A37" s="103"/>
      <c r="B37" s="102"/>
      <c r="C37" s="102"/>
      <c r="D37" s="239"/>
      <c r="E37" s="102"/>
      <c r="F37" s="102"/>
      <c r="G37" s="102"/>
      <c r="H37" s="102"/>
      <c r="I37" s="220"/>
      <c r="J37" s="221"/>
      <c r="K37" s="221"/>
      <c r="L37" s="239"/>
      <c r="M37" s="222"/>
      <c r="N37" s="223"/>
      <c r="O37" s="223"/>
      <c r="P37" s="225"/>
      <c r="Q37" s="226"/>
      <c r="R37" s="226"/>
      <c r="S37" s="225"/>
      <c r="T37" s="230"/>
      <c r="U37" s="227"/>
      <c r="V37" s="228"/>
      <c r="W37" s="229"/>
      <c r="X37" s="229"/>
      <c r="Y37" s="224"/>
    </row>
    <row r="38" spans="1:25" x14ac:dyDescent="0.35">
      <c r="A38" s="103"/>
      <c r="B38" s="102"/>
      <c r="C38" s="102"/>
      <c r="D38" s="239"/>
      <c r="E38" s="102"/>
      <c r="F38" s="102"/>
      <c r="G38" s="102"/>
      <c r="H38" s="102"/>
      <c r="I38" s="220"/>
      <c r="J38" s="221"/>
      <c r="K38" s="221"/>
      <c r="L38" s="239"/>
      <c r="M38" s="222"/>
      <c r="N38" s="223"/>
      <c r="O38" s="223"/>
      <c r="P38" s="225"/>
      <c r="Q38" s="226"/>
      <c r="R38" s="226"/>
      <c r="S38" s="225"/>
      <c r="T38" s="230"/>
      <c r="U38" s="227"/>
      <c r="V38" s="228"/>
      <c r="W38" s="229"/>
      <c r="X38" s="229"/>
      <c r="Y38" s="224"/>
    </row>
    <row r="39" spans="1:25" x14ac:dyDescent="0.35">
      <c r="A39" s="101"/>
      <c r="B39" s="102"/>
      <c r="C39" s="102"/>
      <c r="D39" s="239"/>
      <c r="E39" s="102"/>
      <c r="F39" s="102"/>
      <c r="G39" s="102"/>
      <c r="H39" s="102"/>
      <c r="I39" s="220"/>
      <c r="J39" s="221"/>
      <c r="K39" s="221"/>
      <c r="L39" s="239"/>
      <c r="M39" s="222"/>
      <c r="N39" s="223"/>
      <c r="O39" s="223"/>
      <c r="P39" s="225"/>
      <c r="Q39" s="226"/>
      <c r="R39" s="226"/>
      <c r="S39" s="225"/>
      <c r="T39" s="230"/>
      <c r="U39" s="227"/>
      <c r="V39" s="228"/>
      <c r="W39" s="224"/>
      <c r="X39" s="224"/>
      <c r="Y39" s="224"/>
    </row>
    <row r="40" spans="1:25" x14ac:dyDescent="0.35">
      <c r="A40" s="101"/>
      <c r="B40" s="102"/>
      <c r="C40" s="102"/>
      <c r="D40" s="239"/>
      <c r="E40" s="102"/>
      <c r="F40" s="102"/>
      <c r="G40" s="102"/>
      <c r="H40" s="102"/>
      <c r="I40" s="220"/>
      <c r="J40" s="221"/>
      <c r="K40" s="221"/>
      <c r="L40" s="239"/>
      <c r="M40" s="222"/>
      <c r="N40" s="223"/>
      <c r="O40" s="223"/>
      <c r="P40" s="225"/>
      <c r="Q40" s="226"/>
      <c r="R40" s="226"/>
      <c r="S40" s="225"/>
      <c r="T40" s="230"/>
      <c r="U40" s="227"/>
      <c r="V40" s="228"/>
      <c r="W40" s="229"/>
      <c r="X40" s="229"/>
      <c r="Y40" s="224"/>
    </row>
    <row r="41" spans="1:25" x14ac:dyDescent="0.35">
      <c r="A41" s="102"/>
      <c r="B41" s="102"/>
      <c r="C41" s="102"/>
      <c r="D41" s="239"/>
      <c r="E41" s="102"/>
      <c r="F41" s="102"/>
      <c r="G41" s="102"/>
      <c r="H41" s="102"/>
      <c r="I41" s="220"/>
      <c r="J41" s="221"/>
      <c r="K41" s="221"/>
      <c r="L41" s="239"/>
      <c r="M41" s="223"/>
      <c r="N41" s="223"/>
      <c r="O41" s="223"/>
      <c r="P41" s="225"/>
      <c r="Q41" s="226"/>
      <c r="R41" s="226"/>
      <c r="S41" s="225"/>
      <c r="T41" s="230"/>
      <c r="U41" s="227"/>
      <c r="V41" s="228"/>
      <c r="W41" s="224"/>
      <c r="X41" s="224"/>
      <c r="Y41" s="224"/>
    </row>
    <row r="42" spans="1:25" x14ac:dyDescent="0.35">
      <c r="A42" s="102"/>
      <c r="B42" s="102"/>
      <c r="C42" s="102"/>
      <c r="D42" s="239"/>
      <c r="E42" s="102"/>
      <c r="F42" s="102"/>
      <c r="G42" s="102"/>
      <c r="H42" s="102"/>
      <c r="I42" s="220"/>
      <c r="J42" s="221"/>
      <c r="K42" s="221"/>
      <c r="L42" s="239"/>
      <c r="M42" s="223"/>
      <c r="N42" s="223"/>
      <c r="O42" s="223"/>
      <c r="P42" s="225"/>
      <c r="Q42" s="226"/>
      <c r="R42" s="226"/>
      <c r="S42" s="225"/>
      <c r="T42" s="230"/>
      <c r="U42" s="227"/>
      <c r="V42" s="228"/>
      <c r="W42" s="224"/>
      <c r="X42" s="224"/>
      <c r="Y42" s="224"/>
    </row>
    <row r="43" spans="1:25" x14ac:dyDescent="0.35">
      <c r="A43" s="102"/>
      <c r="B43" s="102"/>
      <c r="C43" s="102"/>
      <c r="D43" s="239"/>
      <c r="E43" s="102"/>
      <c r="F43" s="102"/>
      <c r="G43" s="102"/>
      <c r="H43" s="102"/>
      <c r="I43" s="220"/>
      <c r="J43" s="221"/>
      <c r="K43" s="221"/>
      <c r="L43" s="239"/>
      <c r="M43" s="223"/>
      <c r="N43" s="223"/>
      <c r="O43" s="223"/>
      <c r="P43" s="225"/>
      <c r="Q43" s="226"/>
      <c r="R43" s="226"/>
      <c r="S43" s="225"/>
      <c r="T43" s="230"/>
      <c r="U43" s="227"/>
      <c r="V43" s="228"/>
      <c r="W43" s="224"/>
      <c r="X43" s="224"/>
      <c r="Y43" s="224"/>
    </row>
    <row r="44" spans="1:25" x14ac:dyDescent="0.35">
      <c r="A44" s="102"/>
      <c r="B44" s="102"/>
      <c r="C44" s="102"/>
      <c r="D44" s="239"/>
      <c r="E44" s="102"/>
      <c r="F44" s="102"/>
      <c r="G44" s="102"/>
      <c r="H44" s="102"/>
      <c r="I44" s="220"/>
      <c r="J44" s="221"/>
      <c r="K44" s="221"/>
      <c r="L44" s="239"/>
      <c r="M44" s="223"/>
      <c r="N44" s="223"/>
      <c r="O44" s="223"/>
      <c r="P44" s="225"/>
      <c r="Q44" s="226"/>
      <c r="R44" s="226"/>
      <c r="S44" s="225"/>
      <c r="T44" s="230"/>
      <c r="U44" s="227"/>
      <c r="V44" s="228"/>
      <c r="W44" s="224"/>
      <c r="X44" s="224"/>
      <c r="Y44" s="224"/>
    </row>
    <row r="45" spans="1:25" x14ac:dyDescent="0.35">
      <c r="A45" s="102"/>
      <c r="B45" s="102"/>
      <c r="C45" s="102"/>
      <c r="D45" s="239"/>
      <c r="E45" s="102"/>
      <c r="F45" s="102"/>
      <c r="G45" s="102"/>
      <c r="H45" s="102"/>
      <c r="I45" s="220"/>
      <c r="J45" s="221"/>
      <c r="K45" s="221"/>
      <c r="L45" s="239"/>
      <c r="M45" s="223"/>
      <c r="N45" s="223"/>
      <c r="O45" s="223"/>
      <c r="P45" s="225"/>
      <c r="Q45" s="226"/>
      <c r="R45" s="226"/>
      <c r="S45" s="225"/>
      <c r="T45" s="230"/>
      <c r="U45" s="227"/>
      <c r="V45" s="228"/>
      <c r="W45" s="224"/>
      <c r="X45" s="224"/>
      <c r="Y45" s="224"/>
    </row>
    <row r="46" spans="1:25" x14ac:dyDescent="0.35">
      <c r="A46" s="102"/>
      <c r="B46" s="102"/>
      <c r="C46" s="102"/>
      <c r="D46" s="239"/>
      <c r="E46" s="102"/>
      <c r="F46" s="102"/>
      <c r="G46" s="102"/>
      <c r="H46" s="102"/>
      <c r="I46" s="220"/>
      <c r="J46" s="221"/>
      <c r="K46" s="221"/>
      <c r="L46" s="239"/>
      <c r="M46" s="223"/>
      <c r="N46" s="223"/>
      <c r="O46" s="223"/>
      <c r="P46" s="225"/>
      <c r="Q46" s="226"/>
      <c r="R46" s="226"/>
      <c r="S46" s="225"/>
      <c r="T46" s="230"/>
      <c r="U46" s="227"/>
      <c r="V46" s="228"/>
      <c r="W46" s="224"/>
      <c r="X46" s="224"/>
      <c r="Y46" s="224"/>
    </row>
    <row r="47" spans="1:25" x14ac:dyDescent="0.35">
      <c r="A47" s="102"/>
      <c r="B47" s="102"/>
      <c r="C47" s="102"/>
      <c r="D47" s="239"/>
      <c r="E47" s="102"/>
      <c r="F47" s="102"/>
      <c r="G47" s="102"/>
      <c r="H47" s="102"/>
      <c r="I47" s="220"/>
      <c r="J47" s="221"/>
      <c r="K47" s="221"/>
      <c r="L47" s="239"/>
      <c r="M47" s="223"/>
      <c r="N47" s="223"/>
      <c r="O47" s="223"/>
      <c r="P47" s="225"/>
      <c r="Q47" s="226"/>
      <c r="R47" s="226"/>
      <c r="S47" s="225"/>
      <c r="T47" s="230"/>
      <c r="U47" s="227"/>
      <c r="V47" s="228"/>
      <c r="W47" s="224"/>
      <c r="X47" s="224"/>
      <c r="Y47" s="224"/>
    </row>
    <row r="48" spans="1:25" x14ac:dyDescent="0.35">
      <c r="A48" s="102"/>
      <c r="B48" s="102"/>
      <c r="C48" s="102"/>
      <c r="D48" s="239"/>
      <c r="E48" s="102"/>
      <c r="F48" s="102"/>
      <c r="G48" s="102"/>
      <c r="H48" s="102"/>
      <c r="I48" s="220"/>
      <c r="J48" s="221"/>
      <c r="K48" s="221"/>
      <c r="L48" s="239"/>
      <c r="M48" s="223"/>
      <c r="N48" s="223"/>
      <c r="O48" s="223"/>
      <c r="P48" s="225"/>
      <c r="Q48" s="226"/>
      <c r="R48" s="226"/>
      <c r="S48" s="225"/>
      <c r="T48" s="230"/>
      <c r="U48" s="227"/>
      <c r="V48" s="228"/>
      <c r="W48" s="224"/>
      <c r="X48" s="224"/>
      <c r="Y48" s="224"/>
    </row>
    <row r="49" spans="1:25" x14ac:dyDescent="0.35">
      <c r="A49" s="102"/>
      <c r="B49" s="102"/>
      <c r="C49" s="102"/>
      <c r="D49" s="239"/>
      <c r="E49" s="102"/>
      <c r="F49" s="102"/>
      <c r="G49" s="102"/>
      <c r="H49" s="102"/>
      <c r="I49" s="220"/>
      <c r="J49" s="221"/>
      <c r="K49" s="221"/>
      <c r="L49" s="239"/>
      <c r="M49" s="223"/>
      <c r="N49" s="223"/>
      <c r="O49" s="223"/>
      <c r="P49" s="225"/>
      <c r="Q49" s="226"/>
      <c r="R49" s="226"/>
      <c r="S49" s="225"/>
      <c r="T49" s="230"/>
      <c r="U49" s="227"/>
      <c r="V49" s="228"/>
      <c r="W49" s="224"/>
      <c r="X49" s="224"/>
      <c r="Y49" s="224"/>
    </row>
    <row r="50" spans="1:25" x14ac:dyDescent="0.35">
      <c r="A50" s="102"/>
      <c r="B50" s="102"/>
      <c r="C50" s="102"/>
      <c r="D50" s="239"/>
      <c r="E50" s="102"/>
      <c r="F50" s="102"/>
      <c r="G50" s="102"/>
      <c r="H50" s="102"/>
      <c r="I50" s="220"/>
      <c r="J50" s="221"/>
      <c r="K50" s="221"/>
      <c r="L50" s="239"/>
      <c r="M50" s="223"/>
      <c r="N50" s="223"/>
      <c r="O50" s="223"/>
      <c r="P50" s="225"/>
      <c r="Q50" s="226"/>
      <c r="R50" s="226"/>
      <c r="S50" s="225"/>
      <c r="T50" s="230"/>
      <c r="U50" s="227"/>
      <c r="V50" s="228"/>
      <c r="W50" s="224"/>
      <c r="X50" s="224"/>
      <c r="Y50" s="224"/>
    </row>
  </sheetData>
  <sheetProtection algorithmName="SHA-512" hashValue="IUS6DYtsUegfYYRUPjAgbjXrbQKJIYy70irY7+6PMfPg5YXaspTdgpV3yMpISbfgYhDOWis6iqR3BCKfZj68JQ==" saltValue="drCIGhv0pFBUCJqzhezI/Q==" spinCount="100000" sheet="1" formatCells="0" formatRows="0" insertRows="0" deleteRows="0" autoFilter="0"/>
  <mergeCells count="44">
    <mergeCell ref="M21:Y21"/>
    <mergeCell ref="U22:Y22"/>
    <mergeCell ref="P22:T22"/>
    <mergeCell ref="N22:O22"/>
    <mergeCell ref="C19:F19"/>
    <mergeCell ref="A21:L21"/>
    <mergeCell ref="F22:G22"/>
    <mergeCell ref="H22:L22"/>
    <mergeCell ref="A22:E22"/>
    <mergeCell ref="K6:L6"/>
    <mergeCell ref="C1:P1"/>
    <mergeCell ref="C2:P2"/>
    <mergeCell ref="P4:R4"/>
    <mergeCell ref="K4:O4"/>
    <mergeCell ref="M5:N5"/>
    <mergeCell ref="M6:N6"/>
    <mergeCell ref="K5:L5"/>
    <mergeCell ref="A4:I4"/>
    <mergeCell ref="C6:E6"/>
    <mergeCell ref="C5:I5"/>
    <mergeCell ref="G6:I6"/>
    <mergeCell ref="A3:H3"/>
    <mergeCell ref="G16:G18"/>
    <mergeCell ref="A1:B2"/>
    <mergeCell ref="C17:D17"/>
    <mergeCell ref="G12:J12"/>
    <mergeCell ref="H13:J15"/>
    <mergeCell ref="H16:J18"/>
    <mergeCell ref="K12:R18"/>
    <mergeCell ref="K7:L7"/>
    <mergeCell ref="K8:O8"/>
    <mergeCell ref="K9:O9"/>
    <mergeCell ref="A18:B18"/>
    <mergeCell ref="A17:B17"/>
    <mergeCell ref="C18:D18"/>
    <mergeCell ref="C8:F8"/>
    <mergeCell ref="C7:F7"/>
    <mergeCell ref="A13:B13"/>
    <mergeCell ref="A11:I11"/>
    <mergeCell ref="C9:E9"/>
    <mergeCell ref="A12:B12"/>
    <mergeCell ref="G9:I9"/>
    <mergeCell ref="C12:D12"/>
    <mergeCell ref="G13:G15"/>
  </mergeCells>
  <phoneticPr fontId="0" type="noConversion"/>
  <conditionalFormatting sqref="C5:I5 C6:E6 G6:I6 C7:F8 C9:E9 G9:I9 C12:D12 C13 E13 C17:D18">
    <cfRule type="containsBlanks" dxfId="5" priority="5">
      <formula>LEN(TRIM(C5))=0</formula>
    </cfRule>
  </conditionalFormatting>
  <conditionalFormatting sqref="J4 J11">
    <cfRule type="containsText" dxfId="4" priority="4" operator="containsText" text="inc">
      <formula>NOT(ISERROR(SEARCH("inc",J4)))</formula>
    </cfRule>
  </conditionalFormatting>
  <conditionalFormatting sqref="J4 K9:O9 J11 C12">
    <cfRule type="containsErrors" dxfId="3" priority="3">
      <formula>ISERROR(C4)</formula>
    </cfRule>
  </conditionalFormatting>
  <conditionalFormatting sqref="K9:O9">
    <cfRule type="expression" dxfId="2" priority="1">
      <formula>LEN($C$12)=0</formula>
    </cfRule>
    <cfRule type="expression" dxfId="1" priority="2">
      <formula>LEN($K$9)=0</formula>
    </cfRule>
  </conditionalFormatting>
  <conditionalFormatting sqref="Q6:R8">
    <cfRule type="cellIs" dxfId="0" priority="6" operator="equal">
      <formula>1</formula>
    </cfRule>
  </conditionalFormatting>
  <dataValidations xWindow="982" yWindow="650" count="25">
    <dataValidation type="list" allowBlank="1" showInputMessage="1" showErrorMessage="1" errorTitle="Country name not defined" error="Select a valid Country name" promptTitle="Country names" prompt="Select from the list" sqref="G9:I9" xr:uid="{00000000-0002-0000-0000-000000000000}">
      <formula1>FlagName</formula1>
    </dataValidation>
    <dataValidation type="whole" operator="lessThan" allowBlank="1" showErrorMessage="1" errorTitle="Invalid year" error="Year outside range [1950, Current-1]" promptTitle="Year (4 digits)" prompt="between 1950 and Current Year" sqref="C13" xr:uid="{00000000-0002-0000-0000-000001000000}">
      <formula1>YEAR(NOW())</formula1>
    </dataValidation>
    <dataValidation type="list" allowBlank="1" showInputMessage="1" showErrorMessage="1" errorTitle="Version reported" error="Select a valid option" promptTitle="Version reported" prompt="Final or preliminary" sqref="C17" xr:uid="{00000000-0002-0000-0000-000002000000}">
      <formula1>Version</formula1>
    </dataValidation>
    <dataValidation type="list" allowBlank="1" showInputMessage="1" showErrorMessage="1" sqref="R2" xr:uid="{00000000-0002-0000-0000-000003000000}">
      <formula1>"ENG,FRA,ESP"</formula1>
    </dataValidation>
    <dataValidation type="list" allowBlank="1" errorTitle="Reporting Flag name not defined" error="Select a valid Reporting Flag name" promptTitle="Reporting Flag names" prompt="Select from the list" sqref="C12:D12" xr:uid="{00000000-0002-0000-0000-000004000000}">
      <formula1>FlagName</formula1>
    </dataValidation>
    <dataValidation type="list" allowBlank="1" showInputMessage="1" showErrorMessage="1" sqref="C18:D18" xr:uid="{00000000-0002-0000-0000-000005000000}">
      <formula1>Content</formula1>
    </dataValidation>
    <dataValidation type="textLength" allowBlank="1" showInputMessage="1" showErrorMessage="1" sqref="M6:N6" xr:uid="{00000000-0002-0000-0000-000006000000}">
      <formula1>9</formula1>
      <formula2>9</formula2>
    </dataValidation>
    <dataValidation type="date" operator="greaterThanOrEqual" allowBlank="1" showInputMessage="1" showErrorMessage="1" sqref="M5:N5" xr:uid="{00000000-0002-0000-0000-000007000000}">
      <formula1>DATE(YEAR(NOW()),1,1)</formula1>
    </dataValidation>
    <dataValidation type="whole" allowBlank="1" showErrorMessage="1" errorTitle="Invalid year" error="Not between [from year] and Current Year" promptTitle="Year (4 digits)" prompt="between [From] and Current Year" sqref="E13" xr:uid="{2F13F03C-8E5A-41C1-BA1D-6488DE857B12}">
      <formula1>$C$13</formula1>
      <formula2>YEAR(NOW())</formula2>
    </dataValidation>
    <dataValidation type="list" allowBlank="1" showInputMessage="1" showErrorMessage="1" sqref="F26:F50" xr:uid="{00000000-0002-0000-0000-000008000000}">
      <formula1>FlagA3ISO</formula1>
    </dataValidation>
    <dataValidation type="decimal" allowBlank="1" showInputMessage="1" showErrorMessage="1" sqref="I26:I50" xr:uid="{00000000-0002-0000-0000-000009000000}">
      <formula1>0</formula1>
      <formula2>250</formula2>
    </dataValidation>
    <dataValidation type="decimal" allowBlank="1" showInputMessage="1" showErrorMessage="1" sqref="J26:J50" xr:uid="{00000000-0002-0000-0000-00000A000000}">
      <formula1>0</formula1>
      <formula2>10000</formula2>
    </dataValidation>
    <dataValidation type="whole" allowBlank="1" showInputMessage="1" showErrorMessage="1" sqref="N26:O50" xr:uid="{00000000-0002-0000-0000-00000B000000}">
      <formula1>0</formula1>
      <formula2>366</formula2>
    </dataValidation>
    <dataValidation type="date" operator="lessThanOrEqual" allowBlank="1" showInputMessage="1" showErrorMessage="1" sqref="U26:V50" xr:uid="{00000000-0002-0000-0000-00000C000000}">
      <formula1>DATE(YEAR(NOW())-1,12,31)</formula1>
    </dataValidation>
    <dataValidation type="decimal" operator="greaterThan" allowBlank="1" showInputMessage="1" showErrorMessage="1" sqref="X26:Y50 L26:L50" xr:uid="{00000000-0002-0000-0000-00000D000000}">
      <formula1>0</formula1>
    </dataValidation>
    <dataValidation type="list" allowBlank="1" showInputMessage="1" showErrorMessage="1" sqref="H26:H50" xr:uid="{00000000-0002-0000-0000-00000E000000}">
      <formula1>GearGrpCode</formula1>
    </dataValidation>
    <dataValidation type="list" allowBlank="1" showInputMessage="1" showErrorMessage="1" sqref="P26:T50" xr:uid="{00000000-0002-0000-0000-00000F000000}">
      <formula1>FisheryCodA</formula1>
    </dataValidation>
    <dataValidation type="list" allowBlank="1" showInputMessage="1" showErrorMessage="1" sqref="K26:K50" xr:uid="{00000000-0002-0000-0000-000010000000}">
      <formula1>TonTypeCode</formula1>
    </dataValidation>
    <dataValidation type="textLength" operator="lessThanOrEqual" allowBlank="1" showInputMessage="1" showErrorMessage="1" sqref="C26:C50" xr:uid="{00000000-0002-0000-0000-000012000000}">
      <formula1>7</formula1>
    </dataValidation>
    <dataValidation type="textLength" operator="lessThanOrEqual" allowBlank="1" showInputMessage="1" showErrorMessage="1" sqref="A26:A50" xr:uid="{00000000-0002-0000-0000-000011000000}">
      <formula1>13</formula1>
    </dataValidation>
    <dataValidation type="whole" allowBlank="1" showInputMessage="1" showErrorMessage="1" sqref="M26:M50" xr:uid="{E644CC18-FE65-405F-9785-7B69D553D848}">
      <formula1>$C$13</formula1>
      <formula2>$E$13</formula2>
    </dataValidation>
    <dataValidation type="textLength" allowBlank="1" showInputMessage="1" showErrorMessage="1" sqref="M7" xr:uid="{1553C512-19BA-4200-A498-10873FEDD10D}">
      <formula1>2</formula1>
      <formula2>2</formula2>
    </dataValidation>
    <dataValidation type="whole" allowBlank="1" showInputMessage="1" showErrorMessage="1" sqref="Q6:R8" xr:uid="{C10D1296-D8C3-4B89-BBA9-9FE75A425028}">
      <formula1>0</formula1>
      <formula2>1</formula2>
    </dataValidation>
    <dataValidation type="whole" operator="greaterThan" allowBlank="1" showInputMessage="1" showErrorMessage="1" sqref="W26:W50" xr:uid="{FF691718-BCDE-43A8-AC97-7BC84161DFD7}">
      <formula1>0</formula1>
    </dataValidation>
    <dataValidation type="whole" allowBlank="1" showInputMessage="1" showErrorMessage="1" sqref="D26:D50" xr:uid="{9FFF1CA5-F4C3-4936-8285-D3586C7D8309}">
      <formula1>0</formula1>
      <formula2>9999999</formula2>
    </dataValidation>
  </dataValidations>
  <hyperlinks>
    <hyperlink ref="A12:B12" location="FlagName" display="FlagName" xr:uid="{00000000-0004-0000-0000-000001000000}"/>
    <hyperlink ref="F9" location="FlagName" display="FlagName" xr:uid="{00000000-0004-0000-0000-000002000000}"/>
    <hyperlink ref="P4:R4" location="filters!A1" display="filters!A1" xr:uid="{00000000-0004-0000-0000-000005000000}"/>
    <hyperlink ref="G16" location="ST01B!A1" display="ST01B!A1" xr:uid="{00000000-0004-0000-0000-000006000000}"/>
    <hyperlink ref="G16:G18" location="ST01B!A19" display="ST01B!A19" xr:uid="{00000000-0004-0000-0000-000007000000}"/>
    <hyperlink ref="P22:Q22" location="FisheryCodeA" display="FisheryCodeA" xr:uid="{00000000-0004-0000-0000-000008000000}"/>
    <hyperlink ref="P22:S22" location="FisheryCodA" display="FisheryCodA" xr:uid="{00000000-0004-0000-0000-00000A000000}"/>
    <hyperlink ref="F23" location="FlagA3ISO" display="FlagA3ISO" xr:uid="{00000000-0004-0000-0000-000000000000}"/>
    <hyperlink ref="G23" location="PortsZones" display="PortsZones" xr:uid="{34D1E7AA-78C0-4C6A-9835-2C1D1A7172B9}"/>
    <hyperlink ref="H23" location="GearGrpCode" display="GearGrpCode" xr:uid="{6C642700-A749-4C63-B71A-E92BEA718CA0}"/>
  </hyperlinks>
  <pageMargins left="0.39370078740157483" right="0.39370078740157483" top="0.39370078740157483" bottom="0.39370078740157483" header="0.31496062992125984" footer="0.31496062992125984"/>
  <pageSetup paperSize="9" scale="67" orientation="landscape" r:id="rId1"/>
  <headerFooter alignWithMargins="0"/>
  <ignoredErrors>
    <ignoredError sqref="L24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00B0F0"/>
  </sheetPr>
  <dimension ref="A1:O40"/>
  <sheetViews>
    <sheetView zoomScaleNormal="100" workbookViewId="0">
      <selection activeCell="A19" sqref="A19"/>
    </sheetView>
  </sheetViews>
  <sheetFormatPr defaultColWidth="10.84375" defaultRowHeight="12.45" x14ac:dyDescent="0.3"/>
  <cols>
    <col min="1" max="1" width="11.765625" style="13" bestFit="1" customWidth="1"/>
    <col min="2" max="2" width="19.4609375" style="13" bestFit="1" customWidth="1"/>
    <col min="3" max="3" width="13.23046875" style="13" customWidth="1"/>
    <col min="4" max="4" width="30.765625" style="13" customWidth="1"/>
    <col min="5" max="6" width="9.23046875" style="13" customWidth="1"/>
    <col min="7" max="7" width="12.84375" style="13" bestFit="1" customWidth="1"/>
    <col min="8" max="8" width="9.23046875" style="13" customWidth="1"/>
    <col min="9" max="10" width="10.765625" style="13" customWidth="1"/>
    <col min="11" max="15" width="8.765625" style="13" customWidth="1"/>
    <col min="16" max="16384" width="10.84375" style="13"/>
  </cols>
  <sheetData>
    <row r="1" spans="1:15" s="10" customFormat="1" ht="19.75" x14ac:dyDescent="0.3">
      <c r="A1" s="268" t="str">
        <f>ST01A!A1</f>
        <v>ST01-T1FC</v>
      </c>
      <c r="B1" s="269"/>
      <c r="C1" s="285" t="str">
        <f>ST01A!C1</f>
        <v>TASK 1 - FLEET CHARACTERISTICS</v>
      </c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" t="str">
        <f>ST01A!Q1</f>
        <v>Version</v>
      </c>
      <c r="O1" s="3" t="str">
        <f>ST01A!R1</f>
        <v>Language</v>
      </c>
    </row>
    <row r="2" spans="1:15" s="10" customFormat="1" x14ac:dyDescent="0.3">
      <c r="A2" s="270"/>
      <c r="B2" s="271"/>
      <c r="C2" s="343" t="str">
        <f>ST01A!C2</f>
        <v>ICCAT: INTERNATIONAL COMMISSION FOR THE CONSERVATION OF ATLANTIC TUNAS</v>
      </c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8" t="str">
        <f>ST01A!Q2</f>
        <v>2024a</v>
      </c>
      <c r="O2" s="9" t="str">
        <f>ST01A!R2</f>
        <v>ENG</v>
      </c>
    </row>
    <row r="3" spans="1:15" s="10" customFormat="1" ht="5.6" customHeight="1" x14ac:dyDescent="0.3">
      <c r="A3" s="344"/>
      <c r="B3" s="344"/>
      <c r="C3" s="344"/>
      <c r="D3" s="344"/>
      <c r="E3" s="344"/>
      <c r="F3" s="344"/>
      <c r="G3" s="344"/>
      <c r="H3" s="344"/>
      <c r="I3" s="11"/>
      <c r="J3" s="11"/>
      <c r="K3" s="11"/>
      <c r="L3" s="11"/>
      <c r="M3" s="11"/>
      <c r="N3" s="11"/>
      <c r="O3" s="11"/>
    </row>
    <row r="4" spans="1:15" s="98" customFormat="1" ht="10.75" x14ac:dyDescent="0.3">
      <c r="A4" s="257" t="str">
        <f>ST01A!A11</f>
        <v>Data set characteristics</v>
      </c>
      <c r="B4" s="258"/>
      <c r="C4" s="258"/>
      <c r="D4" s="258"/>
      <c r="E4" s="258"/>
      <c r="F4" s="258"/>
      <c r="G4" s="258"/>
      <c r="H4" s="258"/>
      <c r="I4" s="258"/>
      <c r="J4" s="137"/>
      <c r="K4" s="104"/>
      <c r="L4" s="138"/>
      <c r="M4" s="138"/>
      <c r="N4" s="138"/>
      <c r="O4" s="139"/>
    </row>
    <row r="5" spans="1:15" s="98" customFormat="1" ht="10.75" x14ac:dyDescent="0.3">
      <c r="A5" s="345" t="str">
        <f>ST01A!A12</f>
        <v>Reporting Flag</v>
      </c>
      <c r="B5" s="346"/>
      <c r="C5" s="337" t="str">
        <f>IF(LEN(ST01A!C12)&gt;0,ST01A!C12,"")</f>
        <v/>
      </c>
      <c r="D5" s="337"/>
      <c r="E5" s="134"/>
      <c r="F5" s="342" t="str">
        <f>VLOOKUP("H31",tblTranslation[],LangFieldID,FALSE)</f>
        <v>Sub-form / Description</v>
      </c>
      <c r="G5" s="342"/>
      <c r="H5" s="342"/>
      <c r="I5" s="342"/>
      <c r="J5" s="342"/>
      <c r="K5" s="342"/>
      <c r="L5" s="159"/>
      <c r="M5" s="159"/>
      <c r="N5" s="134"/>
      <c r="O5" s="141"/>
    </row>
    <row r="6" spans="1:15" s="98" customFormat="1" ht="12.15" customHeight="1" x14ac:dyDescent="0.3">
      <c r="A6" s="249" t="str">
        <f>ST01A!A13&amp;" / "&amp;ST01A!D13</f>
        <v>Years covered (from) / (to)</v>
      </c>
      <c r="B6" s="250"/>
      <c r="C6" s="214" t="str">
        <f>IF(LEN(ST01A!C13)&gt;0,ST01A!C13&amp; " / " &amp; ST01A!E13,"")</f>
        <v/>
      </c>
      <c r="D6" s="214"/>
      <c r="E6" s="134"/>
      <c r="F6" s="265" t="str">
        <f>VLOOKUP("T03",tblTranslation[],LangFieldID,FALSE)</f>
        <v>ST01A (by Vessel)</v>
      </c>
      <c r="G6" s="313" t="str">
        <f>VLOOKUP("T03",tblTranslation[],LangNameID,FALSE)</f>
        <v>Individual fishing vessels with positive effort (active) in any of the ICCAT fisheries</v>
      </c>
      <c r="H6" s="313"/>
      <c r="I6" s="313"/>
      <c r="J6" s="313"/>
      <c r="K6" s="314"/>
      <c r="L6" s="160"/>
      <c r="M6" s="160"/>
      <c r="N6" s="134"/>
      <c r="O6" s="141"/>
    </row>
    <row r="7" spans="1:15" s="98" customFormat="1" ht="12.15" customHeight="1" x14ac:dyDescent="0.3">
      <c r="A7" s="134"/>
      <c r="B7" s="134"/>
      <c r="C7" s="134"/>
      <c r="D7" s="134"/>
      <c r="E7" s="134"/>
      <c r="F7" s="266"/>
      <c r="G7" s="315"/>
      <c r="H7" s="315"/>
      <c r="I7" s="315"/>
      <c r="J7" s="315"/>
      <c r="K7" s="316"/>
      <c r="L7" s="160"/>
      <c r="M7" s="160"/>
      <c r="N7" s="134"/>
      <c r="O7" s="141"/>
    </row>
    <row r="8" spans="1:15" s="98" customFormat="1" ht="12.15" customHeight="1" x14ac:dyDescent="0.3">
      <c r="A8" s="249" t="str">
        <f>ST01A!A17</f>
        <v>Version reported</v>
      </c>
      <c r="B8" s="250"/>
      <c r="C8" s="337" t="str">
        <f>IF(LEN(ST01A!C17),ST01A!C17,"")</f>
        <v/>
      </c>
      <c r="D8" s="337"/>
      <c r="E8" s="134"/>
      <c r="F8" s="341"/>
      <c r="G8" s="317"/>
      <c r="H8" s="317"/>
      <c r="I8" s="317"/>
      <c r="J8" s="317"/>
      <c r="K8" s="318"/>
      <c r="L8" s="160"/>
      <c r="M8" s="160"/>
      <c r="N8" s="134"/>
      <c r="O8" s="141"/>
    </row>
    <row r="9" spans="1:15" s="98" customFormat="1" ht="12.15" customHeight="1" x14ac:dyDescent="0.3">
      <c r="A9" s="249" t="str">
        <f>ST01A!A18</f>
        <v>Content (data)</v>
      </c>
      <c r="B9" s="250"/>
      <c r="C9" s="337" t="str">
        <f>IF(LEN(ST01A!C18),ST01A!C18,"")</f>
        <v/>
      </c>
      <c r="D9" s="337"/>
      <c r="E9" s="134"/>
      <c r="F9" s="338" t="str">
        <f>VLOOKUP("T04",tblTranslation[],LangFieldID,FALSE)</f>
        <v>ST01B (by Fleet) 
OPTIONAL</v>
      </c>
      <c r="G9" s="331" t="str">
        <f>VLOOKUP("T04",tblTranslation[],LangNameID,FALSE)</f>
        <v>SMALL SCALE (LOA &lt;20 m) active fishing vessels ONLY: fleet component summaries not fishing for BFT-E or SWO-M</v>
      </c>
      <c r="H9" s="331"/>
      <c r="I9" s="331"/>
      <c r="J9" s="331"/>
      <c r="K9" s="332"/>
      <c r="L9" s="140"/>
      <c r="M9" s="140"/>
      <c r="N9" s="134"/>
      <c r="O9" s="141"/>
    </row>
    <row r="10" spans="1:15" s="98" customFormat="1" ht="12.15" customHeight="1" x14ac:dyDescent="0.3">
      <c r="A10" s="213"/>
      <c r="B10" s="205"/>
      <c r="C10" s="142"/>
      <c r="D10" s="142"/>
      <c r="E10" s="134"/>
      <c r="F10" s="339"/>
      <c r="G10" s="333"/>
      <c r="H10" s="333"/>
      <c r="I10" s="333"/>
      <c r="J10" s="333"/>
      <c r="K10" s="334"/>
      <c r="L10" s="140"/>
      <c r="M10" s="140"/>
      <c r="N10" s="134"/>
      <c r="O10" s="141"/>
    </row>
    <row r="11" spans="1:15" s="98" customFormat="1" ht="12.15" customHeight="1" x14ac:dyDescent="0.3">
      <c r="A11" s="87"/>
      <c r="B11" s="205"/>
      <c r="C11" s="205"/>
      <c r="D11" s="205"/>
      <c r="E11" s="134"/>
      <c r="F11" s="340"/>
      <c r="G11" s="335"/>
      <c r="H11" s="335"/>
      <c r="I11" s="335"/>
      <c r="J11" s="335"/>
      <c r="K11" s="336"/>
      <c r="L11" s="140"/>
      <c r="M11" s="140"/>
      <c r="N11" s="134"/>
      <c r="O11" s="141"/>
    </row>
    <row r="12" spans="1:15" s="98" customFormat="1" ht="10.75" x14ac:dyDescent="0.3">
      <c r="A12" s="89"/>
      <c r="B12" s="94"/>
      <c r="C12" s="94"/>
      <c r="D12" s="94"/>
      <c r="E12" s="143"/>
      <c r="F12" s="144"/>
      <c r="G12" s="144"/>
      <c r="H12" s="144"/>
      <c r="I12" s="144"/>
      <c r="J12" s="145"/>
      <c r="K12" s="212"/>
      <c r="L12" s="146"/>
      <c r="M12" s="146"/>
      <c r="N12" s="146"/>
      <c r="O12" s="147"/>
    </row>
    <row r="13" spans="1:15" s="98" customFormat="1" ht="10.75" x14ac:dyDescent="0.3"/>
    <row r="14" spans="1:15" s="62" customFormat="1" ht="12.15" customHeight="1" x14ac:dyDescent="0.3">
      <c r="A14" s="330" t="str">
        <f>VLOOKUP("D10b",tblTranslation[],LangFieldID,FALSE)</f>
        <v>Fleet attributes (small scale vessels ONLY)</v>
      </c>
      <c r="B14" s="330"/>
      <c r="C14" s="330"/>
      <c r="D14" s="330"/>
      <c r="E14" s="330"/>
      <c r="F14" s="330"/>
      <c r="G14" s="330"/>
      <c r="H14" s="327" t="str">
        <f>VLOOKUP("D20b",tblTranslation[],LangFieldID,FALSE)</f>
        <v>Fleet (small-scale) activity in ICCAT Fisheries</v>
      </c>
      <c r="I14" s="328"/>
      <c r="J14" s="328"/>
      <c r="K14" s="328"/>
      <c r="L14" s="328"/>
      <c r="M14" s="328"/>
      <c r="N14" s="328"/>
      <c r="O14" s="329"/>
    </row>
    <row r="15" spans="1:15" s="62" customFormat="1" ht="12.15" customHeight="1" x14ac:dyDescent="0.3">
      <c r="A15" s="319" t="str">
        <f>VLOOKUP("D12b",tblTranslation[],LangFieldID,FALSE)</f>
        <v>Fleet ID</v>
      </c>
      <c r="B15" s="320"/>
      <c r="C15" s="320"/>
      <c r="D15" s="321"/>
      <c r="E15" s="319" t="str">
        <f>VLOOKUP("D13b",tblTranslation[],LangFieldID,FALSE)</f>
        <v>Other attributes</v>
      </c>
      <c r="F15" s="320"/>
      <c r="G15" s="321"/>
      <c r="H15" s="130" t="str">
        <f>VLOOKUP("D21b",tblTranslation[],LangFieldID,FALSE)</f>
        <v>Period</v>
      </c>
      <c r="I15" s="325" t="str">
        <f>VLOOKUP("D22b",tblTranslation[],LangFieldID,FALSE)</f>
        <v>Total effort</v>
      </c>
      <c r="J15" s="326"/>
      <c r="K15" s="322" t="str">
        <f>VLOOKUP("D23b",tblTranslation[],LangFieldID,FALSE)</f>
        <v>Fisheries (activity, 1 or +)</v>
      </c>
      <c r="L15" s="323"/>
      <c r="M15" s="323"/>
      <c r="N15" s="323"/>
      <c r="O15" s="324"/>
    </row>
    <row r="16" spans="1:15" s="62" customFormat="1" ht="21.45" x14ac:dyDescent="0.3">
      <c r="A16" s="114" t="str">
        <f>VLOOKUP(A$18,tblTranslation[],LangFieldID,FALSE)</f>
        <v>Flag of Vessel (cod)</v>
      </c>
      <c r="B16" s="114" t="str">
        <f>VLOOKUP(B$18,tblTranslation[],LangFieldID,FALSE)</f>
        <v xml:space="preserve">Fleet suffix </v>
      </c>
      <c r="C16" s="204" t="str">
        <f>VLOOKUP(C$18,tblTranslation[],LangFieldID,FALSE)</f>
        <v>Gear group (cod)</v>
      </c>
      <c r="D16" s="131" t="str">
        <f>VLOOKUP(D$18,tblTranslation[],LangFieldID,FALSE)</f>
        <v>Fleet description</v>
      </c>
      <c r="E16" s="204" t="str">
        <f>VLOOKUP(E$18,tblTranslation[],LangFieldID,FALSE)</f>
        <v>LOA class code (m)</v>
      </c>
      <c r="F16" s="204" t="str">
        <f>VLOOKUP(F$18,tblTranslation[],LangFieldID,FALSE)</f>
        <v>GRT class code (t)</v>
      </c>
      <c r="G16" s="131" t="str">
        <f>VLOOKUP(G$18,tblTranslation[],LangFieldID,FALSE)</f>
        <v>No. Vessels</v>
      </c>
      <c r="H16" s="132" t="str">
        <f>VLOOKUP(H$18,tblTranslation[],LangFieldID,FALSE)</f>
        <v>Year (calendar)</v>
      </c>
      <c r="I16" s="121" t="str">
        <f>VLOOKUP(I$18,tblTranslation[],LangFieldID,FALSE)</f>
        <v>Fishing days (fleet, ATL)</v>
      </c>
      <c r="J16" s="121" t="str">
        <f>VLOOKUP(J$18,tblTranslation[],LangFieldID,FALSE)</f>
        <v>Fishing days (fleet, MED)</v>
      </c>
      <c r="K16" s="122" t="str">
        <f>VLOOKUP(K$18,tblTranslation[],LangFieldID,FALSE)</f>
        <v>Fishery 1 (cod)</v>
      </c>
      <c r="L16" s="122" t="str">
        <f>VLOOKUP(L$18,tblTranslation[],LangFieldID,FALSE)</f>
        <v>Fishery 2 (cod)</v>
      </c>
      <c r="M16" s="122" t="str">
        <f>VLOOKUP(M$18,tblTranslation[],LangFieldID,FALSE)</f>
        <v>Fishery 3 (cod)</v>
      </c>
      <c r="N16" s="122" t="str">
        <f>VLOOKUP(N$18,tblTranslation[],LangFieldID,FALSE)</f>
        <v>Fishery 4 (cod)</v>
      </c>
      <c r="O16" s="122" t="str">
        <f>VLOOKUP(O$18,tblTranslation[],LangFieldID,FALSE)</f>
        <v>Fishery 5 (cod)</v>
      </c>
    </row>
    <row r="17" spans="1:15" s="98" customFormat="1" ht="10.75" x14ac:dyDescent="0.3">
      <c r="A17" s="99" t="str">
        <f>REPT("+",6)</f>
        <v>++++++</v>
      </c>
      <c r="B17" s="99" t="str">
        <f>REPT("+",18)</f>
        <v>++++++++++++++++++</v>
      </c>
      <c r="C17" s="100" t="str">
        <f>REPT("+",6)</f>
        <v>++++++</v>
      </c>
      <c r="D17" s="100" t="str">
        <f>REPT("+",40)</f>
        <v>++++++++++++++++++++++++++++++++++++++++</v>
      </c>
      <c r="E17" s="100" t="str">
        <f t="shared" ref="E17:H17" si="0">REPT("+",6)</f>
        <v>++++++</v>
      </c>
      <c r="F17" s="100" t="str">
        <f t="shared" si="0"/>
        <v>++++++</v>
      </c>
      <c r="G17" s="100" t="str">
        <f t="shared" si="0"/>
        <v>++++++</v>
      </c>
      <c r="H17" s="99" t="str">
        <f t="shared" si="0"/>
        <v>++++++</v>
      </c>
      <c r="I17" s="100" t="str">
        <f>REPT("+",8)</f>
        <v>++++++++</v>
      </c>
      <c r="J17" s="100" t="str">
        <f>REPT("+",6)</f>
        <v>++++++</v>
      </c>
      <c r="K17" s="100" t="str">
        <f t="shared" ref="K17:N17" si="1">REPT("+",6)</f>
        <v>++++++</v>
      </c>
      <c r="L17" s="100" t="str">
        <f t="shared" si="1"/>
        <v>++++++</v>
      </c>
      <c r="M17" s="100" t="str">
        <f t="shared" si="1"/>
        <v>++++++</v>
      </c>
      <c r="N17" s="100" t="str">
        <f t="shared" si="1"/>
        <v>++++++</v>
      </c>
    </row>
    <row r="18" spans="1:15" s="98" customFormat="1" ht="10.75" x14ac:dyDescent="0.3">
      <c r="A18" s="133" t="s">
        <v>1010</v>
      </c>
      <c r="B18" s="133" t="s">
        <v>1300</v>
      </c>
      <c r="C18" s="134" t="s">
        <v>1011</v>
      </c>
      <c r="D18" s="134" t="s">
        <v>1012</v>
      </c>
      <c r="E18" s="134" t="s">
        <v>1013</v>
      </c>
      <c r="F18" s="134" t="s">
        <v>1014</v>
      </c>
      <c r="G18" s="134" t="s">
        <v>708</v>
      </c>
      <c r="H18" s="120" t="s">
        <v>1022</v>
      </c>
      <c r="I18" s="135" t="s">
        <v>1015</v>
      </c>
      <c r="J18" s="135" t="s">
        <v>1016</v>
      </c>
      <c r="K18" s="136" t="s">
        <v>1017</v>
      </c>
      <c r="L18" s="136" t="s">
        <v>1018</v>
      </c>
      <c r="M18" s="136" t="s">
        <v>1019</v>
      </c>
      <c r="N18" s="136" t="s">
        <v>1020</v>
      </c>
      <c r="O18" s="136" t="s">
        <v>1021</v>
      </c>
    </row>
    <row r="19" spans="1:15" s="12" customFormat="1" ht="12" x14ac:dyDescent="0.35">
      <c r="A19" s="191"/>
      <c r="B19" s="191"/>
      <c r="C19" s="192"/>
      <c r="D19" s="192"/>
      <c r="E19" s="192"/>
      <c r="F19" s="192"/>
      <c r="G19" s="193"/>
      <c r="H19" s="194"/>
      <c r="I19" s="195"/>
      <c r="J19" s="196"/>
      <c r="K19" s="197"/>
      <c r="L19" s="198"/>
      <c r="M19" s="198"/>
      <c r="N19" s="198"/>
      <c r="O19" s="191"/>
    </row>
    <row r="20" spans="1:15" s="12" customFormat="1" ht="12" x14ac:dyDescent="0.35">
      <c r="A20" s="191"/>
      <c r="B20" s="191"/>
      <c r="C20" s="192"/>
      <c r="D20" s="192"/>
      <c r="E20" s="192"/>
      <c r="F20" s="192"/>
      <c r="G20" s="193"/>
      <c r="H20" s="199"/>
      <c r="I20" s="200"/>
      <c r="J20" s="196"/>
      <c r="K20" s="201"/>
      <c r="L20" s="198"/>
      <c r="M20" s="198"/>
      <c r="N20" s="198"/>
      <c r="O20" s="191"/>
    </row>
    <row r="21" spans="1:15" s="12" customFormat="1" ht="12" x14ac:dyDescent="0.35">
      <c r="A21" s="191"/>
      <c r="B21" s="191"/>
      <c r="C21" s="192"/>
      <c r="D21" s="192"/>
      <c r="E21" s="192"/>
      <c r="F21" s="192"/>
      <c r="G21" s="193"/>
      <c r="H21" s="199"/>
      <c r="I21" s="200"/>
      <c r="J21" s="196"/>
      <c r="K21" s="201"/>
      <c r="L21" s="198"/>
      <c r="M21" s="198"/>
      <c r="N21" s="198"/>
      <c r="O21" s="191"/>
    </row>
    <row r="22" spans="1:15" s="12" customFormat="1" ht="12" x14ac:dyDescent="0.35">
      <c r="A22" s="191"/>
      <c r="B22" s="191"/>
      <c r="C22" s="192"/>
      <c r="D22" s="192"/>
      <c r="E22" s="192"/>
      <c r="F22" s="192"/>
      <c r="G22" s="193"/>
      <c r="H22" s="199"/>
      <c r="I22" s="200"/>
      <c r="J22" s="196"/>
      <c r="K22" s="201"/>
      <c r="L22" s="198"/>
      <c r="M22" s="198"/>
      <c r="N22" s="198"/>
      <c r="O22" s="191"/>
    </row>
    <row r="23" spans="1:15" s="12" customFormat="1" ht="12" x14ac:dyDescent="0.35">
      <c r="A23" s="191"/>
      <c r="B23" s="191"/>
      <c r="C23" s="192"/>
      <c r="D23" s="192"/>
      <c r="E23" s="192"/>
      <c r="F23" s="192"/>
      <c r="G23" s="193"/>
      <c r="H23" s="199"/>
      <c r="I23" s="200"/>
      <c r="J23" s="196"/>
      <c r="K23" s="202"/>
      <c r="L23" s="203"/>
      <c r="M23" s="203"/>
      <c r="N23" s="203"/>
      <c r="O23" s="203"/>
    </row>
    <row r="24" spans="1:15" s="12" customFormat="1" ht="12" x14ac:dyDescent="0.35">
      <c r="A24" s="191"/>
      <c r="B24" s="191"/>
      <c r="C24" s="192"/>
      <c r="D24" s="192"/>
      <c r="E24" s="192"/>
      <c r="F24" s="192"/>
      <c r="G24" s="193"/>
      <c r="H24" s="199"/>
      <c r="I24" s="200"/>
      <c r="J24" s="196"/>
      <c r="K24" s="202"/>
      <c r="L24" s="203"/>
      <c r="M24" s="203"/>
      <c r="N24" s="203"/>
      <c r="O24" s="203"/>
    </row>
    <row r="25" spans="1:15" s="12" customFormat="1" ht="12" x14ac:dyDescent="0.35">
      <c r="A25" s="191"/>
      <c r="B25" s="191"/>
      <c r="C25" s="192"/>
      <c r="D25" s="192"/>
      <c r="E25" s="192"/>
      <c r="F25" s="192"/>
      <c r="G25" s="193"/>
      <c r="H25" s="199"/>
      <c r="I25" s="200"/>
      <c r="J25" s="196"/>
      <c r="K25" s="202"/>
      <c r="L25" s="203"/>
      <c r="M25" s="203"/>
      <c r="N25" s="203"/>
      <c r="O25" s="203"/>
    </row>
    <row r="26" spans="1:15" s="12" customFormat="1" ht="12" x14ac:dyDescent="0.35">
      <c r="A26" s="191"/>
      <c r="B26" s="191"/>
      <c r="C26" s="192"/>
      <c r="D26" s="192"/>
      <c r="E26" s="192"/>
      <c r="F26" s="192"/>
      <c r="G26" s="193"/>
      <c r="H26" s="199"/>
      <c r="I26" s="200"/>
      <c r="J26" s="196"/>
      <c r="K26" s="202"/>
      <c r="L26" s="203"/>
      <c r="M26" s="203"/>
      <c r="N26" s="203"/>
      <c r="O26" s="203"/>
    </row>
    <row r="27" spans="1:15" s="12" customFormat="1" ht="12" x14ac:dyDescent="0.35">
      <c r="A27" s="191"/>
      <c r="B27" s="191"/>
      <c r="C27" s="192"/>
      <c r="D27" s="192"/>
      <c r="E27" s="192"/>
      <c r="F27" s="192"/>
      <c r="G27" s="193"/>
      <c r="H27" s="199"/>
      <c r="I27" s="200"/>
      <c r="J27" s="196"/>
      <c r="K27" s="202"/>
      <c r="L27" s="203"/>
      <c r="M27" s="203"/>
      <c r="N27" s="203"/>
      <c r="O27" s="203"/>
    </row>
    <row r="28" spans="1:15" s="12" customFormat="1" ht="12" x14ac:dyDescent="0.35">
      <c r="A28" s="191"/>
      <c r="B28" s="191"/>
      <c r="C28" s="192"/>
      <c r="D28" s="192"/>
      <c r="E28" s="192"/>
      <c r="F28" s="192"/>
      <c r="G28" s="193"/>
      <c r="H28" s="199"/>
      <c r="I28" s="200"/>
      <c r="J28" s="196"/>
      <c r="K28" s="202"/>
      <c r="L28" s="203"/>
      <c r="M28" s="203"/>
      <c r="N28" s="203"/>
      <c r="O28" s="203"/>
    </row>
    <row r="29" spans="1:15" s="12" customFormat="1" ht="12" x14ac:dyDescent="0.35">
      <c r="A29" s="191"/>
      <c r="B29" s="191"/>
      <c r="C29" s="192"/>
      <c r="D29" s="192"/>
      <c r="E29" s="192"/>
      <c r="F29" s="192"/>
      <c r="G29" s="193"/>
      <c r="H29" s="199"/>
      <c r="I29" s="200"/>
      <c r="J29" s="196"/>
      <c r="K29" s="202"/>
      <c r="L29" s="203"/>
      <c r="M29" s="203"/>
      <c r="N29" s="203"/>
      <c r="O29" s="203"/>
    </row>
    <row r="30" spans="1:15" s="12" customFormat="1" ht="12" x14ac:dyDescent="0.35">
      <c r="A30" s="191"/>
      <c r="B30" s="191"/>
      <c r="C30" s="192"/>
      <c r="D30" s="192"/>
      <c r="E30" s="192"/>
      <c r="F30" s="192"/>
      <c r="G30" s="193"/>
      <c r="H30" s="199"/>
      <c r="I30" s="200"/>
      <c r="J30" s="196"/>
      <c r="K30" s="202"/>
      <c r="L30" s="203"/>
      <c r="M30" s="203"/>
      <c r="N30" s="203"/>
      <c r="O30" s="203"/>
    </row>
    <row r="31" spans="1:15" s="12" customFormat="1" ht="12" x14ac:dyDescent="0.35">
      <c r="A31" s="191"/>
      <c r="B31" s="191"/>
      <c r="C31" s="192"/>
      <c r="D31" s="192"/>
      <c r="E31" s="192"/>
      <c r="F31" s="192"/>
      <c r="G31" s="193"/>
      <c r="H31" s="199"/>
      <c r="I31" s="200"/>
      <c r="J31" s="196"/>
      <c r="K31" s="202"/>
      <c r="L31" s="203"/>
      <c r="M31" s="203"/>
      <c r="N31" s="203"/>
      <c r="O31" s="203"/>
    </row>
    <row r="32" spans="1:15" s="12" customFormat="1" ht="12" x14ac:dyDescent="0.35">
      <c r="A32" s="191"/>
      <c r="B32" s="191"/>
      <c r="C32" s="192"/>
      <c r="D32" s="192"/>
      <c r="E32" s="192"/>
      <c r="F32" s="192"/>
      <c r="G32" s="193"/>
      <c r="H32" s="199"/>
      <c r="I32" s="200"/>
      <c r="J32" s="196"/>
      <c r="K32" s="202"/>
      <c r="L32" s="203"/>
      <c r="M32" s="203"/>
      <c r="N32" s="203"/>
      <c r="O32" s="203"/>
    </row>
    <row r="33" spans="1:15" s="12" customFormat="1" ht="12" x14ac:dyDescent="0.35">
      <c r="A33" s="191"/>
      <c r="B33" s="191"/>
      <c r="C33" s="192"/>
      <c r="D33" s="192"/>
      <c r="E33" s="192"/>
      <c r="F33" s="192"/>
      <c r="G33" s="193"/>
      <c r="H33" s="199"/>
      <c r="I33" s="200"/>
      <c r="J33" s="196"/>
      <c r="K33" s="202"/>
      <c r="L33" s="203"/>
      <c r="M33" s="203"/>
      <c r="N33" s="203"/>
      <c r="O33" s="203"/>
    </row>
    <row r="34" spans="1:15" s="12" customFormat="1" ht="12" x14ac:dyDescent="0.35">
      <c r="A34" s="191"/>
      <c r="B34" s="191"/>
      <c r="C34" s="192"/>
      <c r="D34" s="192"/>
      <c r="E34" s="192"/>
      <c r="F34" s="192"/>
      <c r="G34" s="193"/>
      <c r="H34" s="199"/>
      <c r="I34" s="200"/>
      <c r="J34" s="196"/>
      <c r="K34" s="202"/>
      <c r="L34" s="203"/>
      <c r="M34" s="203"/>
      <c r="N34" s="203"/>
      <c r="O34" s="203"/>
    </row>
    <row r="35" spans="1:15" s="12" customFormat="1" ht="12" x14ac:dyDescent="0.35">
      <c r="A35" s="191"/>
      <c r="B35" s="191"/>
      <c r="C35" s="192"/>
      <c r="D35" s="192"/>
      <c r="E35" s="192"/>
      <c r="F35" s="192"/>
      <c r="G35" s="193"/>
      <c r="H35" s="199"/>
      <c r="I35" s="200"/>
      <c r="J35" s="196"/>
      <c r="K35" s="202"/>
      <c r="L35" s="203"/>
      <c r="M35" s="203"/>
      <c r="N35" s="203"/>
      <c r="O35" s="203"/>
    </row>
    <row r="36" spans="1:15" s="12" customFormat="1" ht="12" x14ac:dyDescent="0.35">
      <c r="A36" s="191"/>
      <c r="B36" s="191"/>
      <c r="C36" s="192"/>
      <c r="D36" s="192"/>
      <c r="E36" s="192"/>
      <c r="F36" s="192"/>
      <c r="G36" s="193"/>
      <c r="H36" s="199"/>
      <c r="I36" s="200"/>
      <c r="J36" s="196"/>
      <c r="K36" s="202"/>
      <c r="L36" s="203"/>
      <c r="M36" s="203"/>
      <c r="N36" s="203"/>
      <c r="O36" s="203"/>
    </row>
    <row r="37" spans="1:15" s="12" customFormat="1" ht="12" x14ac:dyDescent="0.35">
      <c r="A37" s="191"/>
      <c r="B37" s="191"/>
      <c r="C37" s="192"/>
      <c r="D37" s="192"/>
      <c r="E37" s="192"/>
      <c r="F37" s="192"/>
      <c r="G37" s="193"/>
      <c r="H37" s="199"/>
      <c r="I37" s="200"/>
      <c r="J37" s="196"/>
      <c r="K37" s="202"/>
      <c r="L37" s="203"/>
      <c r="M37" s="203"/>
      <c r="N37" s="203"/>
      <c r="O37" s="203"/>
    </row>
    <row r="38" spans="1:15" s="12" customFormat="1" ht="12" x14ac:dyDescent="0.35">
      <c r="A38" s="191"/>
      <c r="B38" s="191"/>
      <c r="C38" s="192"/>
      <c r="D38" s="192"/>
      <c r="E38" s="192"/>
      <c r="F38" s="192"/>
      <c r="G38" s="193"/>
      <c r="H38" s="199"/>
      <c r="I38" s="200"/>
      <c r="J38" s="196"/>
      <c r="K38" s="202"/>
      <c r="L38" s="203"/>
      <c r="M38" s="203"/>
      <c r="N38" s="203"/>
      <c r="O38" s="203"/>
    </row>
    <row r="39" spans="1:15" s="12" customFormat="1" ht="12" x14ac:dyDescent="0.35">
      <c r="A39" s="191"/>
      <c r="B39" s="191"/>
      <c r="C39" s="192"/>
      <c r="D39" s="192"/>
      <c r="E39" s="192"/>
      <c r="F39" s="192"/>
      <c r="G39" s="193"/>
      <c r="H39" s="199"/>
      <c r="I39" s="200"/>
      <c r="J39" s="196"/>
      <c r="K39" s="202"/>
      <c r="L39" s="203"/>
      <c r="M39" s="203"/>
      <c r="N39" s="203"/>
      <c r="O39" s="203"/>
    </row>
    <row r="40" spans="1:15" s="12" customFormat="1" ht="12" x14ac:dyDescent="0.35">
      <c r="A40" s="191"/>
      <c r="B40" s="191"/>
      <c r="C40" s="192"/>
      <c r="D40" s="192"/>
      <c r="E40" s="192"/>
      <c r="F40" s="192"/>
      <c r="G40" s="193"/>
      <c r="H40" s="199"/>
      <c r="I40" s="200"/>
      <c r="J40" s="196"/>
      <c r="K40" s="202"/>
      <c r="L40" s="203"/>
      <c r="M40" s="203"/>
      <c r="N40" s="203"/>
      <c r="O40" s="203"/>
    </row>
  </sheetData>
  <sheetProtection algorithmName="SHA-512" hashValue="ZYtKXu8VbxjcUavPROJdYpmg65pMQ2b+qrL0FxxV/g1Yt1cUnR4M3pzHiN72TlWYKEv52UbLbJjMKy2wvW6FRQ==" saltValue="v8yaWU5oXJI8fGdgPrSZyw==" spinCount="100000" sheet="1" formatCells="0" formatRows="0" insertRows="0" deleteRows="0" autoFilter="0"/>
  <mergeCells count="23">
    <mergeCell ref="F5:K5"/>
    <mergeCell ref="C1:M1"/>
    <mergeCell ref="C2:M2"/>
    <mergeCell ref="A1:B2"/>
    <mergeCell ref="A3:H3"/>
    <mergeCell ref="A4:I4"/>
    <mergeCell ref="A5:B5"/>
    <mergeCell ref="C5:D5"/>
    <mergeCell ref="G6:K8"/>
    <mergeCell ref="A15:D15"/>
    <mergeCell ref="K15:O15"/>
    <mergeCell ref="I15:J15"/>
    <mergeCell ref="H14:O14"/>
    <mergeCell ref="E15:G15"/>
    <mergeCell ref="A14:G14"/>
    <mergeCell ref="G9:K11"/>
    <mergeCell ref="A9:B9"/>
    <mergeCell ref="C9:D9"/>
    <mergeCell ref="C8:D8"/>
    <mergeCell ref="F9:F11"/>
    <mergeCell ref="F6:F8"/>
    <mergeCell ref="A6:B6"/>
    <mergeCell ref="A8:B8"/>
  </mergeCells>
  <dataValidations count="8">
    <dataValidation type="list" allowBlank="1" showInputMessage="1" showErrorMessage="1" sqref="K19:O40" xr:uid="{00000000-0002-0000-0100-000000000000}">
      <formula1>FisheryCodB</formula1>
    </dataValidation>
    <dataValidation type="list" allowBlank="1" showInputMessage="1" showErrorMessage="1" sqref="E19:E40" xr:uid="{00000000-0002-0000-0100-000001000000}">
      <formula1>LOACLassCode</formula1>
    </dataValidation>
    <dataValidation type="list" allowBlank="1" showInputMessage="1" showErrorMessage="1" sqref="F19:F40" xr:uid="{00000000-0002-0000-0100-000002000000}">
      <formula1>GRTCLassCode</formula1>
    </dataValidation>
    <dataValidation type="list" allowBlank="1" showInputMessage="1" showErrorMessage="1" sqref="C19:C40" xr:uid="{00000000-0002-0000-0100-000003000000}">
      <formula1>GearGrpCode</formula1>
    </dataValidation>
    <dataValidation type="list" allowBlank="1" showInputMessage="1" showErrorMessage="1" sqref="A19:A40" xr:uid="{00000000-0002-0000-0100-000004000000}">
      <formula1>FlagA3ISO</formula1>
    </dataValidation>
    <dataValidation allowBlank="1" showInputMessage="1" sqref="C8:D10 C5:D6" xr:uid="{00000000-0002-0000-0100-000005000000}"/>
    <dataValidation type="whole" operator="greaterThan" allowBlank="1" showInputMessage="1" showErrorMessage="1" sqref="G19:G40" xr:uid="{00000000-0002-0000-0100-000006000000}">
      <formula1>0</formula1>
    </dataValidation>
    <dataValidation type="whole" operator="greaterThanOrEqual" allowBlank="1" showInputMessage="1" showErrorMessage="1" sqref="I19:J40" xr:uid="{00000000-0002-0000-0100-000007000000}">
      <formula1>0</formula1>
    </dataValidation>
  </dataValidations>
  <hyperlinks>
    <hyperlink ref="A16" location="FlagA3ISO" display="FlagA3ISO" xr:uid="{00000000-0004-0000-0100-000000000000}"/>
    <hyperlink ref="B16" location="PortsZones" display="PortsZones" xr:uid="{00000000-0004-0000-0100-000001000000}"/>
    <hyperlink ref="E16" location="LOACLassCode" display="LOACLassCode" xr:uid="{00000000-0004-0000-0100-000002000000}"/>
    <hyperlink ref="F16" location="GRTCLassCode" display="GRTCLassCode" xr:uid="{00000000-0004-0000-0100-000003000000}"/>
    <hyperlink ref="K15:M15" location="FisheryCodeB" display="FisheryCodeB" xr:uid="{00000000-0004-0000-0100-000005000000}"/>
    <hyperlink ref="C16" location="GearGrpCode" display="GearGrpCode" xr:uid="{00000000-0004-0000-0100-000006000000}"/>
    <hyperlink ref="K15:N15" location="FisheryCodB" display="FisheryCodB" xr:uid="{00000000-0004-0000-0100-000007000000}"/>
    <hyperlink ref="F6:F8" location="ST01A!A26" display="ST01A!A26" xr:uid="{7927DD5A-7DA5-438F-A04C-94CDB357A5E9}"/>
  </hyperlinks>
  <pageMargins left="0.7" right="0.7" top="0.75" bottom="0.75" header="0.3" footer="0.3"/>
  <pageSetup paperSize="9" orientation="portrait" r:id="rId1"/>
  <ignoredErrors>
    <ignoredError sqref="B17 I17 D17" formula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xr:uid="{464AA6FA-5C3A-4296-BCCF-0127DCC7869E}">
          <x14:formula1>
            <xm:f>ST01A!$C$13</xm:f>
          </x14:formula1>
          <x14:formula2>
            <xm:f>ST01A!$E$13</xm:f>
          </x14:formula2>
          <xm:sqref>H19:H40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175"/>
  <sheetViews>
    <sheetView zoomScale="85" zoomScaleNormal="85" zoomScaleSheetLayoutView="70" workbookViewId="0">
      <pane ySplit="2" topLeftCell="A3" activePane="bottomLeft" state="frozen"/>
      <selection pane="bottomLeft" activeCell="H20" sqref="H20:H34"/>
    </sheetView>
  </sheetViews>
  <sheetFormatPr defaultColWidth="5.765625" defaultRowHeight="12" x14ac:dyDescent="0.35"/>
  <cols>
    <col min="1" max="1" width="20.23046875" style="14" bestFit="1" customWidth="1"/>
    <col min="2" max="2" width="7.4609375" style="14" bestFit="1" customWidth="1"/>
    <col min="3" max="3" width="8.07421875" style="14" bestFit="1" customWidth="1"/>
    <col min="4" max="4" width="58.07421875" style="14" customWidth="1"/>
    <col min="5" max="6" width="8.23046875" style="14" bestFit="1" customWidth="1"/>
    <col min="7" max="7" width="3.4609375" style="14" customWidth="1"/>
    <col min="8" max="8" width="14.23046875" style="14" bestFit="1" customWidth="1"/>
    <col min="9" max="9" width="53.84375" style="14" bestFit="1" customWidth="1"/>
    <col min="10" max="10" width="13.4609375" style="14" bestFit="1" customWidth="1"/>
    <col min="11" max="11" width="30.4609375" style="14" bestFit="1" customWidth="1"/>
    <col min="12" max="16384" width="5.765625" style="14"/>
  </cols>
  <sheetData>
    <row r="1" spans="1:10" x14ac:dyDescent="0.35">
      <c r="A1" s="350" t="s">
        <v>851</v>
      </c>
      <c r="B1" s="350"/>
      <c r="C1" s="350"/>
      <c r="D1" s="350"/>
      <c r="E1" s="350"/>
      <c r="F1" s="350"/>
      <c r="H1" s="351" t="s">
        <v>970</v>
      </c>
      <c r="I1" s="351"/>
    </row>
    <row r="2" spans="1:10" x14ac:dyDescent="0.35">
      <c r="A2" s="116" t="s">
        <v>307</v>
      </c>
      <c r="B2" s="117" t="s">
        <v>1181</v>
      </c>
      <c r="C2" s="117" t="s">
        <v>1196</v>
      </c>
      <c r="D2" s="118" t="s">
        <v>1299</v>
      </c>
      <c r="E2" s="117" t="s">
        <v>308</v>
      </c>
      <c r="F2" s="119" t="s">
        <v>309</v>
      </c>
      <c r="H2" s="15" t="s">
        <v>1180</v>
      </c>
      <c r="I2" s="16" t="s">
        <v>488</v>
      </c>
      <c r="J2" s="17" t="s">
        <v>753</v>
      </c>
    </row>
    <row r="3" spans="1:10" x14ac:dyDescent="0.35">
      <c r="A3" s="218" t="s">
        <v>107</v>
      </c>
      <c r="B3" s="215" t="s">
        <v>8</v>
      </c>
      <c r="C3" s="215" t="s">
        <v>211</v>
      </c>
      <c r="D3" s="216"/>
      <c r="E3" s="215" t="s">
        <v>8</v>
      </c>
      <c r="F3" s="215" t="s">
        <v>310</v>
      </c>
      <c r="H3" s="18" t="s">
        <v>484</v>
      </c>
      <c r="I3" s="19" t="s">
        <v>482</v>
      </c>
      <c r="J3" s="20" t="s">
        <v>751</v>
      </c>
    </row>
    <row r="4" spans="1:10" x14ac:dyDescent="0.35">
      <c r="A4" s="218" t="s">
        <v>11</v>
      </c>
      <c r="B4" s="215" t="s">
        <v>12</v>
      </c>
      <c r="C4" s="215" t="s">
        <v>211</v>
      </c>
      <c r="D4" s="216"/>
      <c r="E4" s="215" t="s">
        <v>12</v>
      </c>
      <c r="F4" s="215" t="s">
        <v>311</v>
      </c>
      <c r="H4" s="21" t="s">
        <v>485</v>
      </c>
      <c r="I4" s="14" t="s">
        <v>483</v>
      </c>
      <c r="J4" s="22" t="s">
        <v>751</v>
      </c>
    </row>
    <row r="5" spans="1:10" x14ac:dyDescent="0.35">
      <c r="A5" s="218" t="s">
        <v>13</v>
      </c>
      <c r="B5" s="215" t="s">
        <v>14</v>
      </c>
      <c r="C5" s="215" t="s">
        <v>211</v>
      </c>
      <c r="D5" s="216"/>
      <c r="E5" s="215" t="s">
        <v>14</v>
      </c>
      <c r="F5" s="215" t="s">
        <v>312</v>
      </c>
      <c r="H5" s="21" t="s">
        <v>565</v>
      </c>
      <c r="I5" s="14" t="s">
        <v>566</v>
      </c>
      <c r="J5" s="22" t="s">
        <v>751</v>
      </c>
    </row>
    <row r="6" spans="1:10" x14ac:dyDescent="0.35">
      <c r="A6" s="218" t="s">
        <v>15</v>
      </c>
      <c r="B6" s="215" t="s">
        <v>16</v>
      </c>
      <c r="C6" s="215" t="s">
        <v>211</v>
      </c>
      <c r="D6" s="216"/>
      <c r="E6" s="215" t="s">
        <v>16</v>
      </c>
      <c r="F6" s="215" t="s">
        <v>62</v>
      </c>
      <c r="H6" s="21" t="s">
        <v>478</v>
      </c>
      <c r="I6" s="14" t="s">
        <v>486</v>
      </c>
      <c r="J6" s="22" t="s">
        <v>751</v>
      </c>
    </row>
    <row r="7" spans="1:10" x14ac:dyDescent="0.35">
      <c r="A7" s="218" t="s">
        <v>191</v>
      </c>
      <c r="B7" s="215" t="s">
        <v>116</v>
      </c>
      <c r="C7" s="215" t="s">
        <v>211</v>
      </c>
      <c r="D7" s="216" t="s">
        <v>320</v>
      </c>
      <c r="E7" s="215" t="s">
        <v>116</v>
      </c>
      <c r="F7" s="215" t="s">
        <v>321</v>
      </c>
      <c r="H7" s="21" t="s">
        <v>479</v>
      </c>
      <c r="I7" s="14" t="s">
        <v>487</v>
      </c>
      <c r="J7" s="22" t="s">
        <v>751</v>
      </c>
    </row>
    <row r="8" spans="1:10" x14ac:dyDescent="0.35">
      <c r="A8" s="218" t="s">
        <v>325</v>
      </c>
      <c r="B8" s="215" t="s">
        <v>17</v>
      </c>
      <c r="C8" s="215" t="s">
        <v>211</v>
      </c>
      <c r="D8" s="216" t="s">
        <v>849</v>
      </c>
      <c r="E8" s="215" t="s">
        <v>17</v>
      </c>
      <c r="F8" s="215" t="s">
        <v>326</v>
      </c>
      <c r="H8" s="23" t="s">
        <v>480</v>
      </c>
      <c r="I8" s="14" t="s">
        <v>559</v>
      </c>
      <c r="J8" s="22" t="s">
        <v>751</v>
      </c>
    </row>
    <row r="9" spans="1:10" x14ac:dyDescent="0.35">
      <c r="A9" s="218" t="s">
        <v>18</v>
      </c>
      <c r="B9" s="215" t="s">
        <v>19</v>
      </c>
      <c r="C9" s="215" t="s">
        <v>211</v>
      </c>
      <c r="D9" s="216"/>
      <c r="E9" s="215" t="s">
        <v>19</v>
      </c>
      <c r="F9" s="215" t="s">
        <v>329</v>
      </c>
      <c r="H9" s="23" t="s">
        <v>475</v>
      </c>
      <c r="I9" s="14" t="s">
        <v>476</v>
      </c>
      <c r="J9" s="22" t="s">
        <v>751</v>
      </c>
    </row>
    <row r="10" spans="1:10" x14ac:dyDescent="0.35">
      <c r="A10" s="218" t="s">
        <v>20</v>
      </c>
      <c r="B10" s="215" t="s">
        <v>21</v>
      </c>
      <c r="C10" s="215" t="s">
        <v>211</v>
      </c>
      <c r="D10" s="216" t="s">
        <v>330</v>
      </c>
      <c r="E10" s="215" t="s">
        <v>21</v>
      </c>
      <c r="F10" s="215" t="s">
        <v>331</v>
      </c>
      <c r="H10" s="23" t="s">
        <v>507</v>
      </c>
      <c r="I10" s="14" t="s">
        <v>560</v>
      </c>
      <c r="J10" s="22" t="s">
        <v>751</v>
      </c>
    </row>
    <row r="11" spans="1:10" x14ac:dyDescent="0.35">
      <c r="A11" s="218" t="s">
        <v>334</v>
      </c>
      <c r="B11" s="215" t="s">
        <v>22</v>
      </c>
      <c r="C11" s="215" t="s">
        <v>211</v>
      </c>
      <c r="D11" s="216"/>
      <c r="E11" s="215" t="s">
        <v>22</v>
      </c>
      <c r="F11" s="215" t="s">
        <v>335</v>
      </c>
      <c r="H11" s="21" t="s">
        <v>489</v>
      </c>
      <c r="I11" s="14" t="s">
        <v>481</v>
      </c>
      <c r="J11" s="22" t="s">
        <v>751</v>
      </c>
    </row>
    <row r="12" spans="1:10" x14ac:dyDescent="0.35">
      <c r="A12" s="218" t="s">
        <v>228</v>
      </c>
      <c r="B12" s="215" t="s">
        <v>343</v>
      </c>
      <c r="C12" s="215" t="s">
        <v>211</v>
      </c>
      <c r="D12" s="216" t="s">
        <v>320</v>
      </c>
      <c r="E12" s="215" t="s">
        <v>343</v>
      </c>
      <c r="F12" s="215" t="s">
        <v>344</v>
      </c>
      <c r="H12" s="23" t="s">
        <v>583</v>
      </c>
      <c r="I12" s="14" t="s">
        <v>1136</v>
      </c>
      <c r="J12" s="22" t="s">
        <v>751</v>
      </c>
    </row>
    <row r="13" spans="1:10" x14ac:dyDescent="0.35">
      <c r="A13" s="218" t="s">
        <v>743</v>
      </c>
      <c r="B13" s="215" t="s">
        <v>23</v>
      </c>
      <c r="C13" s="215" t="s">
        <v>211</v>
      </c>
      <c r="D13" s="216" t="s">
        <v>340</v>
      </c>
      <c r="E13" s="215" t="s">
        <v>23</v>
      </c>
      <c r="F13" s="215" t="s">
        <v>341</v>
      </c>
      <c r="H13" s="23" t="s">
        <v>742</v>
      </c>
      <c r="I13" s="14" t="s">
        <v>561</v>
      </c>
      <c r="J13" s="22" t="s">
        <v>751</v>
      </c>
    </row>
    <row r="14" spans="1:10" x14ac:dyDescent="0.35">
      <c r="A14" s="218" t="s">
        <v>1200</v>
      </c>
      <c r="B14" s="215" t="s">
        <v>1201</v>
      </c>
      <c r="C14" s="215" t="s">
        <v>211</v>
      </c>
      <c r="D14" s="215"/>
      <c r="E14" s="215" t="s">
        <v>983</v>
      </c>
      <c r="F14" s="215" t="s">
        <v>984</v>
      </c>
      <c r="H14" s="24" t="s">
        <v>472</v>
      </c>
      <c r="I14" s="25" t="s">
        <v>477</v>
      </c>
      <c r="J14" s="26" t="s">
        <v>752</v>
      </c>
    </row>
    <row r="15" spans="1:10" x14ac:dyDescent="0.35">
      <c r="A15" s="218" t="s">
        <v>1202</v>
      </c>
      <c r="B15" s="215" t="s">
        <v>1203</v>
      </c>
      <c r="C15" s="215" t="s">
        <v>211</v>
      </c>
      <c r="D15" s="216"/>
      <c r="E15" s="215" t="s">
        <v>187</v>
      </c>
      <c r="F15" s="215" t="s">
        <v>350</v>
      </c>
      <c r="H15" s="27" t="s">
        <v>473</v>
      </c>
      <c r="I15" s="28" t="s">
        <v>474</v>
      </c>
      <c r="J15" s="29" t="s">
        <v>752</v>
      </c>
    </row>
    <row r="16" spans="1:10" x14ac:dyDescent="0.35">
      <c r="A16" s="218" t="s">
        <v>1204</v>
      </c>
      <c r="B16" s="215" t="s">
        <v>1205</v>
      </c>
      <c r="C16" s="215" t="s">
        <v>211</v>
      </c>
      <c r="D16" s="216"/>
      <c r="E16" s="215" t="s">
        <v>119</v>
      </c>
      <c r="F16" s="215" t="s">
        <v>351</v>
      </c>
    </row>
    <row r="17" spans="1:11" x14ac:dyDescent="0.35">
      <c r="A17" s="218" t="s">
        <v>1206</v>
      </c>
      <c r="B17" s="215" t="s">
        <v>1207</v>
      </c>
      <c r="C17" s="215" t="s">
        <v>211</v>
      </c>
      <c r="D17" s="216" t="s">
        <v>847</v>
      </c>
      <c r="E17" s="215" t="s">
        <v>24</v>
      </c>
      <c r="F17" s="215" t="s">
        <v>352</v>
      </c>
    </row>
    <row r="18" spans="1:11" x14ac:dyDescent="0.35">
      <c r="A18" s="218" t="s">
        <v>1208</v>
      </c>
      <c r="B18" s="215" t="s">
        <v>1209</v>
      </c>
      <c r="C18" s="215" t="s">
        <v>211</v>
      </c>
      <c r="D18" s="216" t="s">
        <v>847</v>
      </c>
      <c r="E18" s="215" t="s">
        <v>25</v>
      </c>
      <c r="F18" s="215" t="s">
        <v>353</v>
      </c>
      <c r="H18" s="349" t="s">
        <v>972</v>
      </c>
      <c r="I18" s="349"/>
      <c r="J18" s="347" t="s">
        <v>716</v>
      </c>
      <c r="K18" s="348"/>
    </row>
    <row r="19" spans="1:11" x14ac:dyDescent="0.35">
      <c r="A19" s="218" t="s">
        <v>1210</v>
      </c>
      <c r="B19" s="215" t="s">
        <v>1211</v>
      </c>
      <c r="C19" s="215" t="s">
        <v>211</v>
      </c>
      <c r="D19" s="217"/>
      <c r="E19" s="215" t="s">
        <v>1161</v>
      </c>
      <c r="F19" s="215" t="s">
        <v>1162</v>
      </c>
      <c r="H19" s="30" t="s">
        <v>1182</v>
      </c>
      <c r="I19" s="31" t="s">
        <v>568</v>
      </c>
      <c r="J19" s="32" t="s">
        <v>1186</v>
      </c>
      <c r="K19" s="33" t="s">
        <v>524</v>
      </c>
    </row>
    <row r="20" spans="1:11" x14ac:dyDescent="0.35">
      <c r="A20" s="218" t="s">
        <v>1212</v>
      </c>
      <c r="B20" s="215" t="s">
        <v>1213</v>
      </c>
      <c r="C20" s="215" t="s">
        <v>211</v>
      </c>
      <c r="D20" s="216"/>
      <c r="E20" s="215" t="s">
        <v>26</v>
      </c>
      <c r="F20" s="215" t="s">
        <v>354</v>
      </c>
      <c r="H20" s="23" t="s">
        <v>85</v>
      </c>
      <c r="I20" s="34" t="s">
        <v>86</v>
      </c>
      <c r="J20" s="35" t="s">
        <v>85</v>
      </c>
      <c r="K20" s="36" t="s">
        <v>525</v>
      </c>
    </row>
    <row r="21" spans="1:11" x14ac:dyDescent="0.35">
      <c r="A21" s="218" t="s">
        <v>1214</v>
      </c>
      <c r="B21" s="215" t="s">
        <v>1215</v>
      </c>
      <c r="C21" s="215" t="s">
        <v>211</v>
      </c>
      <c r="D21" s="216" t="s">
        <v>846</v>
      </c>
      <c r="E21" s="215" t="s">
        <v>27</v>
      </c>
      <c r="F21" s="215" t="s">
        <v>355</v>
      </c>
      <c r="H21" s="23" t="s">
        <v>105</v>
      </c>
      <c r="I21" s="37" t="s">
        <v>106</v>
      </c>
      <c r="J21" s="35" t="s">
        <v>526</v>
      </c>
      <c r="K21" s="36" t="s">
        <v>527</v>
      </c>
    </row>
    <row r="22" spans="1:11" x14ac:dyDescent="0.35">
      <c r="A22" s="218" t="s">
        <v>1216</v>
      </c>
      <c r="B22" s="215" t="s">
        <v>1217</v>
      </c>
      <c r="C22" s="215" t="s">
        <v>211</v>
      </c>
      <c r="D22" s="216"/>
      <c r="E22" s="215" t="s">
        <v>140</v>
      </c>
      <c r="F22" s="215" t="s">
        <v>356</v>
      </c>
      <c r="H22" s="23" t="s">
        <v>105</v>
      </c>
      <c r="I22" s="37" t="s">
        <v>106</v>
      </c>
      <c r="J22" s="35" t="s">
        <v>528</v>
      </c>
      <c r="K22" s="36" t="s">
        <v>529</v>
      </c>
    </row>
    <row r="23" spans="1:11" x14ac:dyDescent="0.35">
      <c r="A23" s="218" t="s">
        <v>1218</v>
      </c>
      <c r="B23" s="215" t="s">
        <v>1219</v>
      </c>
      <c r="C23" s="215" t="s">
        <v>211</v>
      </c>
      <c r="D23" s="217"/>
      <c r="E23" s="215" t="s">
        <v>1163</v>
      </c>
      <c r="F23" s="215" t="s">
        <v>1164</v>
      </c>
      <c r="H23" s="23" t="s">
        <v>81</v>
      </c>
      <c r="I23" s="37" t="s">
        <v>555</v>
      </c>
      <c r="J23" s="35" t="s">
        <v>530</v>
      </c>
      <c r="K23" s="36" t="s">
        <v>531</v>
      </c>
    </row>
    <row r="24" spans="1:11" x14ac:dyDescent="0.35">
      <c r="A24" s="218" t="s">
        <v>1220</v>
      </c>
      <c r="B24" s="215" t="s">
        <v>1221</v>
      </c>
      <c r="C24" s="215" t="s">
        <v>211</v>
      </c>
      <c r="D24" s="216" t="s">
        <v>966</v>
      </c>
      <c r="E24" s="215" t="s">
        <v>28</v>
      </c>
      <c r="F24" s="215" t="s">
        <v>357</v>
      </c>
      <c r="H24" s="23" t="s">
        <v>81</v>
      </c>
      <c r="I24" s="37" t="s">
        <v>555</v>
      </c>
      <c r="J24" s="35" t="s">
        <v>532</v>
      </c>
      <c r="K24" s="36" t="s">
        <v>533</v>
      </c>
    </row>
    <row r="25" spans="1:11" x14ac:dyDescent="0.35">
      <c r="A25" s="218" t="s">
        <v>1222</v>
      </c>
      <c r="B25" s="215" t="s">
        <v>1223</v>
      </c>
      <c r="C25" s="215" t="s">
        <v>211</v>
      </c>
      <c r="D25" s="216"/>
      <c r="E25" s="215" t="s">
        <v>29</v>
      </c>
      <c r="F25" s="215" t="s">
        <v>358</v>
      </c>
      <c r="H25" s="23" t="s">
        <v>100</v>
      </c>
      <c r="I25" s="37" t="s">
        <v>556</v>
      </c>
      <c r="J25" s="35" t="s">
        <v>534</v>
      </c>
      <c r="K25" s="36" t="s">
        <v>535</v>
      </c>
    </row>
    <row r="26" spans="1:11" x14ac:dyDescent="0.35">
      <c r="A26" s="218" t="s">
        <v>1224</v>
      </c>
      <c r="B26" s="215" t="s">
        <v>1225</v>
      </c>
      <c r="C26" s="215" t="s">
        <v>211</v>
      </c>
      <c r="D26" s="216" t="s">
        <v>847</v>
      </c>
      <c r="E26" s="215" t="s">
        <v>30</v>
      </c>
      <c r="F26" s="215" t="s">
        <v>359</v>
      </c>
      <c r="H26" s="23" t="s">
        <v>77</v>
      </c>
      <c r="I26" s="37" t="s">
        <v>552</v>
      </c>
      <c r="J26" s="35" t="s">
        <v>536</v>
      </c>
      <c r="K26" s="36" t="s">
        <v>537</v>
      </c>
    </row>
    <row r="27" spans="1:11" x14ac:dyDescent="0.35">
      <c r="A27" s="218" t="s">
        <v>1226</v>
      </c>
      <c r="B27" s="215" t="s">
        <v>1227</v>
      </c>
      <c r="C27" s="215" t="s">
        <v>211</v>
      </c>
      <c r="E27" s="215" t="s">
        <v>360</v>
      </c>
      <c r="F27" s="215" t="s">
        <v>361</v>
      </c>
      <c r="H27" s="23" t="s">
        <v>62</v>
      </c>
      <c r="I27" s="34" t="s">
        <v>553</v>
      </c>
      <c r="J27" s="35" t="s">
        <v>538</v>
      </c>
      <c r="K27" s="36" t="s">
        <v>539</v>
      </c>
    </row>
    <row r="28" spans="1:11" x14ac:dyDescent="0.35">
      <c r="A28" s="218" t="s">
        <v>1228</v>
      </c>
      <c r="B28" s="215" t="s">
        <v>1229</v>
      </c>
      <c r="C28" s="215" t="s">
        <v>211</v>
      </c>
      <c r="D28" s="216"/>
      <c r="E28" s="215" t="s">
        <v>31</v>
      </c>
      <c r="F28" s="215" t="s">
        <v>362</v>
      </c>
      <c r="H28" s="23" t="s">
        <v>41</v>
      </c>
      <c r="I28" s="37" t="s">
        <v>554</v>
      </c>
      <c r="J28" s="35" t="s">
        <v>540</v>
      </c>
      <c r="K28" s="36" t="s">
        <v>541</v>
      </c>
    </row>
    <row r="29" spans="1:11" x14ac:dyDescent="0.35">
      <c r="A29" s="218" t="s">
        <v>1230</v>
      </c>
      <c r="B29" s="215" t="s">
        <v>1231</v>
      </c>
      <c r="C29" s="215" t="s">
        <v>211</v>
      </c>
      <c r="D29" s="216" t="s">
        <v>363</v>
      </c>
      <c r="E29" s="215" t="s">
        <v>32</v>
      </c>
      <c r="F29" s="215" t="s">
        <v>364</v>
      </c>
      <c r="H29" s="23" t="s">
        <v>41</v>
      </c>
      <c r="I29" s="37" t="s">
        <v>554</v>
      </c>
      <c r="J29" s="35" t="s">
        <v>542</v>
      </c>
      <c r="K29" s="36" t="s">
        <v>543</v>
      </c>
    </row>
    <row r="30" spans="1:11" x14ac:dyDescent="0.35">
      <c r="A30" s="218" t="s">
        <v>1232</v>
      </c>
      <c r="B30" s="215" t="s">
        <v>1233</v>
      </c>
      <c r="C30" s="215" t="s">
        <v>211</v>
      </c>
      <c r="D30" s="216"/>
      <c r="E30" s="215" t="s">
        <v>156</v>
      </c>
      <c r="F30" s="215" t="s">
        <v>365</v>
      </c>
      <c r="H30" s="23" t="s">
        <v>58</v>
      </c>
      <c r="I30" s="37" t="s">
        <v>59</v>
      </c>
      <c r="J30" s="35" t="s">
        <v>544</v>
      </c>
      <c r="K30" s="36" t="s">
        <v>545</v>
      </c>
    </row>
    <row r="31" spans="1:11" x14ac:dyDescent="0.35">
      <c r="A31" s="218" t="s">
        <v>1234</v>
      </c>
      <c r="B31" s="215" t="s">
        <v>1235</v>
      </c>
      <c r="C31" s="215" t="s">
        <v>211</v>
      </c>
      <c r="D31" s="216"/>
      <c r="E31" s="215" t="s">
        <v>161</v>
      </c>
      <c r="F31" s="215" t="s">
        <v>366</v>
      </c>
      <c r="H31" s="23" t="s">
        <v>112</v>
      </c>
      <c r="I31" s="37" t="s">
        <v>113</v>
      </c>
      <c r="J31" s="35" t="s">
        <v>546</v>
      </c>
      <c r="K31" s="36" t="s">
        <v>547</v>
      </c>
    </row>
    <row r="32" spans="1:11" x14ac:dyDescent="0.35">
      <c r="A32" s="218" t="s">
        <v>1236</v>
      </c>
      <c r="B32" s="215" t="s">
        <v>1237</v>
      </c>
      <c r="C32" s="215" t="s">
        <v>211</v>
      </c>
      <c r="D32" s="218"/>
      <c r="E32" s="215" t="s">
        <v>1165</v>
      </c>
      <c r="F32" s="215" t="s">
        <v>1166</v>
      </c>
      <c r="H32" s="23" t="s">
        <v>68</v>
      </c>
      <c r="I32" s="37" t="s">
        <v>69</v>
      </c>
      <c r="J32" s="35" t="s">
        <v>550</v>
      </c>
      <c r="K32" s="36" t="s">
        <v>551</v>
      </c>
    </row>
    <row r="33" spans="1:11" x14ac:dyDescent="0.35">
      <c r="A33" s="218" t="s">
        <v>1238</v>
      </c>
      <c r="B33" s="215" t="s">
        <v>1239</v>
      </c>
      <c r="C33" s="215" t="s">
        <v>211</v>
      </c>
      <c r="D33" s="216" t="s">
        <v>847</v>
      </c>
      <c r="E33" s="215" t="s">
        <v>57</v>
      </c>
      <c r="F33" s="215" t="s">
        <v>367</v>
      </c>
      <c r="H33" s="23" t="s">
        <v>186</v>
      </c>
      <c r="I33" s="34" t="s">
        <v>558</v>
      </c>
      <c r="J33" s="35" t="s">
        <v>548</v>
      </c>
      <c r="K33" s="36" t="s">
        <v>549</v>
      </c>
    </row>
    <row r="34" spans="1:11" x14ac:dyDescent="0.35">
      <c r="A34" s="218" t="s">
        <v>1240</v>
      </c>
      <c r="B34" s="215" t="s">
        <v>1241</v>
      </c>
      <c r="C34" s="215" t="s">
        <v>211</v>
      </c>
      <c r="D34" s="216"/>
      <c r="E34" s="215" t="s">
        <v>33</v>
      </c>
      <c r="F34" s="215" t="s">
        <v>368</v>
      </c>
      <c r="H34" s="38" t="s">
        <v>557</v>
      </c>
      <c r="I34" s="39" t="s">
        <v>562</v>
      </c>
      <c r="J34" s="40"/>
      <c r="K34" s="41"/>
    </row>
    <row r="35" spans="1:11" x14ac:dyDescent="0.35">
      <c r="A35" s="218" t="s">
        <v>1242</v>
      </c>
      <c r="B35" s="215" t="s">
        <v>1243</v>
      </c>
      <c r="C35" s="215" t="s">
        <v>211</v>
      </c>
      <c r="D35" s="216"/>
      <c r="E35" s="215" t="s">
        <v>169</v>
      </c>
      <c r="F35" s="215" t="s">
        <v>369</v>
      </c>
    </row>
    <row r="36" spans="1:11" x14ac:dyDescent="0.35">
      <c r="A36" s="218" t="s">
        <v>1244</v>
      </c>
      <c r="B36" s="215" t="s">
        <v>1245</v>
      </c>
      <c r="C36" s="215" t="s">
        <v>211</v>
      </c>
      <c r="D36" s="216" t="s">
        <v>848</v>
      </c>
      <c r="E36" s="215" t="s">
        <v>34</v>
      </c>
      <c r="F36" s="215" t="s">
        <v>370</v>
      </c>
    </row>
    <row r="37" spans="1:11" x14ac:dyDescent="0.35">
      <c r="A37" s="218" t="s">
        <v>1246</v>
      </c>
      <c r="B37" s="215" t="s">
        <v>1247</v>
      </c>
      <c r="C37" s="215" t="s">
        <v>211</v>
      </c>
      <c r="D37" s="215"/>
      <c r="E37" s="215" t="s">
        <v>172</v>
      </c>
      <c r="F37" s="215" t="s">
        <v>414</v>
      </c>
      <c r="H37" s="349" t="s">
        <v>700</v>
      </c>
      <c r="I37" s="349"/>
    </row>
    <row r="38" spans="1:11" x14ac:dyDescent="0.35">
      <c r="A38" s="218" t="s">
        <v>1248</v>
      </c>
      <c r="B38" s="215" t="s">
        <v>1249</v>
      </c>
      <c r="C38" s="215" t="s">
        <v>211</v>
      </c>
      <c r="D38" s="218"/>
      <c r="E38" s="215" t="s">
        <v>1167</v>
      </c>
      <c r="F38" s="215" t="s">
        <v>1168</v>
      </c>
      <c r="H38" s="42" t="s">
        <v>250</v>
      </c>
      <c r="I38" s="43" t="s">
        <v>563</v>
      </c>
    </row>
    <row r="39" spans="1:11" x14ac:dyDescent="0.35">
      <c r="A39" s="218" t="s">
        <v>1250</v>
      </c>
      <c r="B39" s="215" t="s">
        <v>1251</v>
      </c>
      <c r="C39" s="215" t="s">
        <v>211</v>
      </c>
      <c r="D39" s="216"/>
      <c r="E39" s="215" t="s">
        <v>227</v>
      </c>
      <c r="F39" s="215" t="s">
        <v>371</v>
      </c>
      <c r="H39" s="23" t="s">
        <v>461</v>
      </c>
      <c r="I39" s="34" t="s">
        <v>463</v>
      </c>
    </row>
    <row r="40" spans="1:11" x14ac:dyDescent="0.35">
      <c r="A40" s="218" t="s">
        <v>1252</v>
      </c>
      <c r="B40" s="215" t="s">
        <v>1253</v>
      </c>
      <c r="C40" s="215" t="s">
        <v>211</v>
      </c>
      <c r="D40" s="216"/>
      <c r="E40" s="215" t="s">
        <v>36</v>
      </c>
      <c r="F40" s="215" t="s">
        <v>372</v>
      </c>
      <c r="H40" s="40" t="s">
        <v>462</v>
      </c>
      <c r="I40" s="41" t="s">
        <v>584</v>
      </c>
    </row>
    <row r="41" spans="1:11" x14ac:dyDescent="0.35">
      <c r="A41" s="218" t="s">
        <v>138</v>
      </c>
      <c r="B41" s="215" t="s">
        <v>139</v>
      </c>
      <c r="C41" s="215" t="s">
        <v>211</v>
      </c>
      <c r="D41" s="216"/>
      <c r="E41" s="215" t="s">
        <v>139</v>
      </c>
      <c r="F41" s="215" t="s">
        <v>348</v>
      </c>
    </row>
    <row r="42" spans="1:11" x14ac:dyDescent="0.35">
      <c r="A42" s="218" t="s">
        <v>194</v>
      </c>
      <c r="B42" s="215" t="s">
        <v>195</v>
      </c>
      <c r="C42" s="215" t="s">
        <v>211</v>
      </c>
      <c r="D42" s="216"/>
      <c r="E42" s="215" t="s">
        <v>195</v>
      </c>
      <c r="F42" s="215" t="s">
        <v>349</v>
      </c>
    </row>
    <row r="43" spans="1:11" x14ac:dyDescent="0.35">
      <c r="A43" s="218" t="s">
        <v>1254</v>
      </c>
      <c r="B43" s="215" t="s">
        <v>1255</v>
      </c>
      <c r="C43" s="215" t="s">
        <v>211</v>
      </c>
      <c r="D43" s="215"/>
      <c r="E43" s="215" t="s">
        <v>1187</v>
      </c>
      <c r="F43" s="215" t="s">
        <v>373</v>
      </c>
      <c r="H43" s="349" t="s">
        <v>719</v>
      </c>
      <c r="I43" s="349"/>
    </row>
    <row r="44" spans="1:11" x14ac:dyDescent="0.35">
      <c r="A44" s="218" t="s">
        <v>1256</v>
      </c>
      <c r="B44" s="215" t="s">
        <v>1257</v>
      </c>
      <c r="C44" s="215" t="s">
        <v>211</v>
      </c>
      <c r="D44" s="216"/>
      <c r="E44" s="215" t="s">
        <v>38</v>
      </c>
      <c r="F44" s="215" t="s">
        <v>376</v>
      </c>
      <c r="H44" s="30" t="s">
        <v>1183</v>
      </c>
      <c r="I44" s="31" t="s">
        <v>712</v>
      </c>
    </row>
    <row r="45" spans="1:11" x14ac:dyDescent="0.35">
      <c r="A45" s="218" t="s">
        <v>44</v>
      </c>
      <c r="B45" s="215" t="s">
        <v>45</v>
      </c>
      <c r="C45" s="215" t="s">
        <v>211</v>
      </c>
      <c r="D45" s="216"/>
      <c r="E45" s="215" t="s">
        <v>45</v>
      </c>
      <c r="F45" s="215" t="s">
        <v>377</v>
      </c>
      <c r="H45" s="23" t="s">
        <v>709</v>
      </c>
      <c r="I45" s="34" t="s">
        <v>706</v>
      </c>
    </row>
    <row r="46" spans="1:11" x14ac:dyDescent="0.35">
      <c r="A46" s="218" t="s">
        <v>144</v>
      </c>
      <c r="B46" s="215" t="s">
        <v>145</v>
      </c>
      <c r="C46" s="215" t="s">
        <v>211</v>
      </c>
      <c r="D46" s="216"/>
      <c r="E46" s="215" t="s">
        <v>145</v>
      </c>
      <c r="F46" s="215" t="s">
        <v>378</v>
      </c>
      <c r="H46" s="23" t="s">
        <v>704</v>
      </c>
      <c r="I46" s="34" t="s">
        <v>837</v>
      </c>
    </row>
    <row r="47" spans="1:11" x14ac:dyDescent="0.35">
      <c r="A47" s="218" t="s">
        <v>46</v>
      </c>
      <c r="B47" s="215" t="s">
        <v>47</v>
      </c>
      <c r="C47" s="215" t="s">
        <v>211</v>
      </c>
      <c r="D47" s="216" t="s">
        <v>320</v>
      </c>
      <c r="E47" s="215" t="s">
        <v>47</v>
      </c>
      <c r="F47" s="215" t="s">
        <v>380</v>
      </c>
      <c r="H47" s="40" t="s">
        <v>705</v>
      </c>
      <c r="I47" s="41" t="s">
        <v>711</v>
      </c>
    </row>
    <row r="48" spans="1:11" x14ac:dyDescent="0.35">
      <c r="A48" s="218" t="s">
        <v>1258</v>
      </c>
      <c r="B48" s="215" t="s">
        <v>37</v>
      </c>
      <c r="C48" s="215" t="s">
        <v>211</v>
      </c>
      <c r="D48" s="215"/>
      <c r="E48" s="215" t="s">
        <v>37</v>
      </c>
      <c r="F48" s="215" t="s">
        <v>373</v>
      </c>
    </row>
    <row r="49" spans="1:10" x14ac:dyDescent="0.35">
      <c r="A49" s="218" t="s">
        <v>148</v>
      </c>
      <c r="B49" s="215" t="s">
        <v>149</v>
      </c>
      <c r="C49" s="215" t="s">
        <v>211</v>
      </c>
      <c r="D49" s="216"/>
      <c r="E49" s="215" t="s">
        <v>149</v>
      </c>
      <c r="F49" s="215" t="s">
        <v>381</v>
      </c>
    </row>
    <row r="50" spans="1:10" x14ac:dyDescent="0.35">
      <c r="A50" s="218" t="s">
        <v>150</v>
      </c>
      <c r="B50" s="215" t="s">
        <v>151</v>
      </c>
      <c r="C50" s="215" t="s">
        <v>211</v>
      </c>
      <c r="D50" s="216" t="s">
        <v>320</v>
      </c>
      <c r="E50" s="215" t="s">
        <v>151</v>
      </c>
      <c r="F50" s="215" t="s">
        <v>382</v>
      </c>
      <c r="H50" s="349" t="s">
        <v>720</v>
      </c>
      <c r="I50" s="349"/>
    </row>
    <row r="51" spans="1:10" x14ac:dyDescent="0.35">
      <c r="A51" s="218" t="s">
        <v>196</v>
      </c>
      <c r="B51" s="215" t="s">
        <v>143</v>
      </c>
      <c r="C51" s="215" t="s">
        <v>211</v>
      </c>
      <c r="D51" s="216"/>
      <c r="E51" s="215" t="s">
        <v>143</v>
      </c>
      <c r="F51" s="215" t="s">
        <v>383</v>
      </c>
      <c r="H51" s="30" t="s">
        <v>1184</v>
      </c>
      <c r="I51" s="31" t="s">
        <v>713</v>
      </c>
    </row>
    <row r="52" spans="1:10" x14ac:dyDescent="0.35">
      <c r="A52" s="218" t="s">
        <v>42</v>
      </c>
      <c r="B52" s="215" t="s">
        <v>43</v>
      </c>
      <c r="C52" s="215" t="s">
        <v>211</v>
      </c>
      <c r="D52" s="216" t="s">
        <v>384</v>
      </c>
      <c r="E52" s="215" t="s">
        <v>43</v>
      </c>
      <c r="F52" s="215" t="s">
        <v>385</v>
      </c>
      <c r="H52" s="23" t="s">
        <v>754</v>
      </c>
      <c r="I52" s="34" t="s">
        <v>755</v>
      </c>
    </row>
    <row r="53" spans="1:10" x14ac:dyDescent="0.35">
      <c r="A53" s="218" t="s">
        <v>1259</v>
      </c>
      <c r="B53" s="215" t="s">
        <v>40</v>
      </c>
      <c r="C53" s="215" t="s">
        <v>211</v>
      </c>
      <c r="D53" s="216"/>
      <c r="E53" s="215" t="s">
        <v>40</v>
      </c>
      <c r="F53" s="215" t="s">
        <v>81</v>
      </c>
      <c r="H53" s="23" t="s">
        <v>749</v>
      </c>
      <c r="I53" s="34" t="s">
        <v>750</v>
      </c>
    </row>
    <row r="54" spans="1:10" x14ac:dyDescent="0.35">
      <c r="A54" s="218" t="s">
        <v>48</v>
      </c>
      <c r="B54" s="215" t="s">
        <v>49</v>
      </c>
      <c r="C54" s="215" t="s">
        <v>211</v>
      </c>
      <c r="D54" s="216"/>
      <c r="E54" s="215" t="s">
        <v>49</v>
      </c>
      <c r="F54" s="215" t="s">
        <v>387</v>
      </c>
      <c r="H54" s="40" t="s">
        <v>710</v>
      </c>
      <c r="I54" s="41" t="s">
        <v>714</v>
      </c>
    </row>
    <row r="55" spans="1:10" x14ac:dyDescent="0.35">
      <c r="A55" s="218" t="s">
        <v>50</v>
      </c>
      <c r="B55" s="215" t="s">
        <v>51</v>
      </c>
      <c r="C55" s="215" t="s">
        <v>211</v>
      </c>
      <c r="D55" s="216"/>
      <c r="E55" s="215" t="s">
        <v>51</v>
      </c>
      <c r="F55" s="215" t="s">
        <v>388</v>
      </c>
    </row>
    <row r="56" spans="1:10" x14ac:dyDescent="0.35">
      <c r="A56" s="218" t="s">
        <v>52</v>
      </c>
      <c r="B56" s="215" t="s">
        <v>53</v>
      </c>
      <c r="C56" s="215" t="s">
        <v>211</v>
      </c>
      <c r="D56" s="216"/>
      <c r="E56" s="215" t="s">
        <v>53</v>
      </c>
      <c r="F56" s="215" t="s">
        <v>394</v>
      </c>
    </row>
    <row r="57" spans="1:10" x14ac:dyDescent="0.35">
      <c r="A57" s="218" t="s">
        <v>1260</v>
      </c>
      <c r="B57" s="215" t="s">
        <v>54</v>
      </c>
      <c r="C57" s="215" t="s">
        <v>211</v>
      </c>
      <c r="D57" s="216"/>
      <c r="E57" s="215" t="s">
        <v>54</v>
      </c>
      <c r="F57" s="215" t="s">
        <v>395</v>
      </c>
      <c r="H57" s="349" t="s">
        <v>971</v>
      </c>
      <c r="I57" s="349"/>
    </row>
    <row r="58" spans="1:10" x14ac:dyDescent="0.35">
      <c r="A58" s="218" t="s">
        <v>159</v>
      </c>
      <c r="B58" s="215" t="s">
        <v>160</v>
      </c>
      <c r="C58" s="215" t="s">
        <v>211</v>
      </c>
      <c r="D58" s="216"/>
      <c r="E58" s="215" t="s">
        <v>160</v>
      </c>
      <c r="F58" s="215" t="s">
        <v>397</v>
      </c>
      <c r="H58" s="67" t="s">
        <v>1185</v>
      </c>
      <c r="I58" s="68" t="s">
        <v>951</v>
      </c>
    </row>
    <row r="59" spans="1:10" x14ac:dyDescent="0.35">
      <c r="A59" s="218" t="s">
        <v>55</v>
      </c>
      <c r="B59" s="215" t="s">
        <v>56</v>
      </c>
      <c r="C59" s="215" t="s">
        <v>211</v>
      </c>
      <c r="D59" s="216"/>
      <c r="E59" s="215" t="s">
        <v>56</v>
      </c>
      <c r="F59" s="215" t="s">
        <v>398</v>
      </c>
      <c r="H59" s="69" t="s">
        <v>382</v>
      </c>
      <c r="I59" s="70" t="s">
        <v>954</v>
      </c>
    </row>
    <row r="60" spans="1:10" x14ac:dyDescent="0.35">
      <c r="A60" s="218" t="s">
        <v>60</v>
      </c>
      <c r="B60" s="215" t="s">
        <v>61</v>
      </c>
      <c r="C60" s="215" t="s">
        <v>211</v>
      </c>
      <c r="D60" s="216" t="s">
        <v>400</v>
      </c>
      <c r="E60" s="215" t="s">
        <v>61</v>
      </c>
      <c r="F60" s="215" t="s">
        <v>401</v>
      </c>
      <c r="H60" s="71" t="s">
        <v>952</v>
      </c>
      <c r="I60" s="72" t="s">
        <v>953</v>
      </c>
    </row>
    <row r="61" spans="1:10" x14ac:dyDescent="0.35">
      <c r="A61" s="218" t="s">
        <v>162</v>
      </c>
      <c r="B61" s="215" t="s">
        <v>163</v>
      </c>
      <c r="C61" s="215" t="s">
        <v>211</v>
      </c>
      <c r="D61" s="216"/>
      <c r="E61" s="215" t="s">
        <v>163</v>
      </c>
      <c r="F61" s="215" t="s">
        <v>402</v>
      </c>
    </row>
    <row r="62" spans="1:10" x14ac:dyDescent="0.35">
      <c r="A62" s="218" t="s">
        <v>63</v>
      </c>
      <c r="B62" s="215" t="s">
        <v>64</v>
      </c>
      <c r="C62" s="215" t="s">
        <v>211</v>
      </c>
      <c r="D62" s="216"/>
      <c r="E62" s="215" t="s">
        <v>64</v>
      </c>
      <c r="F62" s="215" t="s">
        <v>404</v>
      </c>
    </row>
    <row r="63" spans="1:10" x14ac:dyDescent="0.35">
      <c r="A63" s="218" t="s">
        <v>65</v>
      </c>
      <c r="B63" s="215" t="s">
        <v>35</v>
      </c>
      <c r="C63" s="215" t="s">
        <v>211</v>
      </c>
      <c r="D63" s="216"/>
      <c r="E63" s="215" t="s">
        <v>35</v>
      </c>
      <c r="F63" s="215" t="s">
        <v>406</v>
      </c>
      <c r="H63" s="349" t="s">
        <v>701</v>
      </c>
      <c r="I63" s="349"/>
    </row>
    <row r="64" spans="1:10" x14ac:dyDescent="0.35">
      <c r="A64" s="218" t="s">
        <v>188</v>
      </c>
      <c r="B64" s="215" t="s">
        <v>189</v>
      </c>
      <c r="C64" s="215" t="s">
        <v>211</v>
      </c>
      <c r="D64" s="216"/>
      <c r="E64" s="215" t="s">
        <v>189</v>
      </c>
      <c r="F64" s="215" t="s">
        <v>407</v>
      </c>
      <c r="H64" s="42" t="s">
        <v>454</v>
      </c>
      <c r="I64" s="43" t="s">
        <v>564</v>
      </c>
      <c r="J64" s="98" t="s">
        <v>1188</v>
      </c>
    </row>
    <row r="65" spans="1:10" x14ac:dyDescent="0.35">
      <c r="A65" s="218" t="s">
        <v>165</v>
      </c>
      <c r="B65" s="215" t="s">
        <v>166</v>
      </c>
      <c r="C65" s="215" t="s">
        <v>211</v>
      </c>
      <c r="D65" s="216"/>
      <c r="E65" s="215" t="s">
        <v>166</v>
      </c>
      <c r="F65" s="215" t="s">
        <v>408</v>
      </c>
      <c r="H65" s="23" t="s">
        <v>988</v>
      </c>
      <c r="I65" s="34" t="s">
        <v>989</v>
      </c>
      <c r="J65" s="98" t="s">
        <v>1189</v>
      </c>
    </row>
    <row r="66" spans="1:10" x14ac:dyDescent="0.35">
      <c r="A66" s="218" t="s">
        <v>1261</v>
      </c>
      <c r="B66" s="215" t="s">
        <v>1262</v>
      </c>
      <c r="C66" s="215" t="s">
        <v>211</v>
      </c>
      <c r="D66" s="215"/>
      <c r="E66" s="215" t="s">
        <v>1263</v>
      </c>
      <c r="F66" s="215" t="s">
        <v>373</v>
      </c>
      <c r="H66" s="23" t="s">
        <v>990</v>
      </c>
      <c r="I66" s="34" t="s">
        <v>991</v>
      </c>
      <c r="J66" s="98" t="s">
        <v>1190</v>
      </c>
    </row>
    <row r="67" spans="1:10" x14ac:dyDescent="0.35">
      <c r="A67" s="218" t="s">
        <v>167</v>
      </c>
      <c r="B67" s="215" t="s">
        <v>168</v>
      </c>
      <c r="C67" s="215" t="s">
        <v>211</v>
      </c>
      <c r="D67" s="216"/>
      <c r="E67" s="215" t="s">
        <v>168</v>
      </c>
      <c r="F67" s="215" t="s">
        <v>409</v>
      </c>
      <c r="H67" s="23" t="s">
        <v>464</v>
      </c>
      <c r="I67" s="34" t="s">
        <v>992</v>
      </c>
      <c r="J67" s="98" t="s">
        <v>1191</v>
      </c>
    </row>
    <row r="68" spans="1:10" x14ac:dyDescent="0.35">
      <c r="A68" s="218" t="s">
        <v>66</v>
      </c>
      <c r="B68" s="215" t="s">
        <v>67</v>
      </c>
      <c r="C68" s="215" t="s">
        <v>211</v>
      </c>
      <c r="D68" s="216" t="s">
        <v>320</v>
      </c>
      <c r="E68" s="215" t="s">
        <v>67</v>
      </c>
      <c r="F68" s="215" t="s">
        <v>411</v>
      </c>
      <c r="H68" s="40" t="s">
        <v>465</v>
      </c>
      <c r="I68" s="41" t="s">
        <v>993</v>
      </c>
      <c r="J68" s="98" t="s">
        <v>1192</v>
      </c>
    </row>
    <row r="69" spans="1:10" x14ac:dyDescent="0.35">
      <c r="A69" s="218" t="s">
        <v>70</v>
      </c>
      <c r="B69" s="215" t="s">
        <v>71</v>
      </c>
      <c r="C69" s="215" t="s">
        <v>211</v>
      </c>
      <c r="D69" s="216"/>
      <c r="E69" s="215" t="s">
        <v>71</v>
      </c>
      <c r="F69" s="215" t="s">
        <v>412</v>
      </c>
    </row>
    <row r="70" spans="1:10" x14ac:dyDescent="0.35">
      <c r="A70" s="218" t="s">
        <v>72</v>
      </c>
      <c r="B70" s="215" t="s">
        <v>73</v>
      </c>
      <c r="C70" s="215" t="s">
        <v>211</v>
      </c>
      <c r="D70" s="216"/>
      <c r="E70" s="215" t="s">
        <v>73</v>
      </c>
      <c r="F70" s="215" t="s">
        <v>415</v>
      </c>
    </row>
    <row r="71" spans="1:10" x14ac:dyDescent="0.35">
      <c r="A71" s="218" t="s">
        <v>1264</v>
      </c>
      <c r="B71" s="215" t="s">
        <v>74</v>
      </c>
      <c r="C71" s="215" t="s">
        <v>211</v>
      </c>
      <c r="D71" s="216" t="s">
        <v>384</v>
      </c>
      <c r="E71" s="215" t="s">
        <v>74</v>
      </c>
      <c r="F71" s="215" t="s">
        <v>416</v>
      </c>
    </row>
    <row r="72" spans="1:10" x14ac:dyDescent="0.35">
      <c r="A72" s="218" t="s">
        <v>1265</v>
      </c>
      <c r="B72" s="215" t="s">
        <v>1266</v>
      </c>
      <c r="C72" s="215" t="s">
        <v>211</v>
      </c>
      <c r="D72" s="215"/>
      <c r="E72" s="215" t="s">
        <v>1267</v>
      </c>
      <c r="F72" s="215" t="s">
        <v>373</v>
      </c>
    </row>
    <row r="73" spans="1:10" x14ac:dyDescent="0.35">
      <c r="A73" s="218" t="s">
        <v>173</v>
      </c>
      <c r="B73" s="215" t="s">
        <v>174</v>
      </c>
      <c r="C73" s="215" t="s">
        <v>211</v>
      </c>
      <c r="D73" s="216" t="s">
        <v>850</v>
      </c>
      <c r="E73" s="215" t="s">
        <v>174</v>
      </c>
      <c r="F73" s="215" t="s">
        <v>418</v>
      </c>
    </row>
    <row r="74" spans="1:10" x14ac:dyDescent="0.35">
      <c r="A74" s="218" t="s">
        <v>176</v>
      </c>
      <c r="B74" s="215" t="s">
        <v>177</v>
      </c>
      <c r="C74" s="215" t="s">
        <v>211</v>
      </c>
      <c r="D74" s="216"/>
      <c r="E74" s="215" t="s">
        <v>177</v>
      </c>
      <c r="F74" s="215" t="s">
        <v>421</v>
      </c>
    </row>
    <row r="75" spans="1:10" x14ac:dyDescent="0.35">
      <c r="A75" s="218" t="s">
        <v>75</v>
      </c>
      <c r="B75" s="215" t="s">
        <v>76</v>
      </c>
      <c r="C75" s="215" t="s">
        <v>211</v>
      </c>
      <c r="D75" s="14" t="s">
        <v>849</v>
      </c>
      <c r="E75" s="215" t="s">
        <v>76</v>
      </c>
      <c r="F75" s="215" t="s">
        <v>423</v>
      </c>
    </row>
    <row r="76" spans="1:10" x14ac:dyDescent="0.35">
      <c r="A76" s="218" t="s">
        <v>1268</v>
      </c>
      <c r="B76" s="215" t="s">
        <v>179</v>
      </c>
      <c r="C76" s="215" t="s">
        <v>211</v>
      </c>
      <c r="E76" s="215" t="s">
        <v>179</v>
      </c>
      <c r="F76" s="215" t="s">
        <v>424</v>
      </c>
    </row>
    <row r="77" spans="1:10" x14ac:dyDescent="0.35">
      <c r="A77" s="218" t="s">
        <v>428</v>
      </c>
      <c r="B77" s="215" t="s">
        <v>180</v>
      </c>
      <c r="C77" s="215" t="s">
        <v>211</v>
      </c>
      <c r="D77" s="216"/>
      <c r="E77" s="215" t="s">
        <v>180</v>
      </c>
      <c r="F77" s="215" t="s">
        <v>429</v>
      </c>
    </row>
    <row r="78" spans="1:10" x14ac:dyDescent="0.35">
      <c r="A78" s="218" t="s">
        <v>78</v>
      </c>
      <c r="B78" s="215" t="s">
        <v>79</v>
      </c>
      <c r="C78" s="215" t="s">
        <v>211</v>
      </c>
      <c r="D78" s="216" t="s">
        <v>432</v>
      </c>
      <c r="E78" s="215" t="s">
        <v>79</v>
      </c>
      <c r="F78" s="215" t="s">
        <v>433</v>
      </c>
    </row>
    <row r="79" spans="1:10" x14ac:dyDescent="0.35">
      <c r="A79" s="218" t="s">
        <v>80</v>
      </c>
      <c r="B79" s="215" t="s">
        <v>39</v>
      </c>
      <c r="C79" s="215" t="s">
        <v>211</v>
      </c>
      <c r="D79" s="216"/>
      <c r="E79" s="215" t="s">
        <v>39</v>
      </c>
      <c r="F79" s="215" t="s">
        <v>83</v>
      </c>
    </row>
    <row r="80" spans="1:10" x14ac:dyDescent="0.35">
      <c r="A80" s="218" t="s">
        <v>1288</v>
      </c>
      <c r="B80" s="215" t="s">
        <v>82</v>
      </c>
      <c r="C80" s="215" t="s">
        <v>211</v>
      </c>
      <c r="D80" s="216"/>
      <c r="E80" s="215" t="s">
        <v>82</v>
      </c>
      <c r="F80" s="215" t="s">
        <v>58</v>
      </c>
    </row>
    <row r="81" spans="1:9" x14ac:dyDescent="0.35">
      <c r="A81" s="218" t="s">
        <v>1269</v>
      </c>
      <c r="B81" s="215" t="s">
        <v>1270</v>
      </c>
      <c r="C81" s="215" t="s">
        <v>211</v>
      </c>
      <c r="D81" s="216"/>
      <c r="E81" s="215" t="s">
        <v>89</v>
      </c>
      <c r="F81" s="215" t="s">
        <v>436</v>
      </c>
    </row>
    <row r="82" spans="1:9" x14ac:dyDescent="0.35">
      <c r="A82" s="218" t="s">
        <v>1271</v>
      </c>
      <c r="B82" s="215" t="s">
        <v>1272</v>
      </c>
      <c r="C82" s="215" t="s">
        <v>211</v>
      </c>
      <c r="D82" s="216"/>
      <c r="E82" s="215" t="s">
        <v>95</v>
      </c>
      <c r="F82" s="215" t="s">
        <v>437</v>
      </c>
    </row>
    <row r="83" spans="1:9" x14ac:dyDescent="0.35">
      <c r="A83" s="218" t="s">
        <v>1273</v>
      </c>
      <c r="B83" s="215" t="s">
        <v>1274</v>
      </c>
      <c r="C83" s="215" t="s">
        <v>211</v>
      </c>
      <c r="D83" s="216"/>
      <c r="E83" s="215" t="s">
        <v>91</v>
      </c>
      <c r="F83" s="215" t="s">
        <v>438</v>
      </c>
    </row>
    <row r="84" spans="1:9" x14ac:dyDescent="0.35">
      <c r="A84" s="218" t="s">
        <v>1275</v>
      </c>
      <c r="B84" s="215" t="s">
        <v>1276</v>
      </c>
      <c r="C84" s="215" t="s">
        <v>211</v>
      </c>
      <c r="D84" s="216" t="s">
        <v>847</v>
      </c>
      <c r="E84" s="215" t="s">
        <v>94</v>
      </c>
      <c r="F84" s="215" t="s">
        <v>439</v>
      </c>
    </row>
    <row r="85" spans="1:9" x14ac:dyDescent="0.35">
      <c r="A85" s="218" t="s">
        <v>84</v>
      </c>
      <c r="B85" s="215" t="s">
        <v>84</v>
      </c>
      <c r="C85" s="215" t="s">
        <v>211</v>
      </c>
      <c r="D85" s="216" t="s">
        <v>434</v>
      </c>
      <c r="E85" s="215" t="s">
        <v>84</v>
      </c>
      <c r="F85" s="215" t="s">
        <v>435</v>
      </c>
    </row>
    <row r="86" spans="1:9" x14ac:dyDescent="0.35">
      <c r="A86" s="218" t="s">
        <v>87</v>
      </c>
      <c r="B86" s="215" t="s">
        <v>88</v>
      </c>
      <c r="C86" s="215" t="s">
        <v>211</v>
      </c>
      <c r="D86" s="216"/>
      <c r="E86" s="215" t="s">
        <v>88</v>
      </c>
      <c r="F86" s="215" t="s">
        <v>441</v>
      </c>
    </row>
    <row r="87" spans="1:9" x14ac:dyDescent="0.35">
      <c r="A87" s="218" t="s">
        <v>98</v>
      </c>
      <c r="B87" s="215" t="s">
        <v>99</v>
      </c>
      <c r="C87" s="215" t="s">
        <v>211</v>
      </c>
      <c r="D87" s="216" t="s">
        <v>384</v>
      </c>
      <c r="E87" s="215" t="s">
        <v>99</v>
      </c>
      <c r="F87" s="215" t="s">
        <v>444</v>
      </c>
    </row>
    <row r="88" spans="1:9" ht="12.45" thickBot="1" x14ac:dyDescent="0.4">
      <c r="A88" s="218" t="s">
        <v>1277</v>
      </c>
      <c r="B88" s="215" t="s">
        <v>1278</v>
      </c>
      <c r="C88" s="113" t="s">
        <v>211</v>
      </c>
      <c r="D88" s="215"/>
      <c r="E88" s="215" t="s">
        <v>1279</v>
      </c>
      <c r="F88" s="215" t="s">
        <v>373</v>
      </c>
    </row>
    <row r="89" spans="1:9" ht="12.9" x14ac:dyDescent="0.35">
      <c r="A89" s="218" t="s">
        <v>229</v>
      </c>
      <c r="B89" s="215" t="s">
        <v>230</v>
      </c>
      <c r="C89" s="215" t="s">
        <v>323</v>
      </c>
      <c r="D89" s="216"/>
      <c r="E89" s="215" t="s">
        <v>230</v>
      </c>
      <c r="F89" s="215" t="s">
        <v>324</v>
      </c>
      <c r="I89" s="219"/>
    </row>
    <row r="90" spans="1:9" ht="12.9" x14ac:dyDescent="0.35">
      <c r="A90" s="218" t="s">
        <v>101</v>
      </c>
      <c r="B90" s="215" t="s">
        <v>102</v>
      </c>
      <c r="C90" s="215" t="s">
        <v>323</v>
      </c>
      <c r="D90" s="216"/>
      <c r="E90" s="215" t="s">
        <v>336</v>
      </c>
      <c r="F90" s="215" t="s">
        <v>105</v>
      </c>
      <c r="I90" s="219"/>
    </row>
    <row r="91" spans="1:9" ht="12.9" x14ac:dyDescent="0.35">
      <c r="A91" s="218" t="s">
        <v>130</v>
      </c>
      <c r="B91" s="215" t="s">
        <v>131</v>
      </c>
      <c r="C91" s="215" t="s">
        <v>323</v>
      </c>
      <c r="D91" s="216"/>
      <c r="E91" s="215" t="s">
        <v>131</v>
      </c>
      <c r="F91" s="215" t="s">
        <v>339</v>
      </c>
      <c r="I91" s="219"/>
    </row>
    <row r="92" spans="1:9" ht="12.9" x14ac:dyDescent="0.35">
      <c r="A92" s="218" t="s">
        <v>103</v>
      </c>
      <c r="B92" s="215" t="s">
        <v>104</v>
      </c>
      <c r="C92" s="215" t="s">
        <v>323</v>
      </c>
      <c r="D92" s="216"/>
      <c r="E92" s="215" t="s">
        <v>104</v>
      </c>
      <c r="F92" s="215" t="s">
        <v>386</v>
      </c>
      <c r="I92" s="219"/>
    </row>
    <row r="93" spans="1:9" ht="12.45" thickBot="1" x14ac:dyDescent="0.4">
      <c r="A93" s="218" t="s">
        <v>218</v>
      </c>
      <c r="B93" s="215" t="s">
        <v>219</v>
      </c>
      <c r="C93" s="113" t="s">
        <v>323</v>
      </c>
      <c r="D93" s="216"/>
      <c r="E93" s="215" t="s">
        <v>219</v>
      </c>
      <c r="F93" s="215" t="s">
        <v>426</v>
      </c>
    </row>
    <row r="94" spans="1:9" x14ac:dyDescent="0.35">
      <c r="A94" s="218" t="s">
        <v>852</v>
      </c>
      <c r="B94" s="215" t="s">
        <v>853</v>
      </c>
      <c r="C94" s="215" t="s">
        <v>313</v>
      </c>
      <c r="D94" s="216"/>
      <c r="E94" s="215" t="s">
        <v>853</v>
      </c>
      <c r="F94" s="215" t="s">
        <v>854</v>
      </c>
    </row>
    <row r="95" spans="1:9" x14ac:dyDescent="0.35">
      <c r="A95" s="218" t="s">
        <v>212</v>
      </c>
      <c r="B95" s="215" t="s">
        <v>92</v>
      </c>
      <c r="C95" s="215" t="s">
        <v>313</v>
      </c>
      <c r="D95" s="216"/>
      <c r="E95" s="215" t="s">
        <v>92</v>
      </c>
      <c r="F95" s="215" t="s">
        <v>314</v>
      </c>
    </row>
    <row r="96" spans="1:9" x14ac:dyDescent="0.35">
      <c r="A96" s="218" t="s">
        <v>108</v>
      </c>
      <c r="B96" s="215" t="s">
        <v>109</v>
      </c>
      <c r="C96" s="215" t="s">
        <v>313</v>
      </c>
      <c r="D96" s="216"/>
      <c r="E96" s="215" t="s">
        <v>109</v>
      </c>
      <c r="F96" s="215" t="s">
        <v>315</v>
      </c>
    </row>
    <row r="97" spans="1:6" x14ac:dyDescent="0.35">
      <c r="A97" s="218" t="s">
        <v>110</v>
      </c>
      <c r="B97" s="215" t="s">
        <v>111</v>
      </c>
      <c r="C97" s="215" t="s">
        <v>313</v>
      </c>
      <c r="D97" s="216"/>
      <c r="E97" s="215" t="s">
        <v>111</v>
      </c>
      <c r="F97" s="215" t="s">
        <v>316</v>
      </c>
    </row>
    <row r="98" spans="1:6" x14ac:dyDescent="0.35">
      <c r="A98" s="218" t="s">
        <v>190</v>
      </c>
      <c r="B98" s="215" t="s">
        <v>114</v>
      </c>
      <c r="C98" s="215" t="s">
        <v>313</v>
      </c>
      <c r="D98" s="216"/>
      <c r="E98" s="215" t="s">
        <v>114</v>
      </c>
      <c r="F98" s="215" t="s">
        <v>317</v>
      </c>
    </row>
    <row r="99" spans="1:6" x14ac:dyDescent="0.35">
      <c r="A99" s="218" t="s">
        <v>855</v>
      </c>
      <c r="B99" s="215" t="s">
        <v>856</v>
      </c>
      <c r="C99" s="215" t="s">
        <v>313</v>
      </c>
      <c r="D99" s="216"/>
      <c r="E99" s="215" t="s">
        <v>856</v>
      </c>
      <c r="F99" s="215" t="s">
        <v>857</v>
      </c>
    </row>
    <row r="100" spans="1:6" x14ac:dyDescent="0.35">
      <c r="A100" s="218" t="s">
        <v>213</v>
      </c>
      <c r="B100" s="215" t="s">
        <v>214</v>
      </c>
      <c r="C100" s="215" t="s">
        <v>313</v>
      </c>
      <c r="D100" s="216"/>
      <c r="E100" s="215" t="s">
        <v>214</v>
      </c>
      <c r="F100" s="215" t="s">
        <v>318</v>
      </c>
    </row>
    <row r="101" spans="1:6" x14ac:dyDescent="0.35">
      <c r="A101" s="218" t="s">
        <v>115</v>
      </c>
      <c r="B101" s="215" t="s">
        <v>93</v>
      </c>
      <c r="C101" s="215" t="s">
        <v>313</v>
      </c>
      <c r="D101" s="216"/>
      <c r="E101" s="215" t="s">
        <v>93</v>
      </c>
      <c r="F101" s="215" t="s">
        <v>319</v>
      </c>
    </row>
    <row r="102" spans="1:6" x14ac:dyDescent="0.35">
      <c r="A102" s="218" t="s">
        <v>117</v>
      </c>
      <c r="B102" s="215" t="s">
        <v>118</v>
      </c>
      <c r="C102" s="215" t="s">
        <v>313</v>
      </c>
      <c r="D102" s="216"/>
      <c r="E102" s="215" t="s">
        <v>118</v>
      </c>
      <c r="F102" s="215" t="s">
        <v>322</v>
      </c>
    </row>
    <row r="103" spans="1:6" x14ac:dyDescent="0.35">
      <c r="A103" s="218" t="s">
        <v>1169</v>
      </c>
      <c r="B103" s="215" t="s">
        <v>1170</v>
      </c>
      <c r="C103" s="215" t="s">
        <v>313</v>
      </c>
      <c r="D103" s="218"/>
      <c r="E103" s="215" t="s">
        <v>1170</v>
      </c>
      <c r="F103" s="215" t="s">
        <v>1171</v>
      </c>
    </row>
    <row r="104" spans="1:6" x14ac:dyDescent="0.35">
      <c r="A104" s="218" t="s">
        <v>858</v>
      </c>
      <c r="B104" s="215" t="s">
        <v>859</v>
      </c>
      <c r="C104" s="215" t="s">
        <v>313</v>
      </c>
      <c r="D104" s="216"/>
      <c r="E104" s="215" t="s">
        <v>859</v>
      </c>
      <c r="F104" s="215" t="s">
        <v>860</v>
      </c>
    </row>
    <row r="105" spans="1:6" x14ac:dyDescent="0.35">
      <c r="A105" s="218" t="s">
        <v>967</v>
      </c>
      <c r="B105" s="215" t="s">
        <v>968</v>
      </c>
      <c r="C105" s="215" t="s">
        <v>313</v>
      </c>
      <c r="D105" s="215"/>
      <c r="E105" s="215" t="s">
        <v>968</v>
      </c>
      <c r="F105" s="215" t="s">
        <v>969</v>
      </c>
    </row>
    <row r="106" spans="1:6" x14ac:dyDescent="0.35">
      <c r="A106" s="218" t="s">
        <v>120</v>
      </c>
      <c r="B106" s="215" t="s">
        <v>121</v>
      </c>
      <c r="C106" s="215" t="s">
        <v>313</v>
      </c>
      <c r="D106" s="216"/>
      <c r="E106" s="215" t="s">
        <v>121</v>
      </c>
      <c r="F106" s="215" t="s">
        <v>327</v>
      </c>
    </row>
    <row r="107" spans="1:6" x14ac:dyDescent="0.35">
      <c r="A107" s="218" t="s">
        <v>122</v>
      </c>
      <c r="B107" s="215" t="s">
        <v>123</v>
      </c>
      <c r="C107" s="215" t="s">
        <v>313</v>
      </c>
      <c r="D107" s="216"/>
      <c r="E107" s="215" t="s">
        <v>123</v>
      </c>
      <c r="F107" s="215" t="s">
        <v>328</v>
      </c>
    </row>
    <row r="108" spans="1:6" x14ac:dyDescent="0.35">
      <c r="A108" s="218" t="s">
        <v>124</v>
      </c>
      <c r="B108" s="215" t="s">
        <v>125</v>
      </c>
      <c r="C108" s="215" t="s">
        <v>313</v>
      </c>
      <c r="D108" s="216"/>
      <c r="E108" s="215" t="s">
        <v>125</v>
      </c>
      <c r="F108" s="215" t="s">
        <v>332</v>
      </c>
    </row>
    <row r="109" spans="1:6" x14ac:dyDescent="0.35">
      <c r="A109" s="218" t="s">
        <v>192</v>
      </c>
      <c r="B109" s="215" t="s">
        <v>193</v>
      </c>
      <c r="C109" s="215" t="s">
        <v>313</v>
      </c>
      <c r="D109" s="216"/>
      <c r="E109" s="215" t="s">
        <v>193</v>
      </c>
      <c r="F109" s="215" t="s">
        <v>333</v>
      </c>
    </row>
    <row r="110" spans="1:6" x14ac:dyDescent="0.35">
      <c r="A110" s="218" t="s">
        <v>126</v>
      </c>
      <c r="B110" s="215" t="s">
        <v>127</v>
      </c>
      <c r="C110" s="215" t="s">
        <v>323</v>
      </c>
      <c r="D110" s="216"/>
      <c r="E110" s="215" t="s">
        <v>127</v>
      </c>
      <c r="F110" s="215" t="s">
        <v>337</v>
      </c>
    </row>
    <row r="111" spans="1:6" x14ac:dyDescent="0.35">
      <c r="A111" s="218" t="s">
        <v>128</v>
      </c>
      <c r="B111" s="215" t="s">
        <v>129</v>
      </c>
      <c r="C111" s="215" t="s">
        <v>313</v>
      </c>
      <c r="D111" s="216"/>
      <c r="E111" s="215" t="s">
        <v>129</v>
      </c>
      <c r="F111" s="215" t="s">
        <v>338</v>
      </c>
    </row>
    <row r="112" spans="1:6" x14ac:dyDescent="0.35">
      <c r="A112" s="218" t="s">
        <v>861</v>
      </c>
      <c r="B112" s="215" t="s">
        <v>862</v>
      </c>
      <c r="C112" s="215" t="s">
        <v>313</v>
      </c>
      <c r="D112" s="216"/>
      <c r="E112" s="215" t="s">
        <v>862</v>
      </c>
      <c r="F112" s="215" t="s">
        <v>863</v>
      </c>
    </row>
    <row r="113" spans="1:6" x14ac:dyDescent="0.35">
      <c r="A113" s="218" t="s">
        <v>132</v>
      </c>
      <c r="B113" s="215" t="s">
        <v>133</v>
      </c>
      <c r="C113" s="215" t="s">
        <v>313</v>
      </c>
      <c r="D113" s="216"/>
      <c r="E113" s="215" t="s">
        <v>133</v>
      </c>
      <c r="F113" s="215" t="s">
        <v>342</v>
      </c>
    </row>
    <row r="114" spans="1:6" x14ac:dyDescent="0.35">
      <c r="A114" s="218" t="s">
        <v>985</v>
      </c>
      <c r="B114" s="215" t="s">
        <v>986</v>
      </c>
      <c r="C114" s="215" t="s">
        <v>313</v>
      </c>
      <c r="D114" s="216"/>
      <c r="E114" s="215" t="s">
        <v>986</v>
      </c>
      <c r="F114" s="215" t="s">
        <v>987</v>
      </c>
    </row>
    <row r="115" spans="1:6" x14ac:dyDescent="0.35">
      <c r="A115" s="218" t="s">
        <v>134</v>
      </c>
      <c r="B115" s="215" t="s">
        <v>135</v>
      </c>
      <c r="C115" s="215" t="s">
        <v>313</v>
      </c>
      <c r="D115" s="216"/>
      <c r="E115" s="215" t="s">
        <v>135</v>
      </c>
      <c r="F115" s="215" t="s">
        <v>345</v>
      </c>
    </row>
    <row r="116" spans="1:6" x14ac:dyDescent="0.35">
      <c r="A116" s="218" t="s">
        <v>136</v>
      </c>
      <c r="B116" s="215" t="s">
        <v>137</v>
      </c>
      <c r="C116" s="215" t="s">
        <v>313</v>
      </c>
      <c r="D116" s="216"/>
      <c r="E116" s="215" t="s">
        <v>137</v>
      </c>
      <c r="F116" s="215" t="s">
        <v>346</v>
      </c>
    </row>
    <row r="117" spans="1:6" x14ac:dyDescent="0.35">
      <c r="A117" s="218" t="s">
        <v>215</v>
      </c>
      <c r="B117" s="215" t="s">
        <v>216</v>
      </c>
      <c r="C117" s="215" t="s">
        <v>313</v>
      </c>
      <c r="D117" s="216"/>
      <c r="E117" s="215" t="s">
        <v>216</v>
      </c>
      <c r="F117" s="215" t="s">
        <v>347</v>
      </c>
    </row>
    <row r="118" spans="1:6" x14ac:dyDescent="0.35">
      <c r="A118" s="218" t="s">
        <v>217</v>
      </c>
      <c r="B118" s="215" t="s">
        <v>90</v>
      </c>
      <c r="C118" s="215" t="s">
        <v>313</v>
      </c>
      <c r="D118" s="216"/>
      <c r="E118" s="215" t="s">
        <v>90</v>
      </c>
      <c r="F118" s="215" t="s">
        <v>374</v>
      </c>
    </row>
    <row r="119" spans="1:6" x14ac:dyDescent="0.35">
      <c r="A119" s="218" t="s">
        <v>141</v>
      </c>
      <c r="B119" s="215" t="s">
        <v>142</v>
      </c>
      <c r="C119" s="215" t="s">
        <v>313</v>
      </c>
      <c r="D119" s="216"/>
      <c r="E119" s="215" t="s">
        <v>142</v>
      </c>
      <c r="F119" s="215" t="s">
        <v>375</v>
      </c>
    </row>
    <row r="120" spans="1:6" x14ac:dyDescent="0.35">
      <c r="A120" s="218" t="s">
        <v>864</v>
      </c>
      <c r="B120" s="215" t="s">
        <v>865</v>
      </c>
      <c r="C120" s="215" t="s">
        <v>313</v>
      </c>
      <c r="D120" s="216"/>
      <c r="E120" s="215" t="s">
        <v>865</v>
      </c>
      <c r="F120" s="215" t="s">
        <v>866</v>
      </c>
    </row>
    <row r="121" spans="1:6" x14ac:dyDescent="0.35">
      <c r="A121" s="218" t="s">
        <v>146</v>
      </c>
      <c r="B121" s="215" t="s">
        <v>147</v>
      </c>
      <c r="C121" s="215" t="s">
        <v>313</v>
      </c>
      <c r="D121" s="216"/>
      <c r="E121" s="215" t="s">
        <v>147</v>
      </c>
      <c r="F121" s="215" t="s">
        <v>379</v>
      </c>
    </row>
    <row r="122" spans="1:6" x14ac:dyDescent="0.35">
      <c r="A122" s="218" t="s">
        <v>1280</v>
      </c>
      <c r="B122" s="215" t="s">
        <v>1281</v>
      </c>
      <c r="C122" s="215" t="s">
        <v>313</v>
      </c>
      <c r="D122" s="215"/>
      <c r="E122" s="215" t="s">
        <v>1281</v>
      </c>
      <c r="F122" s="215" t="s">
        <v>1282</v>
      </c>
    </row>
    <row r="123" spans="1:6" x14ac:dyDescent="0.35">
      <c r="A123" s="218" t="s">
        <v>867</v>
      </c>
      <c r="B123" s="215" t="s">
        <v>868</v>
      </c>
      <c r="C123" s="215" t="s">
        <v>313</v>
      </c>
      <c r="D123" s="216"/>
      <c r="E123" s="215" t="s">
        <v>868</v>
      </c>
      <c r="F123" s="215" t="s">
        <v>869</v>
      </c>
    </row>
    <row r="124" spans="1:6" x14ac:dyDescent="0.35">
      <c r="A124" s="218" t="s">
        <v>870</v>
      </c>
      <c r="B124" s="215" t="s">
        <v>871</v>
      </c>
      <c r="C124" s="215" t="s">
        <v>313</v>
      </c>
      <c r="D124" s="216"/>
      <c r="E124" s="215" t="s">
        <v>871</v>
      </c>
      <c r="F124" s="215" t="s">
        <v>872</v>
      </c>
    </row>
    <row r="125" spans="1:6" x14ac:dyDescent="0.35">
      <c r="A125" s="218" t="s">
        <v>197</v>
      </c>
      <c r="B125" s="215" t="s">
        <v>198</v>
      </c>
      <c r="C125" s="215" t="s">
        <v>313</v>
      </c>
      <c r="D125" s="216"/>
      <c r="E125" s="215" t="s">
        <v>198</v>
      </c>
      <c r="F125" s="215" t="s">
        <v>389</v>
      </c>
    </row>
    <row r="126" spans="1:6" x14ac:dyDescent="0.35">
      <c r="A126" s="218" t="s">
        <v>873</v>
      </c>
      <c r="B126" s="215" t="s">
        <v>874</v>
      </c>
      <c r="C126" s="215" t="s">
        <v>313</v>
      </c>
      <c r="D126" s="216"/>
      <c r="E126" s="215" t="s">
        <v>874</v>
      </c>
      <c r="F126" s="215" t="s">
        <v>875</v>
      </c>
    </row>
    <row r="127" spans="1:6" x14ac:dyDescent="0.35">
      <c r="A127" s="218" t="s">
        <v>390</v>
      </c>
      <c r="B127" s="215" t="s">
        <v>199</v>
      </c>
      <c r="C127" s="215" t="s">
        <v>313</v>
      </c>
      <c r="D127" s="216"/>
      <c r="E127" s="215" t="s">
        <v>199</v>
      </c>
      <c r="F127" s="215" t="s">
        <v>391</v>
      </c>
    </row>
    <row r="128" spans="1:6" x14ac:dyDescent="0.35">
      <c r="A128" s="218" t="s">
        <v>1172</v>
      </c>
      <c r="B128" s="215" t="s">
        <v>1173</v>
      </c>
      <c r="C128" s="215" t="s">
        <v>313</v>
      </c>
      <c r="D128" s="218"/>
      <c r="E128" s="215" t="s">
        <v>1173</v>
      </c>
      <c r="F128" s="215" t="s">
        <v>1174</v>
      </c>
    </row>
    <row r="129" spans="1:6" x14ac:dyDescent="0.35">
      <c r="A129" s="218" t="s">
        <v>152</v>
      </c>
      <c r="B129" s="215" t="s">
        <v>153</v>
      </c>
      <c r="C129" s="215" t="s">
        <v>313</v>
      </c>
      <c r="D129" s="216"/>
      <c r="E129" s="215" t="s">
        <v>153</v>
      </c>
      <c r="F129" s="215" t="s">
        <v>392</v>
      </c>
    </row>
    <row r="130" spans="1:6" x14ac:dyDescent="0.35">
      <c r="A130" s="218" t="s">
        <v>154</v>
      </c>
      <c r="B130" s="215" t="s">
        <v>155</v>
      </c>
      <c r="C130" s="215" t="s">
        <v>313</v>
      </c>
      <c r="D130" s="216"/>
      <c r="E130" s="215" t="s">
        <v>155</v>
      </c>
      <c r="F130" s="215" t="s">
        <v>393</v>
      </c>
    </row>
    <row r="131" spans="1:6" x14ac:dyDescent="0.35">
      <c r="A131" s="218" t="s">
        <v>876</v>
      </c>
      <c r="B131" s="215" t="s">
        <v>877</v>
      </c>
      <c r="C131" s="215" t="s">
        <v>313</v>
      </c>
      <c r="D131" s="216"/>
      <c r="E131" s="215" t="s">
        <v>877</v>
      </c>
      <c r="F131" s="215" t="s">
        <v>878</v>
      </c>
    </row>
    <row r="132" spans="1:6" x14ac:dyDescent="0.35">
      <c r="A132" s="218" t="s">
        <v>879</v>
      </c>
      <c r="B132" s="215" t="s">
        <v>880</v>
      </c>
      <c r="C132" s="215" t="s">
        <v>313</v>
      </c>
      <c r="D132" s="216"/>
      <c r="E132" s="215" t="s">
        <v>880</v>
      </c>
      <c r="F132" s="215" t="s">
        <v>881</v>
      </c>
    </row>
    <row r="133" spans="1:6" x14ac:dyDescent="0.35">
      <c r="A133" s="218" t="s">
        <v>882</v>
      </c>
      <c r="B133" s="215" t="s">
        <v>883</v>
      </c>
      <c r="C133" s="215" t="s">
        <v>313</v>
      </c>
      <c r="D133" s="216"/>
      <c r="E133" s="215" t="s">
        <v>883</v>
      </c>
      <c r="F133" s="215" t="s">
        <v>884</v>
      </c>
    </row>
    <row r="134" spans="1:6" x14ac:dyDescent="0.35">
      <c r="A134" s="218" t="s">
        <v>157</v>
      </c>
      <c r="B134" s="215" t="s">
        <v>158</v>
      </c>
      <c r="C134" s="215" t="s">
        <v>313</v>
      </c>
      <c r="D134" s="216"/>
      <c r="E134" s="215" t="s">
        <v>158</v>
      </c>
      <c r="F134" s="215" t="s">
        <v>396</v>
      </c>
    </row>
    <row r="135" spans="1:6" x14ac:dyDescent="0.35">
      <c r="A135" s="218" t="s">
        <v>885</v>
      </c>
      <c r="B135" s="215" t="s">
        <v>886</v>
      </c>
      <c r="C135" s="215" t="s">
        <v>313</v>
      </c>
      <c r="D135" s="216"/>
      <c r="E135" s="215" t="s">
        <v>886</v>
      </c>
      <c r="F135" s="215" t="s">
        <v>887</v>
      </c>
    </row>
    <row r="136" spans="1:6" x14ac:dyDescent="0.35">
      <c r="A136" s="218" t="s">
        <v>200</v>
      </c>
      <c r="B136" s="215" t="s">
        <v>201</v>
      </c>
      <c r="C136" s="215" t="s">
        <v>313</v>
      </c>
      <c r="D136" s="216"/>
      <c r="E136" s="215" t="s">
        <v>201</v>
      </c>
      <c r="F136" s="215" t="s">
        <v>399</v>
      </c>
    </row>
    <row r="137" spans="1:6" x14ac:dyDescent="0.35">
      <c r="A137" s="218" t="s">
        <v>888</v>
      </c>
      <c r="B137" s="215" t="s">
        <v>889</v>
      </c>
      <c r="C137" s="215" t="s">
        <v>313</v>
      </c>
      <c r="D137" s="216"/>
      <c r="E137" s="215" t="s">
        <v>889</v>
      </c>
      <c r="F137" s="215" t="s">
        <v>890</v>
      </c>
    </row>
    <row r="138" spans="1:6" x14ac:dyDescent="0.35">
      <c r="A138" s="218" t="s">
        <v>891</v>
      </c>
      <c r="B138" s="215" t="s">
        <v>892</v>
      </c>
      <c r="C138" s="215" t="s">
        <v>313</v>
      </c>
      <c r="D138" s="216"/>
      <c r="E138" s="215" t="s">
        <v>892</v>
      </c>
      <c r="F138" s="215" t="s">
        <v>893</v>
      </c>
    </row>
    <row r="139" spans="1:6" x14ac:dyDescent="0.35">
      <c r="A139" s="218" t="s">
        <v>202</v>
      </c>
      <c r="B139" s="215" t="s">
        <v>203</v>
      </c>
      <c r="C139" s="215" t="s">
        <v>313</v>
      </c>
      <c r="D139" s="216"/>
      <c r="E139" s="215" t="s">
        <v>203</v>
      </c>
      <c r="F139" s="215" t="s">
        <v>403</v>
      </c>
    </row>
    <row r="140" spans="1:6" x14ac:dyDescent="0.35">
      <c r="A140" s="218" t="s">
        <v>894</v>
      </c>
      <c r="B140" s="215" t="s">
        <v>895</v>
      </c>
      <c r="C140" s="215" t="s">
        <v>313</v>
      </c>
      <c r="D140" s="215"/>
      <c r="E140" s="215" t="s">
        <v>895</v>
      </c>
      <c r="F140" s="215" t="s">
        <v>896</v>
      </c>
    </row>
    <row r="141" spans="1:6" x14ac:dyDescent="0.35">
      <c r="A141" s="218" t="s">
        <v>1175</v>
      </c>
      <c r="B141" s="215" t="s">
        <v>1176</v>
      </c>
      <c r="C141" s="215" t="s">
        <v>313</v>
      </c>
      <c r="D141" s="218"/>
      <c r="E141" s="215" t="s">
        <v>1176</v>
      </c>
      <c r="F141" s="215" t="s">
        <v>1177</v>
      </c>
    </row>
    <row r="142" spans="1:6" x14ac:dyDescent="0.35">
      <c r="A142" s="218" t="s">
        <v>231</v>
      </c>
      <c r="B142" s="215" t="s">
        <v>232</v>
      </c>
      <c r="C142" s="215" t="s">
        <v>313</v>
      </c>
      <c r="D142" s="215"/>
      <c r="E142" s="215" t="s">
        <v>232</v>
      </c>
      <c r="F142" s="215" t="s">
        <v>405</v>
      </c>
    </row>
    <row r="143" spans="1:6" x14ac:dyDescent="0.35">
      <c r="A143" s="218" t="s">
        <v>897</v>
      </c>
      <c r="B143" s="215" t="s">
        <v>898</v>
      </c>
      <c r="C143" s="215" t="s">
        <v>313</v>
      </c>
      <c r="D143" s="215"/>
      <c r="E143" s="215" t="s">
        <v>898</v>
      </c>
      <c r="F143" s="215" t="s">
        <v>899</v>
      </c>
    </row>
    <row r="144" spans="1:6" x14ac:dyDescent="0.35">
      <c r="A144" s="218" t="s">
        <v>900</v>
      </c>
      <c r="B144" s="215" t="s">
        <v>901</v>
      </c>
      <c r="C144" s="215" t="s">
        <v>313</v>
      </c>
      <c r="D144" s="215"/>
      <c r="E144" s="215" t="s">
        <v>901</v>
      </c>
      <c r="F144" s="215" t="s">
        <v>902</v>
      </c>
    </row>
    <row r="145" spans="1:6" x14ac:dyDescent="0.35">
      <c r="A145" s="218" t="s">
        <v>903</v>
      </c>
      <c r="B145" s="215" t="s">
        <v>904</v>
      </c>
      <c r="C145" s="215" t="s">
        <v>313</v>
      </c>
      <c r="D145" s="215"/>
      <c r="E145" s="215" t="s">
        <v>904</v>
      </c>
      <c r="F145" s="215" t="s">
        <v>905</v>
      </c>
    </row>
    <row r="146" spans="1:6" x14ac:dyDescent="0.35">
      <c r="A146" s="218" t="s">
        <v>1283</v>
      </c>
      <c r="B146" s="215" t="s">
        <v>1178</v>
      </c>
      <c r="C146" s="215" t="s">
        <v>313</v>
      </c>
      <c r="D146" s="218"/>
      <c r="E146" s="215" t="s">
        <v>1178</v>
      </c>
      <c r="F146" s="215" t="s">
        <v>1179</v>
      </c>
    </row>
    <row r="147" spans="1:6" x14ac:dyDescent="0.35">
      <c r="A147" s="218" t="s">
        <v>906</v>
      </c>
      <c r="B147" s="215" t="s">
        <v>907</v>
      </c>
      <c r="C147" s="215" t="s">
        <v>313</v>
      </c>
      <c r="D147" s="215"/>
      <c r="E147" s="215" t="s">
        <v>907</v>
      </c>
      <c r="F147" s="215" t="s">
        <v>908</v>
      </c>
    </row>
    <row r="148" spans="1:6" x14ac:dyDescent="0.35">
      <c r="A148" s="218" t="s">
        <v>909</v>
      </c>
      <c r="B148" s="215" t="s">
        <v>910</v>
      </c>
      <c r="C148" s="215" t="s">
        <v>313</v>
      </c>
      <c r="D148" s="215"/>
      <c r="E148" s="215" t="s">
        <v>910</v>
      </c>
      <c r="F148" s="215" t="s">
        <v>911</v>
      </c>
    </row>
    <row r="149" spans="1:6" x14ac:dyDescent="0.35">
      <c r="A149" s="218" t="s">
        <v>410</v>
      </c>
      <c r="B149" s="215" t="s">
        <v>205</v>
      </c>
      <c r="C149" s="215" t="s">
        <v>313</v>
      </c>
      <c r="D149" s="215"/>
      <c r="E149" s="215" t="s">
        <v>205</v>
      </c>
      <c r="F149" s="215" t="s">
        <v>85</v>
      </c>
    </row>
    <row r="150" spans="1:6" x14ac:dyDescent="0.35">
      <c r="A150" s="218" t="s">
        <v>912</v>
      </c>
      <c r="B150" s="215" t="s">
        <v>913</v>
      </c>
      <c r="C150" s="215" t="s">
        <v>313</v>
      </c>
      <c r="D150" s="215"/>
      <c r="E150" s="215" t="s">
        <v>913</v>
      </c>
      <c r="F150" s="215" t="s">
        <v>914</v>
      </c>
    </row>
    <row r="151" spans="1:6" x14ac:dyDescent="0.35">
      <c r="A151" s="218" t="s">
        <v>915</v>
      </c>
      <c r="B151" s="215" t="s">
        <v>916</v>
      </c>
      <c r="C151" s="215" t="s">
        <v>313</v>
      </c>
      <c r="D151" s="215"/>
      <c r="E151" s="215" t="s">
        <v>916</v>
      </c>
      <c r="F151" s="215" t="s">
        <v>917</v>
      </c>
    </row>
    <row r="152" spans="1:6" x14ac:dyDescent="0.35">
      <c r="A152" s="218" t="s">
        <v>918</v>
      </c>
      <c r="B152" s="215" t="s">
        <v>919</v>
      </c>
      <c r="C152" s="215" t="s">
        <v>313</v>
      </c>
      <c r="D152" s="215"/>
      <c r="E152" s="215" t="s">
        <v>919</v>
      </c>
      <c r="F152" s="215" t="s">
        <v>920</v>
      </c>
    </row>
    <row r="153" spans="1:6" x14ac:dyDescent="0.35">
      <c r="A153" s="218" t="s">
        <v>170</v>
      </c>
      <c r="B153" s="215" t="s">
        <v>171</v>
      </c>
      <c r="C153" s="215" t="s">
        <v>313</v>
      </c>
      <c r="D153" s="215"/>
      <c r="E153" s="215" t="s">
        <v>171</v>
      </c>
      <c r="F153" s="215" t="s">
        <v>413</v>
      </c>
    </row>
    <row r="154" spans="1:6" x14ac:dyDescent="0.35">
      <c r="A154" s="218" t="s">
        <v>1193</v>
      </c>
      <c r="B154" s="215" t="s">
        <v>1194</v>
      </c>
      <c r="C154" s="215" t="s">
        <v>313</v>
      </c>
      <c r="D154" s="215"/>
      <c r="E154" s="215" t="s">
        <v>1194</v>
      </c>
      <c r="F154" s="215" t="s">
        <v>1195</v>
      </c>
    </row>
    <row r="155" spans="1:6" x14ac:dyDescent="0.35">
      <c r="A155" s="218" t="s">
        <v>204</v>
      </c>
      <c r="B155" s="215" t="s">
        <v>164</v>
      </c>
      <c r="C155" s="215" t="s">
        <v>313</v>
      </c>
      <c r="D155" s="215" t="s">
        <v>185</v>
      </c>
      <c r="E155" s="215" t="s">
        <v>164</v>
      </c>
      <c r="F155" s="215" t="s">
        <v>417</v>
      </c>
    </row>
    <row r="156" spans="1:6" x14ac:dyDescent="0.35">
      <c r="A156" s="218" t="s">
        <v>921</v>
      </c>
      <c r="B156" s="215" t="s">
        <v>922</v>
      </c>
      <c r="C156" s="215" t="s">
        <v>313</v>
      </c>
      <c r="D156" s="215"/>
      <c r="E156" s="215" t="s">
        <v>922</v>
      </c>
      <c r="F156" s="215" t="s">
        <v>923</v>
      </c>
    </row>
    <row r="157" spans="1:6" x14ac:dyDescent="0.35">
      <c r="A157" s="218" t="s">
        <v>1284</v>
      </c>
      <c r="B157" s="215" t="s">
        <v>1285</v>
      </c>
      <c r="C157" s="215" t="s">
        <v>313</v>
      </c>
      <c r="D157" s="215"/>
      <c r="E157" s="215" t="s">
        <v>1285</v>
      </c>
      <c r="F157" s="215" t="s">
        <v>1286</v>
      </c>
    </row>
    <row r="158" spans="1:6" x14ac:dyDescent="0.35">
      <c r="A158" s="218" t="s">
        <v>924</v>
      </c>
      <c r="B158" s="215" t="s">
        <v>925</v>
      </c>
      <c r="C158" s="215" t="s">
        <v>313</v>
      </c>
      <c r="D158" s="215"/>
      <c r="E158" s="215" t="s">
        <v>925</v>
      </c>
      <c r="F158" s="215" t="s">
        <v>926</v>
      </c>
    </row>
    <row r="159" spans="1:6" x14ac:dyDescent="0.35">
      <c r="A159" s="218" t="s">
        <v>233</v>
      </c>
      <c r="B159" s="215" t="s">
        <v>234</v>
      </c>
      <c r="C159" s="215" t="s">
        <v>313</v>
      </c>
      <c r="D159" s="215"/>
      <c r="E159" s="215" t="s">
        <v>234</v>
      </c>
      <c r="F159" s="215" t="s">
        <v>419</v>
      </c>
    </row>
    <row r="160" spans="1:6" x14ac:dyDescent="0.35">
      <c r="A160" s="218" t="s">
        <v>206</v>
      </c>
      <c r="B160" s="215" t="s">
        <v>175</v>
      </c>
      <c r="C160" s="215" t="s">
        <v>313</v>
      </c>
      <c r="D160" s="215"/>
      <c r="E160" s="215" t="s">
        <v>175</v>
      </c>
      <c r="F160" s="215" t="s">
        <v>420</v>
      </c>
    </row>
    <row r="161" spans="1:6" x14ac:dyDescent="0.35">
      <c r="A161" s="218" t="s">
        <v>235</v>
      </c>
      <c r="B161" s="215" t="s">
        <v>236</v>
      </c>
      <c r="C161" s="215" t="s">
        <v>313</v>
      </c>
      <c r="D161" s="215"/>
      <c r="E161" s="215" t="s">
        <v>236</v>
      </c>
      <c r="F161" s="215" t="s">
        <v>422</v>
      </c>
    </row>
    <row r="162" spans="1:6" x14ac:dyDescent="0.35">
      <c r="A162" s="218" t="s">
        <v>927</v>
      </c>
      <c r="B162" s="215" t="s">
        <v>928</v>
      </c>
      <c r="C162" s="215" t="s">
        <v>313</v>
      </c>
      <c r="D162" s="215"/>
      <c r="E162" s="215" t="s">
        <v>928</v>
      </c>
      <c r="F162" s="215" t="s">
        <v>929</v>
      </c>
    </row>
    <row r="163" spans="1:6" x14ac:dyDescent="0.35">
      <c r="A163" s="218" t="s">
        <v>930</v>
      </c>
      <c r="B163" s="215" t="s">
        <v>931</v>
      </c>
      <c r="C163" s="215" t="s">
        <v>313</v>
      </c>
      <c r="D163" s="215"/>
      <c r="E163" s="215" t="s">
        <v>931</v>
      </c>
      <c r="F163" s="215" t="s">
        <v>932</v>
      </c>
    </row>
    <row r="164" spans="1:6" x14ac:dyDescent="0.35">
      <c r="A164" s="218" t="s">
        <v>1287</v>
      </c>
      <c r="B164" s="215" t="s">
        <v>178</v>
      </c>
      <c r="C164" s="215" t="s">
        <v>313</v>
      </c>
      <c r="D164" s="215"/>
      <c r="E164" s="215" t="s">
        <v>178</v>
      </c>
      <c r="F164" s="215" t="s">
        <v>425</v>
      </c>
    </row>
    <row r="165" spans="1:6" x14ac:dyDescent="0.35">
      <c r="A165" s="218" t="s">
        <v>237</v>
      </c>
      <c r="B165" s="215" t="s">
        <v>238</v>
      </c>
      <c r="C165" s="215" t="s">
        <v>313</v>
      </c>
      <c r="D165" s="215"/>
      <c r="E165" s="215" t="s">
        <v>238</v>
      </c>
      <c r="F165" s="215" t="s">
        <v>427</v>
      </c>
    </row>
    <row r="166" spans="1:6" x14ac:dyDescent="0.35">
      <c r="A166" s="218" t="s">
        <v>933</v>
      </c>
      <c r="B166" s="215" t="s">
        <v>934</v>
      </c>
      <c r="C166" s="215" t="s">
        <v>313</v>
      </c>
      <c r="D166" s="215"/>
      <c r="E166" s="215" t="s">
        <v>934</v>
      </c>
      <c r="F166" s="215" t="s">
        <v>935</v>
      </c>
    </row>
    <row r="167" spans="1:6" x14ac:dyDescent="0.35">
      <c r="A167" s="218" t="s">
        <v>207</v>
      </c>
      <c r="B167" s="215" t="s">
        <v>208</v>
      </c>
      <c r="C167" s="215" t="s">
        <v>313</v>
      </c>
      <c r="D167" s="215"/>
      <c r="E167" s="215" t="s">
        <v>208</v>
      </c>
      <c r="F167" s="215" t="s">
        <v>430</v>
      </c>
    </row>
    <row r="168" spans="1:6" x14ac:dyDescent="0.35">
      <c r="A168" s="218" t="s">
        <v>181</v>
      </c>
      <c r="B168" s="215" t="s">
        <v>182</v>
      </c>
      <c r="C168" s="215" t="s">
        <v>313</v>
      </c>
      <c r="D168" s="215"/>
      <c r="E168" s="215" t="s">
        <v>182</v>
      </c>
      <c r="F168" s="215" t="s">
        <v>431</v>
      </c>
    </row>
    <row r="169" spans="1:6" x14ac:dyDescent="0.35">
      <c r="A169" s="218" t="s">
        <v>936</v>
      </c>
      <c r="B169" s="215" t="s">
        <v>937</v>
      </c>
      <c r="C169" s="215" t="s">
        <v>313</v>
      </c>
      <c r="D169" s="215"/>
      <c r="E169" s="215" t="s">
        <v>937</v>
      </c>
      <c r="F169" s="215" t="s">
        <v>938</v>
      </c>
    </row>
    <row r="170" spans="1:6" x14ac:dyDescent="0.35">
      <c r="A170" s="218" t="s">
        <v>939</v>
      </c>
      <c r="B170" s="215" t="s">
        <v>940</v>
      </c>
      <c r="C170" s="215" t="s">
        <v>313</v>
      </c>
      <c r="D170" s="215"/>
      <c r="E170" s="215" t="s">
        <v>940</v>
      </c>
      <c r="F170" s="215" t="s">
        <v>941</v>
      </c>
    </row>
    <row r="171" spans="1:6" x14ac:dyDescent="0.35">
      <c r="A171" s="218" t="s">
        <v>209</v>
      </c>
      <c r="B171" s="215" t="s">
        <v>210</v>
      </c>
      <c r="C171" s="215" t="s">
        <v>313</v>
      </c>
      <c r="D171" s="215"/>
      <c r="E171" s="215" t="s">
        <v>210</v>
      </c>
      <c r="F171" s="215" t="s">
        <v>442</v>
      </c>
    </row>
    <row r="172" spans="1:6" x14ac:dyDescent="0.35">
      <c r="A172" s="218" t="s">
        <v>183</v>
      </c>
      <c r="B172" s="215" t="s">
        <v>184</v>
      </c>
      <c r="C172" s="215" t="s">
        <v>313</v>
      </c>
      <c r="D172" s="215"/>
      <c r="E172" s="215" t="s">
        <v>184</v>
      </c>
      <c r="F172" s="215" t="s">
        <v>440</v>
      </c>
    </row>
    <row r="173" spans="1:6" x14ac:dyDescent="0.35">
      <c r="A173" s="218" t="s">
        <v>942</v>
      </c>
      <c r="B173" s="215" t="s">
        <v>943</v>
      </c>
      <c r="C173" s="215" t="s">
        <v>313</v>
      </c>
      <c r="D173" s="215"/>
      <c r="E173" s="215" t="s">
        <v>943</v>
      </c>
      <c r="F173" s="215" t="s">
        <v>944</v>
      </c>
    </row>
    <row r="174" spans="1:6" x14ac:dyDescent="0.35">
      <c r="A174" s="218" t="s">
        <v>96</v>
      </c>
      <c r="B174" s="215" t="s">
        <v>97</v>
      </c>
      <c r="C174" s="215" t="s">
        <v>313</v>
      </c>
      <c r="D174" s="216"/>
      <c r="E174" s="215" t="s">
        <v>97</v>
      </c>
      <c r="F174" s="215" t="s">
        <v>443</v>
      </c>
    </row>
    <row r="175" spans="1:6" x14ac:dyDescent="0.35">
      <c r="A175" s="218" t="s">
        <v>945</v>
      </c>
      <c r="B175" s="215" t="s">
        <v>946</v>
      </c>
      <c r="C175" s="215" t="s">
        <v>313</v>
      </c>
      <c r="D175" s="215"/>
      <c r="E175" s="215" t="s">
        <v>946</v>
      </c>
      <c r="F175" s="215" t="s">
        <v>947</v>
      </c>
    </row>
  </sheetData>
  <sheetProtection algorithmName="SHA-512" hashValue="27SdA8xFdAAL/5oX5raVCXV/ZyXd4f8UTuDNfKYQAFg95jat98sciwmgTJgl2Psx+J6cUftIy6lanGOA+psUMA==" saltValue="GtkDfR7CqbEMp0cVimqxBA==" spinCount="100000" sheet="1" objects="1" scenarios="1" formatCells="0" autoFilter="0"/>
  <sortState xmlns:xlrd2="http://schemas.microsoft.com/office/spreadsheetml/2017/richdata2" ref="I89:I92">
    <sortCondition ref="I89:I92"/>
  </sortState>
  <mergeCells count="9">
    <mergeCell ref="J18:K18"/>
    <mergeCell ref="H43:I43"/>
    <mergeCell ref="H50:I50"/>
    <mergeCell ref="H63:I63"/>
    <mergeCell ref="A1:F1"/>
    <mergeCell ref="H37:I37"/>
    <mergeCell ref="H18:I18"/>
    <mergeCell ref="H1:I1"/>
    <mergeCell ref="H57:I57"/>
  </mergeCells>
  <phoneticPr fontId="0" type="noConversion"/>
  <pageMargins left="0.34" right="0.37" top="0.33" bottom="0.36" header="0.22" footer="0.26"/>
  <pageSetup paperSize="9" scale="3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71"/>
  <sheetViews>
    <sheetView zoomScale="115" zoomScaleNormal="115" workbookViewId="0">
      <pane ySplit="10" topLeftCell="A11" activePane="bottomLeft" state="frozen"/>
      <selection pane="bottomLeft" activeCell="B7" sqref="B7:H7"/>
    </sheetView>
  </sheetViews>
  <sheetFormatPr defaultColWidth="9.07421875" defaultRowHeight="10.75" x14ac:dyDescent="0.3"/>
  <cols>
    <col min="1" max="1" width="6.765625" style="172" customWidth="1"/>
    <col min="2" max="2" width="8.84375" style="172" customWidth="1"/>
    <col min="3" max="3" width="12.765625" style="172" customWidth="1"/>
    <col min="4" max="5" width="16" style="172" customWidth="1"/>
    <col min="6" max="6" width="22.07421875" style="172" bestFit="1" customWidth="1"/>
    <col min="7" max="7" width="10.23046875" style="170" bestFit="1" customWidth="1"/>
    <col min="8" max="8" width="86.61328125" style="172" customWidth="1"/>
    <col min="9" max="16384" width="9.07421875" style="172"/>
  </cols>
  <sheetData>
    <row r="1" spans="1:8" s="166" customFormat="1" ht="15.9" x14ac:dyDescent="0.3">
      <c r="A1" s="354" t="str">
        <f>VLOOKUP("G00",tblTranslation[],LangNameID,FALSE) &amp;" ( "&amp;Idiom&amp;" )"</f>
        <v>Instructions to complete the form ( ENG )</v>
      </c>
      <c r="B1" s="354"/>
      <c r="C1" s="354"/>
      <c r="D1" s="354"/>
      <c r="E1" s="354"/>
      <c r="F1" s="354"/>
      <c r="G1" s="354"/>
      <c r="H1" s="354"/>
    </row>
    <row r="2" spans="1:8" s="166" customFormat="1" x14ac:dyDescent="0.3">
      <c r="A2" s="360" t="str">
        <f>VLOOKUP("G01",tblTranslation[],LangFieldID,FALSE)</f>
        <v>General</v>
      </c>
      <c r="B2" s="360"/>
      <c r="C2" s="360"/>
      <c r="D2" s="360"/>
      <c r="E2" s="360"/>
      <c r="F2" s="360"/>
      <c r="G2" s="167"/>
    </row>
    <row r="3" spans="1:8" s="166" customFormat="1" ht="12.75" customHeight="1" x14ac:dyDescent="0.3">
      <c r="A3" s="168" t="s">
        <v>287</v>
      </c>
      <c r="B3" s="365" t="str">
        <f>VLOOKUP("G01a",tblTranslation[],LangNameID,FALSE)</f>
        <v>Complete as far as possible the Header and Detail sections (don't leave fields empty when information is known)</v>
      </c>
      <c r="C3" s="365"/>
      <c r="D3" s="365"/>
      <c r="E3" s="365"/>
      <c r="F3" s="365"/>
      <c r="G3" s="365"/>
      <c r="H3" s="365"/>
    </row>
    <row r="4" spans="1:8" s="166" customFormat="1" ht="12.75" customHeight="1" x14ac:dyDescent="0.3">
      <c r="A4" s="168" t="s">
        <v>288</v>
      </c>
      <c r="B4" s="365" t="str">
        <f>VLOOKUP("G01b",tblTranslation[],LangNameID,FALSE)</f>
        <v>In Header section, only white cells can be filled (manually or by selecting from the Combo Box the corresponding code)</v>
      </c>
      <c r="C4" s="365"/>
      <c r="D4" s="365"/>
      <c r="E4" s="365"/>
      <c r="F4" s="365"/>
      <c r="G4" s="365"/>
      <c r="H4" s="365"/>
    </row>
    <row r="5" spans="1:8" s="166" customFormat="1" ht="12.75" customHeight="1" x14ac:dyDescent="0.3">
      <c r="A5" s="168" t="s">
        <v>289</v>
      </c>
      <c r="B5" s="365" t="str">
        <f>VLOOKUP("G01c",tblTranslation[],LangNameID,FALSE)</f>
        <v>Always use ICCAT standard codes (when element "OTHERS" of various fields is required it must be explicitly described in "Notes")</v>
      </c>
      <c r="C5" s="365"/>
      <c r="D5" s="365"/>
      <c r="E5" s="365"/>
      <c r="F5" s="365"/>
      <c r="G5" s="365"/>
      <c r="H5" s="365"/>
    </row>
    <row r="6" spans="1:8" s="166" customFormat="1" ht="12.75" customHeight="1" x14ac:dyDescent="0.3">
      <c r="A6" s="168" t="s">
        <v>290</v>
      </c>
      <c r="B6" s="365" t="str">
        <f>VLOOKUP("G01d",tblTranslation[],LangNameID,FALSE)</f>
        <v>Recommendation for users with databases: To paste an entire dataset into the Detail section (must have the same structure and format) use "Paste special (values)"</v>
      </c>
      <c r="C6" s="365"/>
      <c r="D6" s="365"/>
      <c r="E6" s="365"/>
      <c r="F6" s="365"/>
      <c r="G6" s="365"/>
      <c r="H6" s="365"/>
    </row>
    <row r="7" spans="1:8" s="166" customFormat="1" ht="12.75" customHeight="1" x14ac:dyDescent="0.3">
      <c r="A7" s="168" t="s">
        <v>291</v>
      </c>
      <c r="B7" s="365" t="str">
        <f>VLOOKUP("G01e",tblTranslation[],LangNameID,FALSE)</f>
        <v>Leave "blank" the fields for which you don't collect information</v>
      </c>
      <c r="C7" s="365"/>
      <c r="D7" s="365"/>
      <c r="E7" s="365"/>
      <c r="F7" s="365"/>
      <c r="G7" s="365"/>
      <c r="H7" s="365"/>
    </row>
    <row r="8" spans="1:8" s="166" customFormat="1" x14ac:dyDescent="0.3">
      <c r="G8" s="169"/>
    </row>
    <row r="9" spans="1:8" x14ac:dyDescent="0.3">
      <c r="A9" s="361" t="str">
        <f>VLOOKUP("S00",tblTranslation[],LangFieldID,FALSE)</f>
        <v>Specific (by field)</v>
      </c>
      <c r="B9" s="361"/>
      <c r="C9" s="361"/>
      <c r="D9" s="361"/>
      <c r="E9" s="361"/>
      <c r="F9" s="361"/>
      <c r="H9" s="171"/>
    </row>
    <row r="10" spans="1:8" ht="21.45" x14ac:dyDescent="0.3">
      <c r="A10" s="173" t="str">
        <f>VLOOKUP("SC01",tblTranslation[],LangFieldID,FALSE)</f>
        <v>Form</v>
      </c>
      <c r="B10" s="174" t="str">
        <f>VLOOKUP("SC02",tblTranslation[],LangFieldID,FALSE)</f>
        <v>Sub-form</v>
      </c>
      <c r="C10" s="174" t="str">
        <f>VLOOKUP("SC03",tblTranslation[],LangFieldID,FALSE)</f>
        <v>Part</v>
      </c>
      <c r="D10" s="174" t="str">
        <f>VLOOKUP("SC04",tblTranslation[],LangFieldID,FALSE)</f>
        <v>Section</v>
      </c>
      <c r="E10" s="174" t="str">
        <f>VLOOKUP("SC05",tblTranslation[],LangFieldID,FALSE)</f>
        <v>Sub-section</v>
      </c>
      <c r="F10" s="174" t="str">
        <f>VLOOKUP("SC06",tblTranslation[],LangFieldID,FALSE)</f>
        <v>Field (name)</v>
      </c>
      <c r="G10" s="175" t="str">
        <f>VLOOKUP("SC07",tblTranslation[],LangFieldID,FALSE)</f>
        <v>Field (format)</v>
      </c>
      <c r="H10" s="173" t="str">
        <f>VLOOKUP("SC08",tblTranslation[],LangFieldID,FALSE)</f>
        <v>Description</v>
      </c>
    </row>
    <row r="11" spans="1:8" x14ac:dyDescent="0.3">
      <c r="A11" s="355" t="str">
        <f>VLOOKUP("T00",tblTranslation[],LangFieldID,FALSE)</f>
        <v>ST01-T1FC</v>
      </c>
      <c r="B11" s="364" t="str">
        <f>VLOOKUP("T02",tblTranslation[],LangFieldID,FALSE)</f>
        <v>Title</v>
      </c>
      <c r="C11" s="364"/>
      <c r="D11" s="364"/>
      <c r="E11" s="364"/>
      <c r="F11" s="176" t="str">
        <f>VLOOKUP("tVersion",tblTranslation[],LangFieldID,FALSE)</f>
        <v>Version</v>
      </c>
      <c r="G11" s="177" t="str">
        <f>VLOOKUP("tVersion",tblTranslation[],7,FALSE)</f>
        <v>(fixed)</v>
      </c>
      <c r="H11" s="178" t="str">
        <f>VLOOKUP("tVersion",tblTranslation[],LangNameID,FALSE)</f>
        <v>Always use the lastest version of this form</v>
      </c>
    </row>
    <row r="12" spans="1:8" x14ac:dyDescent="0.3">
      <c r="A12" s="355"/>
      <c r="B12" s="364"/>
      <c r="C12" s="364"/>
      <c r="D12" s="364"/>
      <c r="E12" s="364"/>
      <c r="F12" s="176" t="str">
        <f>VLOOKUP("tLang",tblTranslation[],LangFieldID,FALSE)</f>
        <v>Language</v>
      </c>
      <c r="G12" s="180" t="str">
        <f>VLOOKUP("tLang",tblTranslation[],7,FALSE)</f>
        <v>ICCAT code</v>
      </c>
      <c r="H12" s="178" t="str">
        <f>VLOOKUP("tLang",tblTranslation[],LangNameID,FALSE)</f>
        <v>Choose the language (ENG, FRA, ESP) for form translation</v>
      </c>
    </row>
    <row r="13" spans="1:8" x14ac:dyDescent="0.3">
      <c r="A13" s="355"/>
      <c r="B13" s="355" t="str">
        <f>VLOOKUP("T03",tblTranslation[],LangFieldID,FALSE)</f>
        <v>ST01A (by Vessel)</v>
      </c>
      <c r="C13" s="358" t="str">
        <f>VLOOKUP("H00",tblTranslation[],LangFieldID,FALSE)</f>
        <v>Header</v>
      </c>
      <c r="D13" s="357" t="str">
        <f>VLOOKUP("H10",tblTranslation[],LangFieldID,FALSE)</f>
        <v>Statistical correspondent</v>
      </c>
      <c r="E13" s="357" t="str">
        <f>VLOOKUP("H11",tblTranslation[],LangFieldID,FALSE)</f>
        <v>Identification</v>
      </c>
      <c r="F13" s="176" t="str">
        <f>VLOOKUP("hName",tblTranslation[],LangFieldID,FALSE)</f>
        <v>Name</v>
      </c>
      <c r="G13" s="177" t="str">
        <f>VLOOKUP("hName",tblTranslation[],7,FALSE)</f>
        <v>string</v>
      </c>
      <c r="H13" s="179" t="str">
        <f>VLOOKUP("hName",tblTranslation[],LangNameID,FALSE)</f>
        <v>Name (full OR Name &amp; Surname) of the Statistical Correspondent (officially nominated by the CPC)</v>
      </c>
    </row>
    <row r="14" spans="1:8" x14ac:dyDescent="0.3">
      <c r="A14" s="355"/>
      <c r="B14" s="355"/>
      <c r="C14" s="358"/>
      <c r="D14" s="357"/>
      <c r="E14" s="357"/>
      <c r="F14" s="176" t="str">
        <f>VLOOKUP("hEmail",tblTranslation[],LangFieldID,FALSE)</f>
        <v>E-mail</v>
      </c>
      <c r="G14" s="177" t="str">
        <f>VLOOKUP("hEmail",tblTranslation[],7,FALSE)</f>
        <v>string</v>
      </c>
      <c r="H14" s="178" t="str">
        <f>VLOOKUP("hEmail",tblTranslation[],LangNameID,FALSE)</f>
        <v>Email address of the Statistical Correspondent</v>
      </c>
    </row>
    <row r="15" spans="1:8" x14ac:dyDescent="0.3">
      <c r="A15" s="355"/>
      <c r="B15" s="355"/>
      <c r="C15" s="358"/>
      <c r="D15" s="357"/>
      <c r="E15" s="357"/>
      <c r="F15" s="176" t="str">
        <f>VLOOKUP("hPhone",tblTranslation[],LangFieldID,FALSE)</f>
        <v>Phone</v>
      </c>
      <c r="G15" s="177" t="str">
        <f>VLOOKUP("hPhone",tblTranslation[],7,FALSE)</f>
        <v>string</v>
      </c>
      <c r="H15" s="178" t="str">
        <f>VLOOKUP("hPhone",tblTranslation[],LangNameID,FALSE)</f>
        <v>Telephone number of the Statistical Correspondent</v>
      </c>
    </row>
    <row r="16" spans="1:8" x14ac:dyDescent="0.3">
      <c r="A16" s="355"/>
      <c r="B16" s="355"/>
      <c r="C16" s="358"/>
      <c r="D16" s="357"/>
      <c r="E16" s="357" t="str">
        <f>VLOOKUP("H12",tblTranslation[],LangFieldID,FALSE)</f>
        <v>Affiliation</v>
      </c>
      <c r="F16" s="176" t="str">
        <f>VLOOKUP("hInstit",tblTranslation[],LangFieldID,FALSE)</f>
        <v>Institution</v>
      </c>
      <c r="G16" s="177" t="str">
        <f>VLOOKUP("hInstit",tblTranslation[],7,FALSE)</f>
        <v>string</v>
      </c>
      <c r="H16" s="178" t="str">
        <f>VLOOKUP("hInstit",tblTranslation[],LangNameID,FALSE)</f>
        <v>Institute (ministry, agency, research Institute, etc.) to which the Statistical Correspondent is affiliated</v>
      </c>
    </row>
    <row r="17" spans="1:8" x14ac:dyDescent="0.3">
      <c r="A17" s="355"/>
      <c r="B17" s="355"/>
      <c r="C17" s="358"/>
      <c r="D17" s="357"/>
      <c r="E17" s="357"/>
      <c r="F17" s="176" t="str">
        <f>VLOOKUP("hDepart",tblTranslation[],LangFieldID,FALSE)</f>
        <v>Department</v>
      </c>
      <c r="G17" s="177" t="str">
        <f>VLOOKUP("hDepart",tblTranslation[],7,FALSE)</f>
        <v>string</v>
      </c>
      <c r="H17" s="178" t="str">
        <f>VLOOKUP("hDepart",tblTranslation[],LangNameID,FALSE)</f>
        <v>Department within the Institution, where applicable</v>
      </c>
    </row>
    <row r="18" spans="1:8" x14ac:dyDescent="0.3">
      <c r="A18" s="355"/>
      <c r="B18" s="355"/>
      <c r="C18" s="358"/>
      <c r="D18" s="357"/>
      <c r="E18" s="357"/>
      <c r="F18" s="176" t="str">
        <f>VLOOKUP("hAddress",tblTranslation[],LangFieldID,FALSE)</f>
        <v>Address</v>
      </c>
      <c r="G18" s="177" t="str">
        <f>VLOOKUP("hAddress",tblTranslation[],7,FALSE)</f>
        <v>string</v>
      </c>
      <c r="H18" s="178" t="str">
        <f>VLOOKUP("hAddress",tblTranslation[],LangNameID,FALSE)</f>
        <v>Postal address of the institution (street, number, city, state)</v>
      </c>
    </row>
    <row r="19" spans="1:8" x14ac:dyDescent="0.3">
      <c r="A19" s="355"/>
      <c r="B19" s="355"/>
      <c r="C19" s="358"/>
      <c r="D19" s="357"/>
      <c r="E19" s="357"/>
      <c r="F19" s="176" t="str">
        <f>VLOOKUP("hCountry",tblTranslation[],LangFieldID,FALSE)</f>
        <v>Country</v>
      </c>
      <c r="G19" s="177" t="str">
        <f>VLOOKUP("hCountry",tblTranslation[],7,FALSE)</f>
        <v>ICCAT code</v>
      </c>
      <c r="H19" s="178" t="str">
        <f>VLOOKUP("hCountry",tblTranslation[],LangNameID,FALSE)</f>
        <v>Country in which the Institution is based</v>
      </c>
    </row>
    <row r="20" spans="1:8" x14ac:dyDescent="0.3">
      <c r="A20" s="355"/>
      <c r="B20" s="355"/>
      <c r="C20" s="358"/>
      <c r="D20" s="357" t="str">
        <f>VLOOKUP("H20",tblTranslation[],LangFieldID,FALSE)</f>
        <v>Secretariat use only</v>
      </c>
      <c r="E20" s="357"/>
      <c r="F20" s="176" t="str">
        <f>VLOOKUP("hDaterep",tblTranslation[],LangFieldID,FALSE)</f>
        <v>Date reported</v>
      </c>
      <c r="G20" s="177" t="str">
        <f>VLOOKUP("hDaterep",tblTranslation[],7,FALSE)</f>
        <v>date</v>
      </c>
      <c r="H20" s="178" t="str">
        <f>VLOOKUP("hDaterep",tblTranslation[],LangNameID,FALSE)</f>
        <v>Secretariat use only</v>
      </c>
    </row>
    <row r="21" spans="1:8" x14ac:dyDescent="0.3">
      <c r="A21" s="355"/>
      <c r="B21" s="355"/>
      <c r="C21" s="358"/>
      <c r="D21" s="357"/>
      <c r="E21" s="357"/>
      <c r="F21" s="176" t="str">
        <f>VLOOKUP("hRef",tblTranslation[],LangFieldID,FALSE)</f>
        <v>Reference Nº</v>
      </c>
      <c r="G21" s="177" t="str">
        <f>VLOOKUP("hRef",tblTranslation[],7,FALSE)</f>
        <v>ICCAT code</v>
      </c>
      <c r="H21" s="178" t="str">
        <f>VLOOKUP("hRef",tblTranslation[],LangNameID,FALSE)</f>
        <v>Secretariat use only</v>
      </c>
    </row>
    <row r="22" spans="1:8" x14ac:dyDescent="0.3">
      <c r="A22" s="355"/>
      <c r="B22" s="355"/>
      <c r="C22" s="358"/>
      <c r="D22" s="357"/>
      <c r="E22" s="357"/>
      <c r="F22" s="176" t="str">
        <f>VLOOKUP("hFName",tblTranslation[],LangFieldID,FALSE)</f>
        <v>File name (proposed)</v>
      </c>
      <c r="G22" s="177" t="str">
        <f>VLOOKUP("hFName",tblTranslation[],7,FALSE)</f>
        <v>string</v>
      </c>
      <c r="H22" s="178" t="str">
        <f>VLOOKUP("hFName",tblTranslation[],LangNameID,FALSE)</f>
        <v>Send the form to ICCAT with the proposed file name (if required, suffix it with an ID at the end)</v>
      </c>
    </row>
    <row r="23" spans="1:8" x14ac:dyDescent="0.3">
      <c r="A23" s="355"/>
      <c r="B23" s="355"/>
      <c r="C23" s="358"/>
      <c r="D23" s="357"/>
      <c r="E23" s="357"/>
      <c r="F23" s="176" t="str">
        <f>VLOOKUP("hFilter1",tblTranslation[],LangFieldID,FALSE)</f>
        <v>Filter 1</v>
      </c>
      <c r="G23" s="181" t="str">
        <f>VLOOKUP("hFilter1",tblTranslation[],7,FALSE)</f>
        <v>boolean</v>
      </c>
      <c r="H23" s="178" t="str">
        <f>VLOOKUP("hFilter1",tblTranslation[],LangNameID,FALSE)</f>
        <v>Secretariat use only</v>
      </c>
    </row>
    <row r="24" spans="1:8" x14ac:dyDescent="0.3">
      <c r="A24" s="355"/>
      <c r="B24" s="355"/>
      <c r="C24" s="358"/>
      <c r="D24" s="357"/>
      <c r="E24" s="357"/>
      <c r="F24" s="176" t="str">
        <f>VLOOKUP("hFilter2",tblTranslation[],LangFieldID,FALSE)</f>
        <v>Filter 2</v>
      </c>
      <c r="G24" s="181" t="str">
        <f>VLOOKUP("hFilter2",tblTranslation[],7,FALSE)</f>
        <v>boolean</v>
      </c>
      <c r="H24" s="178" t="str">
        <f>VLOOKUP("hFilter2",tblTranslation[],LangNameID,FALSE)</f>
        <v>Secretariat use only</v>
      </c>
    </row>
    <row r="25" spans="1:8" x14ac:dyDescent="0.3">
      <c r="A25" s="355"/>
      <c r="B25" s="355"/>
      <c r="C25" s="358"/>
      <c r="D25" s="357" t="str">
        <f>VLOOKUP("H30",tblTranslation[],LangFieldID,FALSE)</f>
        <v>Data set characteristics</v>
      </c>
      <c r="E25" s="357"/>
      <c r="F25" s="176" t="str">
        <f>VLOOKUP("hFlagrep",tblTranslation[],LangFieldID,FALSE)</f>
        <v>Reporting Flag</v>
      </c>
      <c r="G25" s="181" t="str">
        <f>VLOOKUP("hFlagrep",tblTranslation[],7,FALSE)</f>
        <v>ICCAT code</v>
      </c>
      <c r="H25" s="178" t="str">
        <f>VLOOKUP("hFlagrep",tblTranslation[],LangNameID,FALSE)</f>
        <v>Choose the Flag CPC reporting the data (ICCAT codes)</v>
      </c>
    </row>
    <row r="26" spans="1:8" x14ac:dyDescent="0.3">
      <c r="A26" s="355"/>
      <c r="B26" s="355"/>
      <c r="C26" s="358"/>
      <c r="D26" s="357"/>
      <c r="E26" s="357"/>
      <c r="F26" s="176" t="str">
        <f>VLOOKUP("hYearFrom",tblTranslation[],LangFieldID,FALSE)</f>
        <v>Years covered (from)</v>
      </c>
      <c r="G26" s="181" t="str">
        <f>VLOOKUP("hYearFrom",tblTranslation[],7,FALSE)</f>
        <v>integer</v>
      </c>
      <c r="H26" s="178" t="str">
        <f>VLOOKUP("hYearfrom",tblTranslation[],LangNameID,FALSE)</f>
        <v>One or more years can be added to the form. Add the first (from) year (4 digits) to which the data relate</v>
      </c>
    </row>
    <row r="27" spans="1:8" x14ac:dyDescent="0.3">
      <c r="A27" s="355"/>
      <c r="B27" s="355"/>
      <c r="C27" s="358"/>
      <c r="D27" s="357"/>
      <c r="E27" s="357"/>
      <c r="F27" s="176" t="str">
        <f>VLOOKUP("hYearTo",tblTranslation[],LangFieldID,FALSE)</f>
        <v>(to)</v>
      </c>
      <c r="G27" s="181" t="str">
        <f>VLOOKUP("hYearto",tblTranslation[],7,FALSE)</f>
        <v>integer</v>
      </c>
      <c r="H27" s="178" t="str">
        <f>VLOOKUP("hYearto",tblTranslation[],LangNameID,FALSE)</f>
        <v>One or more years can be added to the form. Add the last (to) year (4 digits) to which the data relate</v>
      </c>
    </row>
    <row r="28" spans="1:8" x14ac:dyDescent="0.3">
      <c r="A28" s="355"/>
      <c r="B28" s="355"/>
      <c r="C28" s="358"/>
      <c r="D28" s="357"/>
      <c r="E28" s="357"/>
      <c r="F28" s="176" t="str">
        <f>VLOOKUP("hVersion",tblTranslation[],LangFieldID,FALSE)</f>
        <v>Version reported</v>
      </c>
      <c r="G28" s="181" t="str">
        <f>VLOOKUP("hVersion",tblTranslation[],7,FALSE)</f>
        <v>ICCAT code</v>
      </c>
      <c r="H28" s="178" t="str">
        <f>VLOOKUP("hVersion",tblTranslation[],LangNameID,FALSE)</f>
        <v>Specify if this submission is Preliminary (subject to revision) or Final (already validated)</v>
      </c>
    </row>
    <row r="29" spans="1:8" ht="21.45" x14ac:dyDescent="0.3">
      <c r="A29" s="355"/>
      <c r="B29" s="355"/>
      <c r="C29" s="358"/>
      <c r="D29" s="357"/>
      <c r="E29" s="357"/>
      <c r="F29" s="176" t="str">
        <f>VLOOKUP("hContent",tblTranslation[],LangFieldID,FALSE)</f>
        <v>Content (data)</v>
      </c>
      <c r="G29" s="181" t="str">
        <f>VLOOKUP("hContent",tblTranslation[],7,FALSE)</f>
        <v>ICCAT code</v>
      </c>
      <c r="H29" s="178" t="str">
        <f>VLOOKUP("hContent",tblTranslation[],LangNameID,FALSE)</f>
        <v>Specify if the overall data content is NEW (full set OR partial set) OR a REVISION (full set OR partial set)</v>
      </c>
    </row>
    <row r="30" spans="1:8" x14ac:dyDescent="0.3">
      <c r="A30" s="355"/>
      <c r="B30" s="355"/>
      <c r="C30" s="358"/>
      <c r="D30" s="357" t="str">
        <f>VLOOKUP("H40",tblTranslation[],LangFieldID,FALSE)</f>
        <v>Other attributes</v>
      </c>
      <c r="E30" s="357"/>
      <c r="F30" s="176" t="str">
        <f>VLOOKUP("hNotes",tblTranslation[],LangFieldID,FALSE)</f>
        <v>Notes</v>
      </c>
      <c r="G30" s="181" t="str">
        <f>VLOOKUP("hNotes",tblTranslation[],7,FALSE)</f>
        <v>string</v>
      </c>
      <c r="H30" s="182" t="str">
        <f>VLOOKUP("hNotes",tblTranslation[],LangNameID,FALSE)</f>
        <v>Add additional (complementary) notes in respect to the overall dataset (if needed)</v>
      </c>
    </row>
    <row r="31" spans="1:8" x14ac:dyDescent="0.3">
      <c r="A31" s="355"/>
      <c r="B31" s="355"/>
      <c r="C31" s="358" t="str">
        <f>VLOOKUP("D00",tblTranslation[],LangFieldID,FALSE)</f>
        <v>Detail</v>
      </c>
      <c r="D31" s="359" t="str">
        <f>VLOOKUP("D10",tblTranslation[],LangFieldID,FALSE)</f>
        <v>Vessel attributes</v>
      </c>
      <c r="E31" s="359" t="str">
        <f>VLOOKUP("D11",tblTranslation[],LangFieldID,FALSE)</f>
        <v>Vessel ID</v>
      </c>
      <c r="F31" s="183" t="str">
        <f>VLOOKUP("ICCATSerialNo",tblTranslation[],LangFieldID,FALSE)</f>
        <v>ICCAT Serial Number</v>
      </c>
      <c r="G31" s="181" t="str">
        <f>VLOOKUP("ICCATSerialNo",tblTranslation[],7,FALSE)</f>
        <v>ICCAT code</v>
      </c>
      <c r="H31" s="179" t="str">
        <f>VLOOKUP("ICCATSerialNo",tblTranslation[],LangNameID,FALSE)</f>
        <v>ICCAT serial number (unique) of the Vessel registered</v>
      </c>
    </row>
    <row r="32" spans="1:8" x14ac:dyDescent="0.3">
      <c r="A32" s="355"/>
      <c r="B32" s="355"/>
      <c r="C32" s="358"/>
      <c r="D32" s="359"/>
      <c r="E32" s="359"/>
      <c r="F32" s="183" t="str">
        <f>VLOOKUP("NatRegNo",tblTranslation[],LangFieldID,FALSE)</f>
        <v>Nat. Registry Nº (NRN)</v>
      </c>
      <c r="G32" s="181" t="str">
        <f>VLOOKUP("NatRegNo",tblTranslation[],7,FALSE)</f>
        <v>string</v>
      </c>
      <c r="H32" s="178" t="str">
        <f>VLOOKUP("NatRegNo",tblTranslation[],LangNameID,FALSE)</f>
        <v>National registration number (NRN) of the vessel</v>
      </c>
    </row>
    <row r="33" spans="1:8" x14ac:dyDescent="0.3">
      <c r="A33" s="355"/>
      <c r="B33" s="355"/>
      <c r="C33" s="358"/>
      <c r="D33" s="359"/>
      <c r="E33" s="359"/>
      <c r="F33" s="183" t="str">
        <f>VLOOKUP("IRCS",tblTranslation[],LangFieldID,FALSE)</f>
        <v>Internat. RCS</v>
      </c>
      <c r="G33" s="181" t="str">
        <f>VLOOKUP("IRCS",tblTranslation[],7,FALSE)</f>
        <v>string</v>
      </c>
      <c r="H33" s="178" t="str">
        <f>VLOOKUP("IRCS",tblTranslation[],LangNameID,FALSE)</f>
        <v>The ITU Radio Call Sign</v>
      </c>
    </row>
    <row r="34" spans="1:8" x14ac:dyDescent="0.3">
      <c r="A34" s="355"/>
      <c r="B34" s="355"/>
      <c r="C34" s="358"/>
      <c r="D34" s="359"/>
      <c r="E34" s="359"/>
      <c r="F34" s="183" t="str">
        <f>VLOOKUP("IMOnr",tblTranslation[],LangFieldID,FALSE)</f>
        <v>IMO number</v>
      </c>
      <c r="G34" s="181" t="str">
        <f>VLOOKUP("IMOnr",tblTranslation[],7,FALSE)</f>
        <v>string</v>
      </c>
      <c r="H34" s="178" t="str">
        <f>VLOOKUP("IMOnr",tblTranslation[],LangNameID,FALSE)</f>
        <v>Vessel unique number (7 digits) issued by the International Maritime Organisation</v>
      </c>
    </row>
    <row r="35" spans="1:8" x14ac:dyDescent="0.3">
      <c r="A35" s="355"/>
      <c r="B35" s="355"/>
      <c r="C35" s="358"/>
      <c r="D35" s="359"/>
      <c r="E35" s="359"/>
      <c r="F35" s="183" t="str">
        <f>VLOOKUP("VesselName",tblTranslation[],LangFieldID,FALSE)</f>
        <v>Vessel name (latin)</v>
      </c>
      <c r="G35" s="181" t="str">
        <f>VLOOKUP("VesselName",tblTranslation[],7,FALSE)</f>
        <v>string</v>
      </c>
      <c r="H35" s="178" t="str">
        <f>VLOOKUP("VesselName",tblTranslation[],LangNameID,FALSE)</f>
        <v>Vessel name in latin script</v>
      </c>
    </row>
    <row r="36" spans="1:8" x14ac:dyDescent="0.3">
      <c r="A36" s="355"/>
      <c r="B36" s="355"/>
      <c r="C36" s="358"/>
      <c r="D36" s="359"/>
      <c r="E36" s="359" t="str">
        <f>VLOOKUP("D12",tblTranslation[],LangFieldID,FALSE)</f>
        <v>Fleet ID</v>
      </c>
      <c r="F36" s="183" t="str">
        <f>VLOOKUP("FlagVesCd",tblTranslation[],LangFieldID,FALSE)</f>
        <v>Flag of Vessel (cod)</v>
      </c>
      <c r="G36" s="181" t="str">
        <f>VLOOKUP("FlagVesCd",tblTranslation[],7,FALSE)</f>
        <v>ICCAT code</v>
      </c>
      <c r="H36" s="178" t="str">
        <f>VLOOKUP("FlagVesCd",tblTranslation[],LangNameID,FALSE)</f>
        <v>Choose the flag of the vessel for which the data apply (whether national or foreign flagged vessel)</v>
      </c>
    </row>
    <row r="37" spans="1:8" ht="21.45" x14ac:dyDescent="0.3">
      <c r="A37" s="355"/>
      <c r="B37" s="355"/>
      <c r="C37" s="358"/>
      <c r="D37" s="359"/>
      <c r="E37" s="359"/>
      <c r="F37" s="183" t="str">
        <f>VLOOKUP("FleetSuffix",tblTranslation[],LangFieldID,FALSE)</f>
        <v xml:space="preserve">Fleet suffix </v>
      </c>
      <c r="G37" s="181" t="str">
        <f>VLOOKUP("FleetSuffix",tblTranslation[],7,FALSE)</f>
        <v>string</v>
      </c>
      <c r="H37" s="178" t="str">
        <f>VLOOKUP("FleetSuffix",tblTranslation[],LangNameID,FALSE)</f>
        <v>This field should be completed by those CPCs operating various fisheries with an independent data collection system (e.g. Portugal-Azores, Spain-Fuenterrabía, etc.). Additional fleet sufixes (former base ports/zones) can be adopted.</v>
      </c>
    </row>
    <row r="38" spans="1:8" x14ac:dyDescent="0.3">
      <c r="A38" s="355"/>
      <c r="B38" s="355"/>
      <c r="C38" s="358"/>
      <c r="D38" s="359"/>
      <c r="E38" s="359" t="str">
        <f>VLOOKUP("D13",tblTranslation[],LangFieldID,FALSE)</f>
        <v>Other attributes</v>
      </c>
      <c r="F38" s="183" t="str">
        <f>VLOOKUP("GearGrpCd",tblTranslation[],LangFieldID,FALSE)</f>
        <v>Gear group (cod)</v>
      </c>
      <c r="G38" s="181" t="str">
        <f>VLOOKUP("GearGrpCd",tblTranslation[],7,FALSE)</f>
        <v>ICCAT code</v>
      </c>
      <c r="H38" s="178" t="str">
        <f>VLOOKUP("GearGrpCd",tblTranslation[],LangNameID,FALSE)</f>
        <v>Select the most appropriate Gear group code (ICCAT)</v>
      </c>
    </row>
    <row r="39" spans="1:8" x14ac:dyDescent="0.3">
      <c r="A39" s="355"/>
      <c r="B39" s="355"/>
      <c r="C39" s="358"/>
      <c r="D39" s="359"/>
      <c r="E39" s="359"/>
      <c r="F39" s="183" t="str">
        <f>VLOOKUP("LOAm",tblTranslation[],LangFieldID,FALSE)</f>
        <v>LOA (m)</v>
      </c>
      <c r="G39" s="181" t="str">
        <f>VLOOKUP("LOAm",tblTranslation[],7,FALSE)</f>
        <v>integer</v>
      </c>
      <c r="H39" s="178" t="str">
        <f>VLOOKUP("LOAm",tblTranslation[],LangNameID,FALSE)</f>
        <v>Enter the registered Length Overall (LOA) of the vessel in meters (rounded to 1 decimal)</v>
      </c>
    </row>
    <row r="40" spans="1:8" x14ac:dyDescent="0.3">
      <c r="A40" s="355"/>
      <c r="B40" s="355"/>
      <c r="C40" s="358"/>
      <c r="D40" s="359"/>
      <c r="E40" s="359"/>
      <c r="F40" s="183" t="str">
        <f>VLOOKUP("Tnage",tblTranslation[],LangFieldID,FALSE)</f>
        <v>Tonnage (t)</v>
      </c>
      <c r="G40" s="181" t="str">
        <f>VLOOKUP("Tnage",tblTranslation[],7,FALSE)</f>
        <v>float</v>
      </c>
      <c r="H40" s="178" t="str">
        <f>VLOOKUP("Tnage",tblTranslation[],LangNameID,FALSE)</f>
        <v>Enter the Gross Registered Tonnage (GRT) in tons rounded to 1 decimal</v>
      </c>
    </row>
    <row r="41" spans="1:8" ht="21.45" x14ac:dyDescent="0.3">
      <c r="A41" s="355"/>
      <c r="B41" s="355"/>
      <c r="C41" s="358"/>
      <c r="D41" s="359"/>
      <c r="E41" s="359"/>
      <c r="F41" s="183" t="str">
        <f>VLOOKUP("FCarrCap",tblTranslation[],LangFieldID,FALSE)</f>
        <v>Fish Carrying capacity (mt)</v>
      </c>
      <c r="G41" s="181" t="str">
        <f>VLOOKUP("FCarrCap",tblTranslation[],7,FALSE)</f>
        <v>ICCAT code</v>
      </c>
      <c r="H41" s="178" t="str">
        <f>VLOOKUP("FCarrCap",tblTranslation[],LangNameID,FALSE)</f>
        <v>Fish carrying capacity (FCC): tonnage of fish that can be stored on the fishing vessel when it is fully loaded (metric tons). Mostly used by tuna fishing vessels.</v>
      </c>
    </row>
    <row r="42" spans="1:8" x14ac:dyDescent="0.3">
      <c r="A42" s="355"/>
      <c r="B42" s="355"/>
      <c r="C42" s="358"/>
      <c r="D42" s="359"/>
      <c r="E42" s="359"/>
      <c r="F42" s="183" t="str">
        <f>VLOOKUP("TonType",tblTranslation[],LangFieldID,FALSE)</f>
        <v>Tonnage type</v>
      </c>
      <c r="G42" s="181" t="str">
        <f>VLOOKUP("TonType",tblTranslation[],7,FALSE)</f>
        <v>ICCAT code</v>
      </c>
      <c r="H42" s="178" t="str">
        <f>VLOOKUP("TonType",tblTranslation[],LangNameID,FALSE)</f>
        <v>Choose the proper tonnage code (GT or GRT)</v>
      </c>
    </row>
    <row r="43" spans="1:8" ht="13.4" customHeight="1" x14ac:dyDescent="0.3">
      <c r="A43" s="355"/>
      <c r="B43" s="355"/>
      <c r="C43" s="358"/>
      <c r="D43" s="352" t="str">
        <f>VLOOKUP("D20",tblTranslation[],LangFieldID,FALSE)</f>
        <v>Vessel activity in ICCAT Fisheries</v>
      </c>
      <c r="E43" s="246" t="str">
        <f>VLOOKUP("D21",tblTranslation[],LangFieldID,FALSE)</f>
        <v>Period</v>
      </c>
      <c r="F43" s="184" t="str">
        <f>VLOOKUP("YearC",tblTranslation[],LangFieldID,FALSE)</f>
        <v>Year (calendar)</v>
      </c>
      <c r="G43" s="181" t="str">
        <f>VLOOKUP("YearC",tblTranslation[],7,FALSE)</f>
        <v>integer</v>
      </c>
      <c r="H43" s="178" t="str">
        <f>VLOOKUP("YearC",tblTranslation[],LangNameID,FALSE)</f>
        <v>Calendar year (four digits) in which the catch was taken</v>
      </c>
    </row>
    <row r="44" spans="1:8" ht="12.15" customHeight="1" x14ac:dyDescent="0.3">
      <c r="A44" s="355"/>
      <c r="B44" s="355"/>
      <c r="C44" s="358"/>
      <c r="D44" s="352"/>
      <c r="E44" s="362" t="str">
        <f>VLOOKUP("D22",tblTranslation[],LangFieldID,FALSE)</f>
        <v>Total effort</v>
      </c>
      <c r="F44" s="185" t="str">
        <f>VLOOKUP("FishDatl",tblTranslation[],LangFieldID,FALSE)</f>
        <v>Fishing days (ATL)</v>
      </c>
      <c r="G44" s="181" t="str">
        <f>VLOOKUP("FishDatl",tblTranslation[],7,FALSE)</f>
        <v>integer</v>
      </c>
      <c r="H44" s="178" t="str">
        <f>VLOOKUP("FishDatl",tblTranslation[],LangNameID,FALSE)</f>
        <v>Number of fishing days in the Atlantic (total)</v>
      </c>
    </row>
    <row r="45" spans="1:8" x14ac:dyDescent="0.3">
      <c r="A45" s="355"/>
      <c r="B45" s="355"/>
      <c r="C45" s="358"/>
      <c r="D45" s="352"/>
      <c r="E45" s="362"/>
      <c r="F45" s="185" t="str">
        <f>VLOOKUP("FishDmed",tblTranslation[],LangFieldID,FALSE)</f>
        <v>Fishing days (MED)</v>
      </c>
      <c r="G45" s="181" t="str">
        <f>VLOOKUP("FishDmed",tblTranslation[],7,FALSE)</f>
        <v>integer</v>
      </c>
      <c r="H45" s="178" t="str">
        <f>VLOOKUP("FishDmed",tblTranslation[],LangNameID,FALSE)</f>
        <v>Number of fishing days in the Medditerranen Sea (total)</v>
      </c>
    </row>
    <row r="46" spans="1:8" x14ac:dyDescent="0.3">
      <c r="A46" s="355"/>
      <c r="B46" s="355"/>
      <c r="C46" s="358"/>
      <c r="D46" s="352"/>
      <c r="E46" s="353" t="str">
        <f>VLOOKUP("D23",tblTranslation[],LangFieldID,FALSE)</f>
        <v>Fisheries (activity, 1 or +)</v>
      </c>
      <c r="F46" s="186" t="str">
        <f>VLOOKUP("Fishery1Cd",tblTranslation[],LangFieldID,FALSE)</f>
        <v>Fishery 1 (cod)</v>
      </c>
      <c r="G46" s="181" t="str">
        <f>VLOOKUP("Fishery1Cd",tblTranslation[],7,FALSE)</f>
        <v>ICCAT code</v>
      </c>
      <c r="H46" s="178" t="str">
        <f>VLOOKUP("Fishery1Cd",tblTranslation[],LangNameID,FALSE)</f>
        <v>Choose fishery in which the Vessel has participated (option 1)</v>
      </c>
    </row>
    <row r="47" spans="1:8" x14ac:dyDescent="0.3">
      <c r="A47" s="355"/>
      <c r="B47" s="355"/>
      <c r="C47" s="358"/>
      <c r="D47" s="352"/>
      <c r="E47" s="353"/>
      <c r="F47" s="186" t="str">
        <f>VLOOKUP("Fishery2Cd",tblTranslation[],LangFieldID,FALSE)</f>
        <v>Fishery 2 (cod)</v>
      </c>
      <c r="G47" s="181" t="str">
        <f>VLOOKUP("Fishery2Cd",tblTranslation[],7,FALSE)</f>
        <v>ICCAT code</v>
      </c>
      <c r="H47" s="178" t="str">
        <f>VLOOKUP("Fishery2Cd",tblTranslation[],LangNameID,FALSE)</f>
        <v>Choose fishery in which the Vessel has participated (option 2)</v>
      </c>
    </row>
    <row r="48" spans="1:8" x14ac:dyDescent="0.3">
      <c r="A48" s="355"/>
      <c r="B48" s="355"/>
      <c r="C48" s="358"/>
      <c r="D48" s="352"/>
      <c r="E48" s="353"/>
      <c r="F48" s="186" t="str">
        <f>VLOOKUP("Fishery3Cd",tblTranslation[],LangFieldID,FALSE)</f>
        <v>Fishery 3 (cod)</v>
      </c>
      <c r="G48" s="181" t="str">
        <f>VLOOKUP("Fishery3Cd",tblTranslation[],7,FALSE)</f>
        <v>ICCAT code</v>
      </c>
      <c r="H48" s="178" t="str">
        <f>VLOOKUP("Fishery3Cd",tblTranslation[],LangNameID,FALSE)</f>
        <v>Choose fishery in which the Vessel has participated (option 3)</v>
      </c>
    </row>
    <row r="49" spans="1:8" x14ac:dyDescent="0.3">
      <c r="A49" s="355"/>
      <c r="B49" s="355"/>
      <c r="C49" s="358"/>
      <c r="D49" s="352"/>
      <c r="E49" s="353"/>
      <c r="F49" s="186" t="str">
        <f>VLOOKUP("Fishery4Cd",tblTranslation[],LangFieldID,FALSE)</f>
        <v>Fishery 4 (cod)</v>
      </c>
      <c r="G49" s="181" t="str">
        <f>VLOOKUP("Fishery4Cd",tblTranslation[],7,FALSE)</f>
        <v>ICCAT code</v>
      </c>
      <c r="H49" s="178" t="str">
        <f>VLOOKUP("Fishery4Cd",tblTranslation[],LangNameID,FALSE)</f>
        <v>Choose fishery in which the Vessel has participated (option 4)</v>
      </c>
    </row>
    <row r="50" spans="1:8" x14ac:dyDescent="0.3">
      <c r="A50" s="355"/>
      <c r="B50" s="355"/>
      <c r="C50" s="358"/>
      <c r="D50" s="352"/>
      <c r="E50" s="353"/>
      <c r="F50" s="186" t="str">
        <f>VLOOKUP("Fishery5Cd",tblTranslation[],LangFieldID,FALSE)</f>
        <v>Fishery 5 (cod)</v>
      </c>
      <c r="G50" s="181" t="str">
        <f>VLOOKUP("Fishery5Cd",tblTranslation[],7,FALSE)</f>
        <v>ICCAT code</v>
      </c>
      <c r="H50" s="178" t="str">
        <f>VLOOKUP("Fishery5Cd",tblTranslation[],LangNameID,FALSE)</f>
        <v>Choose fishery in which the Vessel has participated (option 5)</v>
      </c>
    </row>
    <row r="51" spans="1:8" x14ac:dyDescent="0.3">
      <c r="A51" s="355"/>
      <c r="B51" s="355"/>
      <c r="C51" s="358"/>
      <c r="D51" s="352"/>
      <c r="E51" s="366" t="str">
        <f>VLOOKUP("D24",tblTranslation[],LangFieldID,FALSE)</f>
        <v>BFTE fishery only (details)</v>
      </c>
      <c r="F51" s="187" t="str">
        <f>VLOOKUP("DtAuthFrom",tblTranslation[],LangFieldID,FALSE)</f>
        <v>Authorised FROM</v>
      </c>
      <c r="G51" s="181" t="str">
        <f>VLOOKUP("DtAuthFrom",tblTranslation[],7,FALSE)</f>
        <v>date</v>
      </c>
      <c r="H51" s="178" t="str">
        <f>VLOOKUP("DtAuthFrom",tblTranslation[],LangNameID,FALSE)</f>
        <v>Start date (dd/mm/yyyy) of the vessel Autorisation Period (AP) in the BFTE fishery</v>
      </c>
    </row>
    <row r="52" spans="1:8" x14ac:dyDescent="0.3">
      <c r="A52" s="355"/>
      <c r="B52" s="355"/>
      <c r="C52" s="358"/>
      <c r="D52" s="352"/>
      <c r="E52" s="366"/>
      <c r="F52" s="187" t="str">
        <f>VLOOKUP("DtAuthTo",tblTranslation[],LangFieldID,FALSE)</f>
        <v>Authorised TO</v>
      </c>
      <c r="G52" s="181" t="str">
        <f>VLOOKUP("DtAuthTo",tblTranslation[],7,FALSE)</f>
        <v>date</v>
      </c>
      <c r="H52" s="178" t="str">
        <f>VLOOKUP("DtAuthTo",tblTranslation[],LangNameID,FALSE)</f>
        <v>End date (dd/mm/yyyy) of the vessel Autorisation Period (AP) in the BFTE fishery</v>
      </c>
    </row>
    <row r="53" spans="1:8" x14ac:dyDescent="0.3">
      <c r="A53" s="355"/>
      <c r="B53" s="355"/>
      <c r="C53" s="358"/>
      <c r="D53" s="352"/>
      <c r="E53" s="366"/>
      <c r="F53" s="187" t="str">
        <f>VLOOKUP("FishDtot",tblTranslation[],LangFieldID,FALSE)</f>
        <v>Total fishing days</v>
      </c>
      <c r="G53" s="181" t="str">
        <f>VLOOKUP("FishDtot",tblTranslation[],7,FALSE)</f>
        <v>integer</v>
      </c>
      <c r="H53" s="178" t="str">
        <f>VLOOKUP("FishDtot",tblTranslation[],LangNameID,FALSE)</f>
        <v>Total fishing days</v>
      </c>
    </row>
    <row r="54" spans="1:8" x14ac:dyDescent="0.3">
      <c r="A54" s="355"/>
      <c r="B54" s="355"/>
      <c r="C54" s="358"/>
      <c r="D54" s="352"/>
      <c r="E54" s="366"/>
      <c r="F54" s="187" t="str">
        <f>VLOOKUP("CatchAP",tblTranslation[],LangFieldID,FALSE)</f>
        <v>Catches (kg) in Auth. Per.</v>
      </c>
      <c r="G54" s="181" t="str">
        <f>VLOOKUP("CatchAP",tblTranslation[],7,FALSE)</f>
        <v>float</v>
      </c>
      <c r="H54" s="178" t="str">
        <f>VLOOKUP("CatchAP",tblTranslation[],LangNameID,FALSE)</f>
        <v>Enter the catches (kg) of the vessel in the authorised period (AP)</v>
      </c>
    </row>
    <row r="55" spans="1:8" ht="21.45" x14ac:dyDescent="0.3">
      <c r="A55" s="355"/>
      <c r="B55" s="355"/>
      <c r="C55" s="358"/>
      <c r="D55" s="352"/>
      <c r="E55" s="366"/>
      <c r="F55" s="187" t="str">
        <f>VLOOKUP("bCatchOutAP",tblTranslation[],LangFieldID,FALSE)</f>
        <v>Bycatch (kg) outside Auth. Per.</v>
      </c>
      <c r="G55" s="181" t="str">
        <f>VLOOKUP("bCatchOutAP",tblTranslation[],7,FALSE)</f>
        <v>float</v>
      </c>
      <c r="H55" s="182" t="str">
        <f>VLOOKUP("bCatchOutAP",tblTranslation[],LangNameID,FALSE)</f>
        <v xml:space="preserve">By-catch (kg) outside authorisation period </v>
      </c>
    </row>
    <row r="56" spans="1:8" x14ac:dyDescent="0.3">
      <c r="A56" s="355"/>
      <c r="B56" s="363" t="str">
        <f>VLOOKUP("T04",tblTranslation[],LangFieldID,FALSE)</f>
        <v>ST01B (by Fleet) 
OPTIONAL</v>
      </c>
      <c r="C56" s="356" t="str">
        <f>VLOOKUP("H00",tblTranslation[],LangFieldID,FALSE)</f>
        <v>Header</v>
      </c>
      <c r="D56" s="356"/>
      <c r="E56" s="356"/>
      <c r="F56" s="188" t="str">
        <f>VLOOKUP("H01",tblTranslation[],LangFieldID,FALSE)</f>
        <v>(auto)</v>
      </c>
      <c r="G56" s="189" t="str">
        <f>VLOOKUP("H01",tblTranslation[],LangFieldID,FALSE)</f>
        <v>(auto)</v>
      </c>
      <c r="H56" s="188" t="str">
        <f>VLOOKUP("H01",tblTranslation[],LangFieldID,FALSE)</f>
        <v>(auto)</v>
      </c>
    </row>
    <row r="57" spans="1:8" x14ac:dyDescent="0.3">
      <c r="A57" s="355"/>
      <c r="B57" s="363"/>
      <c r="C57" s="358" t="str">
        <f>VLOOKUP("D00",tblTranslation[],LangFieldID,FALSE)</f>
        <v>Detail</v>
      </c>
      <c r="D57" s="359" t="str">
        <f>VLOOKUP("D10b",tblTranslation[],LangFieldID,FALSE)</f>
        <v>Fleet attributes (small scale vessels ONLY)</v>
      </c>
      <c r="E57" s="359" t="str">
        <f>VLOOKUP("D12b",tblTranslation[],LangFieldID,FALSE)</f>
        <v>Fleet ID</v>
      </c>
      <c r="F57" s="183" t="str">
        <f>VLOOKUP("ssFlagVesCd",tblTranslation[],LangFieldID,FALSE)</f>
        <v>Flag of Vessel (cod)</v>
      </c>
      <c r="G57" s="181" t="str">
        <f>VLOOKUP("ssFlagVesCd",tblTranslation[],7,FALSE)</f>
        <v>ICCAT code</v>
      </c>
      <c r="H57" s="179" t="str">
        <f>VLOOKUP("ssFlagVesCd",tblTranslation[],LangNameID,FALSE)</f>
        <v>Choose the flag of the vessel for which the data apply (whether national or foreign flagged vessel)</v>
      </c>
    </row>
    <row r="58" spans="1:8" ht="21.45" x14ac:dyDescent="0.3">
      <c r="A58" s="355"/>
      <c r="B58" s="363"/>
      <c r="C58" s="358"/>
      <c r="D58" s="359"/>
      <c r="E58" s="359"/>
      <c r="F58" s="183" t="str">
        <f>VLOOKUP("ssFleetSuffix",tblTranslation[],LangFieldID,FALSE)</f>
        <v xml:space="preserve">Fleet suffix </v>
      </c>
      <c r="G58" s="181" t="str">
        <f>VLOOKUP("ssFleetSuffix",tblTranslation[],7,FALSE)</f>
        <v>string</v>
      </c>
      <c r="H58" s="178" t="str">
        <f>VLOOKUP("ssFleetSuffix",tblTranslation[],LangNameID,FALSE)</f>
        <v>This field should be completed by those CPCs operating various fisheries with an independent data collection system (e.g. Portugal-Azores, Spain-Fuenterrabía, etc.). Additional fleet sufixes (former base ports/zones) can be adopted.</v>
      </c>
    </row>
    <row r="59" spans="1:8" x14ac:dyDescent="0.3">
      <c r="A59" s="355"/>
      <c r="B59" s="363"/>
      <c r="C59" s="358"/>
      <c r="D59" s="359"/>
      <c r="E59" s="359" t="str">
        <f>VLOOKUP("D13b",tblTranslation[],LangFieldID,FALSE)</f>
        <v>Other attributes</v>
      </c>
      <c r="F59" s="183" t="str">
        <f>VLOOKUP("ssGearGrpCd",tblTranslation[],LangFieldID,FALSE)</f>
        <v>Gear group (cod)</v>
      </c>
      <c r="G59" s="181" t="str">
        <f>VLOOKUP("ssGearGrpCd",tblTranslation[],7,FALSE)</f>
        <v>ICCAT code</v>
      </c>
      <c r="H59" s="178" t="str">
        <f>VLOOKUP("ssGearGrpCd",tblTranslation[],LangNameID,FALSE)</f>
        <v>Select the most appropriate Gear group code (ICCAT)</v>
      </c>
    </row>
    <row r="60" spans="1:8" x14ac:dyDescent="0.3">
      <c r="A60" s="355"/>
      <c r="B60" s="363"/>
      <c r="C60" s="358"/>
      <c r="D60" s="359"/>
      <c r="E60" s="359"/>
      <c r="F60" s="183" t="str">
        <f>VLOOKUP("ssFleetDescrip",tblTranslation[],LangFieldID,FALSE)</f>
        <v>Fleet description</v>
      </c>
      <c r="G60" s="181" t="str">
        <f>VLOOKUP("ssFleetDescrip",tblTranslation[],7,FALSE)</f>
        <v>string</v>
      </c>
      <c r="H60" s="178" t="str">
        <f>VLOOKUP("ssFleetDescrip",tblTranslation[],LangNameID,FALSE)</f>
        <v>A short description of the fleet (or fleet component) in question</v>
      </c>
    </row>
    <row r="61" spans="1:8" x14ac:dyDescent="0.3">
      <c r="A61" s="355"/>
      <c r="B61" s="363"/>
      <c r="C61" s="358"/>
      <c r="D61" s="359"/>
      <c r="E61" s="359"/>
      <c r="F61" s="183" t="str">
        <f>VLOOKUP("ssLoaClassCd",tblTranslation[],LangFieldID,FALSE)</f>
        <v>LOA class code (m)</v>
      </c>
      <c r="G61" s="181" t="str">
        <f>VLOOKUP("ssLoaClassCd",tblTranslation[],7,FALSE)</f>
        <v>ICCAT code</v>
      </c>
      <c r="H61" s="178" t="str">
        <f>VLOOKUP("ssLoaClassCd",tblTranslation[],LangNameID,FALSE)</f>
        <v>Choose the Length Overall (LOA) class of the fleet component (group of vessels)</v>
      </c>
    </row>
    <row r="62" spans="1:8" x14ac:dyDescent="0.3">
      <c r="A62" s="355"/>
      <c r="B62" s="363"/>
      <c r="C62" s="358"/>
      <c r="D62" s="359"/>
      <c r="E62" s="359"/>
      <c r="F62" s="183" t="str">
        <f>VLOOKUP("ssGrtClassCd",tblTranslation[],LangFieldID,FALSE)</f>
        <v>GRT class code (t)</v>
      </c>
      <c r="G62" s="181" t="str">
        <f>VLOOKUP("ssGrtClassCd",tblTranslation[],7,FALSE)</f>
        <v>ICCAT code</v>
      </c>
      <c r="H62" s="178" t="str">
        <f>VLOOKUP("ssGrtClassCd",tblTranslation[],LangNameID,FALSE)</f>
        <v>Choose the Gross Registered Tonnage (GRT) class of the fleet component (group of vessels)</v>
      </c>
    </row>
    <row r="63" spans="1:8" x14ac:dyDescent="0.3">
      <c r="A63" s="355"/>
      <c r="B63" s="363"/>
      <c r="C63" s="358"/>
      <c r="D63" s="359"/>
      <c r="E63" s="359"/>
      <c r="F63" s="183" t="str">
        <f>VLOOKUP("NrVessels",tblTranslation[],LangFieldID,FALSE)</f>
        <v>No. Vessels</v>
      </c>
      <c r="G63" s="181" t="str">
        <f>VLOOKUP("NrVessels",tblTranslation[],7,FALSE)</f>
        <v>integer</v>
      </c>
      <c r="H63" s="178" t="str">
        <f>VLOOKUP("NrVessels",tblTranslation[],LangNameID,FALSE)</f>
        <v>Number of active vessels belonging to this fleet component</v>
      </c>
    </row>
    <row r="64" spans="1:8" ht="13.4" customHeight="1" x14ac:dyDescent="0.3">
      <c r="A64" s="355"/>
      <c r="B64" s="363"/>
      <c r="C64" s="358"/>
      <c r="D64" s="352" t="str">
        <f>VLOOKUP("D20b",tblTranslation[],LangFieldID,FALSE)</f>
        <v>Fleet (small-scale) activity in ICCAT Fisheries</v>
      </c>
      <c r="E64" s="246" t="s">
        <v>996</v>
      </c>
      <c r="F64" s="184" t="str">
        <f>VLOOKUP("ssYearC",tblTranslation[],LangFieldID,FALSE)</f>
        <v>Year (calendar)</v>
      </c>
      <c r="G64" s="181" t="str">
        <f>VLOOKUP("ssYearC",tblTranslation[],7,FALSE)</f>
        <v>integer</v>
      </c>
      <c r="H64" s="178" t="str">
        <f>VLOOKUP("ssYearC",tblTranslation[],LangNameID,FALSE)</f>
        <v>The year (Jan-Dec) in which the vessel was actively fishing</v>
      </c>
    </row>
    <row r="65" spans="1:8" ht="12.15" customHeight="1" x14ac:dyDescent="0.3">
      <c r="A65" s="355"/>
      <c r="B65" s="363"/>
      <c r="C65" s="358"/>
      <c r="D65" s="352"/>
      <c r="E65" s="362" t="str">
        <f>VLOOKUP("D22b",tblTranslation[],LangFieldID,FALSE)</f>
        <v>Total effort</v>
      </c>
      <c r="F65" s="185" t="str">
        <f>VLOOKUP("ssFishDatl",tblTranslation[],LangFieldID,FALSE)</f>
        <v>Fishing days (fleet, ATL)</v>
      </c>
      <c r="G65" s="181" t="str">
        <f>VLOOKUP("ssFishDatl",tblTranslation[],7,FALSE)</f>
        <v>integer</v>
      </c>
      <c r="H65" s="178" t="str">
        <f>VLOOKUP("ssFishDatl",tblTranslation[],LangNameID,FALSE)</f>
        <v>Total number of fishing days of this fleet component in the Atlantic</v>
      </c>
    </row>
    <row r="66" spans="1:8" x14ac:dyDescent="0.3">
      <c r="A66" s="355"/>
      <c r="B66" s="363"/>
      <c r="C66" s="358"/>
      <c r="D66" s="352"/>
      <c r="E66" s="362"/>
      <c r="F66" s="185" t="str">
        <f>VLOOKUP("ssFishDmed",tblTranslation[],LangFieldID,FALSE)</f>
        <v>Fishing days (fleet, MED)</v>
      </c>
      <c r="G66" s="181" t="str">
        <f>VLOOKUP("ssFishDmed",tblTranslation[],7,FALSE)</f>
        <v>integer</v>
      </c>
      <c r="H66" s="178" t="str">
        <f>VLOOKUP("ssFishDmed",tblTranslation[],LangNameID,FALSE)</f>
        <v>Total number of fishing days of this fleet component in the Medditerranen Sea</v>
      </c>
    </row>
    <row r="67" spans="1:8" x14ac:dyDescent="0.3">
      <c r="A67" s="355"/>
      <c r="B67" s="363"/>
      <c r="C67" s="358"/>
      <c r="D67" s="352"/>
      <c r="E67" s="353" t="str">
        <f>VLOOKUP("D23b",tblTranslation[],LangFieldID,FALSE)</f>
        <v>Fisheries (activity, 1 or +)</v>
      </c>
      <c r="F67" s="186" t="str">
        <f>VLOOKUP("ssFishery1Cd",tblTranslation[],LangFieldID,FALSE)</f>
        <v>Fishery 1 (cod)</v>
      </c>
      <c r="G67" s="181" t="str">
        <f>VLOOKUP("ssFishery1Cd",tblTranslation[],7,FALSE)</f>
        <v>ICCAT code</v>
      </c>
      <c r="H67" s="178" t="str">
        <f>VLOOKUP("ssFishery1Cd",tblTranslation[],LangNameID,FALSE)</f>
        <v>Choose fishery in which this fleet component has participated (option 1)</v>
      </c>
    </row>
    <row r="68" spans="1:8" x14ac:dyDescent="0.3">
      <c r="A68" s="355"/>
      <c r="B68" s="363"/>
      <c r="C68" s="358"/>
      <c r="D68" s="352"/>
      <c r="E68" s="353"/>
      <c r="F68" s="186" t="str">
        <f>VLOOKUP("ssFishery2Cd",tblTranslation[],LangFieldID,FALSE)</f>
        <v>Fishery 2 (cod)</v>
      </c>
      <c r="G68" s="181" t="str">
        <f>VLOOKUP("ssFishery2Cd",tblTranslation[],7,FALSE)</f>
        <v>ICCAT code</v>
      </c>
      <c r="H68" s="178" t="str">
        <f>VLOOKUP("ssFishery2Cd",tblTranslation[],LangNameID,FALSE)</f>
        <v>Choose fishery in which this fleet component has participated (option 2)</v>
      </c>
    </row>
    <row r="69" spans="1:8" x14ac:dyDescent="0.3">
      <c r="A69" s="355"/>
      <c r="B69" s="363"/>
      <c r="C69" s="358"/>
      <c r="D69" s="352"/>
      <c r="E69" s="353"/>
      <c r="F69" s="186" t="str">
        <f>VLOOKUP("ssFishery3Cd",tblTranslation[],LangFieldID,FALSE)</f>
        <v>Fishery 3 (cod)</v>
      </c>
      <c r="G69" s="181" t="str">
        <f>VLOOKUP("ssFishery3Cd",tblTranslation[],7,FALSE)</f>
        <v>ICCAT code</v>
      </c>
      <c r="H69" s="178" t="str">
        <f>VLOOKUP("ssFishery3Cd",tblTranslation[],LangNameID,FALSE)</f>
        <v>Choose fishery in which this fleet component has participated (option 3)</v>
      </c>
    </row>
    <row r="70" spans="1:8" x14ac:dyDescent="0.3">
      <c r="A70" s="355"/>
      <c r="B70" s="363"/>
      <c r="C70" s="358"/>
      <c r="D70" s="352"/>
      <c r="E70" s="353"/>
      <c r="F70" s="186" t="str">
        <f>VLOOKUP("ssFishery4Cd",tblTranslation[],LangFieldID,FALSE)</f>
        <v>Fishery 4 (cod)</v>
      </c>
      <c r="G70" s="181" t="str">
        <f>VLOOKUP("ssFishery4Cd",tblTranslation[],7,FALSE)</f>
        <v>ICCAT code</v>
      </c>
      <c r="H70" s="178" t="str">
        <f>VLOOKUP("ssFishery4Cd",tblTranslation[],LangNameID,FALSE)</f>
        <v>Choose fishery in which this fleet component has participated (option 4)</v>
      </c>
    </row>
    <row r="71" spans="1:8" x14ac:dyDescent="0.3">
      <c r="A71" s="355"/>
      <c r="B71" s="363"/>
      <c r="C71" s="358"/>
      <c r="D71" s="352"/>
      <c r="E71" s="353"/>
      <c r="F71" s="186" t="str">
        <f>VLOOKUP("ssFishery5Cd",tblTranslation[],LangFieldID,FALSE)</f>
        <v>Fishery 5 (cod)</v>
      </c>
      <c r="G71" s="181" t="str">
        <f>VLOOKUP("ssFishery5Cd",tblTranslation[],7,FALSE)</f>
        <v>ICCAT code</v>
      </c>
      <c r="H71" s="182" t="str">
        <f>VLOOKUP("ssFishery5Cd",tblTranslation[],LangNameID,FALSE)</f>
        <v>Choose fishery in which this fleet component has participated (option 5)</v>
      </c>
    </row>
  </sheetData>
  <sheetProtection algorithmName="SHA-512" hashValue="1op3jrZHeBdWN6L0McTBST8vqX0IM5f6o9ABtuRt0iOSA+Oxa+sNFppxrP32m2SN6Vit75Cm8JL9+VNEYkUJTg==" saltValue="+bmyrE7yLG9oA12AmS/oKw==" spinCount="100000" sheet="1" objects="1" scenarios="1" formatCells="0" autoFilter="0"/>
  <mergeCells count="36">
    <mergeCell ref="C13:C30"/>
    <mergeCell ref="E13:E15"/>
    <mergeCell ref="D25:E29"/>
    <mergeCell ref="B13:B55"/>
    <mergeCell ref="D20:E24"/>
    <mergeCell ref="E36:E37"/>
    <mergeCell ref="D13:D19"/>
    <mergeCell ref="C31:C55"/>
    <mergeCell ref="E51:E55"/>
    <mergeCell ref="D43:D55"/>
    <mergeCell ref="E31:E35"/>
    <mergeCell ref="E44:E45"/>
    <mergeCell ref="D31:D42"/>
    <mergeCell ref="E38:E42"/>
    <mergeCell ref="B11:E12"/>
    <mergeCell ref="B3:H3"/>
    <mergeCell ref="B4:H4"/>
    <mergeCell ref="B5:H5"/>
    <mergeCell ref="B6:H6"/>
    <mergeCell ref="B7:H7"/>
    <mergeCell ref="D64:D71"/>
    <mergeCell ref="E46:E50"/>
    <mergeCell ref="A1:H1"/>
    <mergeCell ref="A11:A71"/>
    <mergeCell ref="C56:E56"/>
    <mergeCell ref="D30:E30"/>
    <mergeCell ref="C57:C71"/>
    <mergeCell ref="D57:D63"/>
    <mergeCell ref="E57:E58"/>
    <mergeCell ref="A2:F2"/>
    <mergeCell ref="A9:F9"/>
    <mergeCell ref="E59:E63"/>
    <mergeCell ref="E65:E66"/>
    <mergeCell ref="E67:E71"/>
    <mergeCell ref="B56:B71"/>
    <mergeCell ref="E16:E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G11"/>
  <sheetViews>
    <sheetView zoomScaleNormal="100" workbookViewId="0">
      <selection sqref="A1:F1"/>
    </sheetView>
  </sheetViews>
  <sheetFormatPr defaultColWidth="9.07421875" defaultRowHeight="12" x14ac:dyDescent="0.35"/>
  <cols>
    <col min="1" max="2" width="4.765625" style="44" bestFit="1" customWidth="1"/>
    <col min="3" max="3" width="4.23046875" style="44" bestFit="1" customWidth="1"/>
    <col min="4" max="4" width="74.765625" style="44" customWidth="1"/>
    <col min="5" max="5" width="11" style="44" bestFit="1" customWidth="1"/>
    <col min="6" max="6" width="20" style="44" bestFit="1" customWidth="1"/>
    <col min="7" max="7" width="13.84375" style="44" customWidth="1"/>
    <col min="8" max="8" width="9.07421875" style="44"/>
    <col min="9" max="9" width="16.4609375" style="44" bestFit="1" customWidth="1"/>
    <col min="10" max="16384" width="9.07421875" style="44"/>
  </cols>
  <sheetData>
    <row r="1" spans="1:7" ht="18.45" x14ac:dyDescent="0.35">
      <c r="A1" s="367" t="s">
        <v>702</v>
      </c>
      <c r="B1" s="367"/>
      <c r="C1" s="367"/>
      <c r="D1" s="367"/>
      <c r="E1" s="367"/>
      <c r="F1" s="367"/>
    </row>
    <row r="3" spans="1:7" ht="18" customHeight="1" x14ac:dyDescent="0.35">
      <c r="A3" s="45" t="str">
        <f>VLOOKUP("SC01",tblTranslation[],LangFieldID,FALSE)</f>
        <v>Form</v>
      </c>
      <c r="B3" s="46" t="s">
        <v>687</v>
      </c>
      <c r="C3" s="46" t="s">
        <v>446</v>
      </c>
      <c r="D3" s="46" t="s">
        <v>222</v>
      </c>
      <c r="E3" s="46" t="s">
        <v>688</v>
      </c>
      <c r="F3" s="46" t="s">
        <v>697</v>
      </c>
      <c r="G3" s="46" t="str">
        <f>"Status ("&amp;LEFT(ST01A!Q2,4)&amp;")"</f>
        <v>Status (2024)</v>
      </c>
    </row>
    <row r="4" spans="1:7" x14ac:dyDescent="0.35">
      <c r="A4" s="368" t="str">
        <f>VLOOKUP("T00",tblTranslation[],LangFieldID,FALSE)</f>
        <v>ST01-T1FC</v>
      </c>
      <c r="B4" s="371">
        <v>1</v>
      </c>
      <c r="C4" s="47" t="s">
        <v>287</v>
      </c>
      <c r="D4" s="48" t="s">
        <v>690</v>
      </c>
      <c r="E4" s="49" t="s">
        <v>689</v>
      </c>
      <c r="F4" s="50" t="str">
        <f>"{"&amp;LEFT(ST01A!Q2,4)&amp;"a}*"</f>
        <v>{2024a}*</v>
      </c>
      <c r="G4" s="51" t="s">
        <v>696</v>
      </c>
    </row>
    <row r="5" spans="1:7" x14ac:dyDescent="0.35">
      <c r="A5" s="369"/>
      <c r="B5" s="372"/>
      <c r="C5" s="52" t="s">
        <v>288</v>
      </c>
      <c r="D5" s="53" t="s">
        <v>691</v>
      </c>
      <c r="E5" s="44" t="s">
        <v>689</v>
      </c>
      <c r="F5" s="54" t="s">
        <v>699</v>
      </c>
      <c r="G5" s="55" t="s">
        <v>696</v>
      </c>
    </row>
    <row r="6" spans="1:7" x14ac:dyDescent="0.35">
      <c r="A6" s="369"/>
      <c r="B6" s="373"/>
      <c r="C6" s="52" t="s">
        <v>289</v>
      </c>
      <c r="D6" s="53" t="s">
        <v>692</v>
      </c>
      <c r="E6" s="44" t="s">
        <v>689</v>
      </c>
      <c r="F6" s="54" t="s">
        <v>698</v>
      </c>
      <c r="G6" s="55" t="s">
        <v>696</v>
      </c>
    </row>
    <row r="7" spans="1:7" x14ac:dyDescent="0.35">
      <c r="A7" s="369"/>
      <c r="B7" s="371">
        <v>2</v>
      </c>
      <c r="C7" s="47" t="s">
        <v>287</v>
      </c>
      <c r="D7" s="49" t="s">
        <v>976</v>
      </c>
      <c r="E7" s="56" t="s">
        <v>693</v>
      </c>
      <c r="F7" s="50" t="s">
        <v>1009</v>
      </c>
      <c r="G7" s="51" t="s">
        <v>696</v>
      </c>
    </row>
    <row r="8" spans="1:7" x14ac:dyDescent="0.35">
      <c r="A8" s="369"/>
      <c r="B8" s="372"/>
      <c r="C8" s="52" t="s">
        <v>288</v>
      </c>
      <c r="D8" s="44" t="s">
        <v>963</v>
      </c>
      <c r="E8" s="57" t="s">
        <v>693</v>
      </c>
      <c r="F8" s="54" t="s">
        <v>964</v>
      </c>
      <c r="G8" s="55" t="s">
        <v>696</v>
      </c>
    </row>
    <row r="9" spans="1:7" x14ac:dyDescent="0.35">
      <c r="A9" s="370"/>
      <c r="B9" s="373"/>
      <c r="C9" s="58" t="s">
        <v>289</v>
      </c>
      <c r="D9" s="59" t="s">
        <v>703</v>
      </c>
      <c r="E9" s="60" t="s">
        <v>693</v>
      </c>
      <c r="F9" s="66" t="s">
        <v>965</v>
      </c>
      <c r="G9" s="115" t="s">
        <v>1008</v>
      </c>
    </row>
    <row r="11" spans="1:7" x14ac:dyDescent="0.35">
      <c r="A11" s="374" t="s">
        <v>1301</v>
      </c>
      <c r="B11" s="374"/>
      <c r="C11" s="374"/>
      <c r="D11" s="374"/>
      <c r="E11" s="374"/>
      <c r="F11" s="374"/>
      <c r="G11" s="374"/>
    </row>
  </sheetData>
  <sheetProtection algorithmName="SHA-512" hashValue="3e9AgCE6rnjEWiGCrEcCpNK0xZV+s7HrcMaVhwUVtLbyxFvVo6k17yz0me8g292qSgDHIXbVEWtMs/F7J7pkGw==" saltValue="bsk7pjh7I3U4LHUNQEQ00A==" spinCount="100000" sheet="1" objects="1" scenarios="1"/>
  <mergeCells count="5">
    <mergeCell ref="A1:F1"/>
    <mergeCell ref="A4:A9"/>
    <mergeCell ref="B7:B9"/>
    <mergeCell ref="B4:B6"/>
    <mergeCell ref="A11:G1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M120"/>
  <sheetViews>
    <sheetView zoomScaleNormal="100" workbookViewId="0">
      <pane ySplit="4" topLeftCell="A38" activePane="bottomLeft" state="frozen"/>
      <selection pane="bottomLeft" activeCell="H47" sqref="H47"/>
    </sheetView>
  </sheetViews>
  <sheetFormatPr defaultColWidth="7.07421875" defaultRowHeight="10.75" x14ac:dyDescent="0.3"/>
  <cols>
    <col min="1" max="1" width="11.23046875" style="62" bestFit="1" customWidth="1"/>
    <col min="2" max="2" width="5.765625" style="62" bestFit="1" customWidth="1"/>
    <col min="3" max="3" width="6.84375" style="62" bestFit="1" customWidth="1"/>
    <col min="4" max="4" width="9.765625" style="62" bestFit="1" customWidth="1"/>
    <col min="5" max="5" width="7.23046875" style="62" bestFit="1" customWidth="1"/>
    <col min="6" max="6" width="8.23046875" style="62" bestFit="1" customWidth="1"/>
    <col min="7" max="7" width="9.23046875" style="62" bestFit="1" customWidth="1"/>
    <col min="8" max="10" width="23" style="62" customWidth="1"/>
    <col min="11" max="13" width="60.07421875" style="62" customWidth="1"/>
    <col min="14" max="16384" width="7.07421875" style="62"/>
  </cols>
  <sheetData>
    <row r="1" spans="1:13" ht="15" customHeight="1" x14ac:dyDescent="0.3">
      <c r="A1" s="375" t="s">
        <v>305</v>
      </c>
      <c r="B1" s="375"/>
      <c r="C1" s="375"/>
      <c r="D1" s="375"/>
      <c r="E1" s="375"/>
      <c r="F1" s="375"/>
      <c r="G1" s="61"/>
      <c r="H1" s="64" t="s">
        <v>961</v>
      </c>
      <c r="I1" s="65">
        <f>IF(Idiom="ENG",8,IF(Idiom="FRA",9,10))</f>
        <v>8</v>
      </c>
    </row>
    <row r="2" spans="1:13" ht="15" customHeight="1" x14ac:dyDescent="0.3">
      <c r="A2" s="61"/>
      <c r="B2" s="61"/>
      <c r="C2" s="61"/>
      <c r="D2" s="61"/>
      <c r="E2" s="61"/>
      <c r="F2" s="61"/>
      <c r="G2" s="61"/>
      <c r="H2" s="64" t="s">
        <v>962</v>
      </c>
      <c r="I2" s="65">
        <f>IF(Idiom="ENG",11,IF(Idiom="FRA",12,13))</f>
        <v>11</v>
      </c>
    </row>
    <row r="4" spans="1:13" x14ac:dyDescent="0.3">
      <c r="A4" s="61" t="s">
        <v>240</v>
      </c>
      <c r="B4" s="61" t="s">
        <v>1150</v>
      </c>
      <c r="C4" s="61" t="s">
        <v>1025</v>
      </c>
      <c r="D4" s="61" t="s">
        <v>1151</v>
      </c>
      <c r="E4" s="61" t="s">
        <v>239</v>
      </c>
      <c r="F4" s="61" t="s">
        <v>446</v>
      </c>
      <c r="G4" s="61" t="s">
        <v>567</v>
      </c>
      <c r="H4" s="157" t="s">
        <v>585</v>
      </c>
      <c r="I4" s="157" t="s">
        <v>586</v>
      </c>
      <c r="J4" s="157" t="s">
        <v>587</v>
      </c>
      <c r="K4" s="158" t="s">
        <v>588</v>
      </c>
      <c r="L4" s="158" t="s">
        <v>589</v>
      </c>
      <c r="M4" s="158" t="s">
        <v>590</v>
      </c>
    </row>
    <row r="5" spans="1:13" x14ac:dyDescent="0.3">
      <c r="A5" s="148" t="s">
        <v>666</v>
      </c>
      <c r="B5" s="149">
        <v>1</v>
      </c>
      <c r="C5" s="149" t="s">
        <v>1026</v>
      </c>
      <c r="D5" s="149" t="s">
        <v>1027</v>
      </c>
      <c r="E5" s="149" t="s">
        <v>956</v>
      </c>
      <c r="F5" s="149" t="s">
        <v>293</v>
      </c>
      <c r="G5" s="149" t="s">
        <v>598</v>
      </c>
      <c r="H5" s="150" t="s">
        <v>249</v>
      </c>
      <c r="I5" s="150" t="s">
        <v>249</v>
      </c>
      <c r="J5" s="150" t="s">
        <v>249</v>
      </c>
      <c r="K5" s="150" t="s">
        <v>1197</v>
      </c>
      <c r="L5" s="150" t="s">
        <v>1198</v>
      </c>
      <c r="M5" s="151" t="s">
        <v>1199</v>
      </c>
    </row>
    <row r="6" spans="1:13" x14ac:dyDescent="0.3">
      <c r="A6" s="152" t="s">
        <v>241</v>
      </c>
      <c r="B6" s="149">
        <v>2</v>
      </c>
      <c r="C6" s="149" t="s">
        <v>1026</v>
      </c>
      <c r="D6" s="149" t="s">
        <v>1027</v>
      </c>
      <c r="E6" s="149" t="s">
        <v>956</v>
      </c>
      <c r="F6" s="149" t="s">
        <v>292</v>
      </c>
      <c r="G6" s="149" t="s">
        <v>598</v>
      </c>
      <c r="H6" s="150" t="s">
        <v>523</v>
      </c>
      <c r="I6" s="150" t="s">
        <v>591</v>
      </c>
      <c r="J6" s="150" t="s">
        <v>592</v>
      </c>
      <c r="K6" s="150" t="s">
        <v>274</v>
      </c>
      <c r="L6" s="150" t="s">
        <v>275</v>
      </c>
      <c r="M6" s="151" t="s">
        <v>273</v>
      </c>
    </row>
    <row r="7" spans="1:13" x14ac:dyDescent="0.3">
      <c r="A7" s="148" t="s">
        <v>276</v>
      </c>
      <c r="B7" s="149">
        <v>3</v>
      </c>
      <c r="C7" s="149" t="s">
        <v>1026</v>
      </c>
      <c r="D7" s="149" t="s">
        <v>1027</v>
      </c>
      <c r="E7" s="149" t="s">
        <v>956</v>
      </c>
      <c r="F7" s="149" t="s">
        <v>458</v>
      </c>
      <c r="G7" s="149" t="s">
        <v>598</v>
      </c>
      <c r="H7" s="150" t="s">
        <v>1028</v>
      </c>
      <c r="I7" s="150" t="s">
        <v>1029</v>
      </c>
      <c r="J7" s="150" t="s">
        <v>1030</v>
      </c>
      <c r="K7" s="150" t="s">
        <v>1031</v>
      </c>
      <c r="L7" s="150" t="s">
        <v>1032</v>
      </c>
      <c r="M7" s="151" t="s">
        <v>1033</v>
      </c>
    </row>
    <row r="8" spans="1:13" ht="21.45" x14ac:dyDescent="0.3">
      <c r="A8" s="152" t="s">
        <v>569</v>
      </c>
      <c r="B8" s="149">
        <v>4</v>
      </c>
      <c r="C8" s="149" t="s">
        <v>1026</v>
      </c>
      <c r="D8" s="149" t="s">
        <v>1027</v>
      </c>
      <c r="E8" s="149" t="s">
        <v>956</v>
      </c>
      <c r="F8" s="149" t="s">
        <v>458</v>
      </c>
      <c r="G8" s="149" t="s">
        <v>598</v>
      </c>
      <c r="H8" s="150" t="s">
        <v>746</v>
      </c>
      <c r="I8" s="150" t="s">
        <v>757</v>
      </c>
      <c r="J8" s="150" t="s">
        <v>806</v>
      </c>
      <c r="K8" s="150" t="s">
        <v>800</v>
      </c>
      <c r="L8" s="150" t="s">
        <v>818</v>
      </c>
      <c r="M8" s="151" t="s">
        <v>801</v>
      </c>
    </row>
    <row r="9" spans="1:13" ht="21.45" x14ac:dyDescent="0.3">
      <c r="A9" s="152" t="s">
        <v>745</v>
      </c>
      <c r="B9" s="149">
        <v>5</v>
      </c>
      <c r="C9" s="149" t="s">
        <v>1026</v>
      </c>
      <c r="D9" s="149" t="s">
        <v>1027</v>
      </c>
      <c r="E9" s="149" t="s">
        <v>956</v>
      </c>
      <c r="F9" s="149" t="s">
        <v>458</v>
      </c>
      <c r="G9" s="149" t="s">
        <v>598</v>
      </c>
      <c r="H9" s="150" t="s">
        <v>756</v>
      </c>
      <c r="I9" s="150" t="s">
        <v>805</v>
      </c>
      <c r="J9" s="150" t="s">
        <v>1152</v>
      </c>
      <c r="K9" s="150" t="s">
        <v>802</v>
      </c>
      <c r="L9" s="150" t="s">
        <v>819</v>
      </c>
      <c r="M9" s="151" t="s">
        <v>820</v>
      </c>
    </row>
    <row r="10" spans="1:13" x14ac:dyDescent="0.3">
      <c r="A10" s="152" t="s">
        <v>1023</v>
      </c>
      <c r="B10" s="149">
        <v>6</v>
      </c>
      <c r="C10" s="149" t="s">
        <v>1026</v>
      </c>
      <c r="D10" s="149" t="s">
        <v>1027</v>
      </c>
      <c r="E10" s="149" t="s">
        <v>956</v>
      </c>
      <c r="F10" s="149" t="s">
        <v>301</v>
      </c>
      <c r="G10" s="149" t="s">
        <v>582</v>
      </c>
      <c r="H10" s="150" t="s">
        <v>250</v>
      </c>
      <c r="I10" s="150" t="s">
        <v>250</v>
      </c>
      <c r="J10" s="150" t="s">
        <v>570</v>
      </c>
      <c r="K10" s="150" t="s">
        <v>1034</v>
      </c>
      <c r="L10" s="150" t="s">
        <v>1035</v>
      </c>
      <c r="M10" s="151" t="s">
        <v>1036</v>
      </c>
    </row>
    <row r="11" spans="1:13" x14ac:dyDescent="0.3">
      <c r="A11" s="152" t="s">
        <v>1024</v>
      </c>
      <c r="B11" s="149">
        <v>7</v>
      </c>
      <c r="C11" s="149" t="s">
        <v>1026</v>
      </c>
      <c r="D11" s="149" t="s">
        <v>1027</v>
      </c>
      <c r="E11" s="149" t="s">
        <v>956</v>
      </c>
      <c r="F11" s="149" t="s">
        <v>301</v>
      </c>
      <c r="G11" s="149" t="s">
        <v>577</v>
      </c>
      <c r="H11" s="150" t="s">
        <v>251</v>
      </c>
      <c r="I11" s="150" t="s">
        <v>571</v>
      </c>
      <c r="J11" s="150" t="s">
        <v>572</v>
      </c>
      <c r="K11" s="150" t="s">
        <v>1037</v>
      </c>
      <c r="L11" s="150" t="s">
        <v>1107</v>
      </c>
      <c r="M11" s="151" t="s">
        <v>1038</v>
      </c>
    </row>
    <row r="12" spans="1:13" x14ac:dyDescent="0.3">
      <c r="A12" s="148" t="s">
        <v>760</v>
      </c>
      <c r="B12" s="149">
        <v>8</v>
      </c>
      <c r="C12" s="149" t="s">
        <v>1026</v>
      </c>
      <c r="D12" s="149" t="s">
        <v>1027</v>
      </c>
      <c r="E12" s="149" t="s">
        <v>224</v>
      </c>
      <c r="F12" s="149" t="s">
        <v>293</v>
      </c>
      <c r="G12" s="149" t="s">
        <v>598</v>
      </c>
      <c r="H12" s="150" t="s">
        <v>224</v>
      </c>
      <c r="I12" s="150" t="s">
        <v>295</v>
      </c>
      <c r="J12" s="150" t="s">
        <v>294</v>
      </c>
      <c r="K12" s="150" t="s">
        <v>598</v>
      </c>
      <c r="L12" s="150" t="s">
        <v>598</v>
      </c>
      <c r="M12" s="151" t="s">
        <v>598</v>
      </c>
    </row>
    <row r="13" spans="1:13" hidden="1" x14ac:dyDescent="0.3">
      <c r="A13" s="152" t="s">
        <v>744</v>
      </c>
      <c r="B13" s="149">
        <v>9</v>
      </c>
      <c r="C13" s="149" t="s">
        <v>1026</v>
      </c>
      <c r="D13" s="149" t="s">
        <v>1039</v>
      </c>
      <c r="E13" s="149" t="s">
        <v>224</v>
      </c>
      <c r="F13" s="149" t="s">
        <v>458</v>
      </c>
      <c r="G13" s="150" t="s">
        <v>758</v>
      </c>
      <c r="H13" s="150" t="s">
        <v>758</v>
      </c>
      <c r="I13" s="150" t="s">
        <v>758</v>
      </c>
      <c r="J13" s="150" t="s">
        <v>758</v>
      </c>
      <c r="K13" s="150" t="s">
        <v>598</v>
      </c>
      <c r="L13" s="150" t="s">
        <v>598</v>
      </c>
      <c r="M13" s="151" t="s">
        <v>598</v>
      </c>
    </row>
    <row r="14" spans="1:13" x14ac:dyDescent="0.3">
      <c r="A14" s="148" t="s">
        <v>470</v>
      </c>
      <c r="B14" s="149">
        <v>10</v>
      </c>
      <c r="C14" s="149" t="s">
        <v>1026</v>
      </c>
      <c r="D14" s="149" t="s">
        <v>1027</v>
      </c>
      <c r="E14" s="149" t="s">
        <v>224</v>
      </c>
      <c r="F14" s="149" t="s">
        <v>458</v>
      </c>
      <c r="G14" s="149" t="s">
        <v>598</v>
      </c>
      <c r="H14" s="150" t="s">
        <v>445</v>
      </c>
      <c r="I14" s="150" t="s">
        <v>263</v>
      </c>
      <c r="J14" s="150" t="s">
        <v>277</v>
      </c>
      <c r="K14" s="150" t="s">
        <v>598</v>
      </c>
      <c r="L14" s="150" t="s">
        <v>598</v>
      </c>
      <c r="M14" s="151" t="s">
        <v>598</v>
      </c>
    </row>
    <row r="15" spans="1:13" x14ac:dyDescent="0.3">
      <c r="A15" s="152" t="s">
        <v>520</v>
      </c>
      <c r="B15" s="149">
        <v>11</v>
      </c>
      <c r="C15" s="149" t="s">
        <v>1026</v>
      </c>
      <c r="D15" s="149" t="s">
        <v>1027</v>
      </c>
      <c r="E15" s="149" t="s">
        <v>224</v>
      </c>
      <c r="F15" s="149" t="s">
        <v>516</v>
      </c>
      <c r="G15" s="149" t="s">
        <v>598</v>
      </c>
      <c r="H15" s="150" t="s">
        <v>226</v>
      </c>
      <c r="I15" s="150" t="s">
        <v>226</v>
      </c>
      <c r="J15" s="150" t="s">
        <v>248</v>
      </c>
      <c r="K15" s="150" t="s">
        <v>598</v>
      </c>
      <c r="L15" s="150" t="s">
        <v>598</v>
      </c>
      <c r="M15" s="151" t="s">
        <v>598</v>
      </c>
    </row>
    <row r="16" spans="1:13" x14ac:dyDescent="0.3">
      <c r="A16" s="152" t="s">
        <v>521</v>
      </c>
      <c r="B16" s="149">
        <v>12</v>
      </c>
      <c r="C16" s="149" t="s">
        <v>1026</v>
      </c>
      <c r="D16" s="149" t="s">
        <v>1027</v>
      </c>
      <c r="E16" s="149" t="s">
        <v>224</v>
      </c>
      <c r="F16" s="149" t="s">
        <v>516</v>
      </c>
      <c r="G16" s="149" t="s">
        <v>598</v>
      </c>
      <c r="H16" s="150" t="s">
        <v>10</v>
      </c>
      <c r="I16" s="150" t="s">
        <v>10</v>
      </c>
      <c r="J16" s="150" t="s">
        <v>267</v>
      </c>
      <c r="K16" s="150" t="s">
        <v>598</v>
      </c>
      <c r="L16" s="150" t="s">
        <v>598</v>
      </c>
      <c r="M16" s="151" t="s">
        <v>598</v>
      </c>
    </row>
    <row r="17" spans="1:13" x14ac:dyDescent="0.3">
      <c r="A17" s="152" t="s">
        <v>517</v>
      </c>
      <c r="B17" s="149">
        <v>13</v>
      </c>
      <c r="C17" s="149" t="s">
        <v>1026</v>
      </c>
      <c r="D17" s="149" t="s">
        <v>1027</v>
      </c>
      <c r="E17" s="149" t="s">
        <v>224</v>
      </c>
      <c r="F17" s="149" t="s">
        <v>458</v>
      </c>
      <c r="G17" s="149" t="s">
        <v>598</v>
      </c>
      <c r="H17" s="150" t="s">
        <v>306</v>
      </c>
      <c r="I17" s="150" t="s">
        <v>257</v>
      </c>
      <c r="J17" s="150" t="s">
        <v>650</v>
      </c>
      <c r="K17" s="150" t="s">
        <v>598</v>
      </c>
      <c r="L17" s="150" t="s">
        <v>598</v>
      </c>
      <c r="M17" s="151" t="s">
        <v>598</v>
      </c>
    </row>
    <row r="18" spans="1:13" x14ac:dyDescent="0.3">
      <c r="A18" s="153" t="s">
        <v>651</v>
      </c>
      <c r="B18" s="149">
        <v>14</v>
      </c>
      <c r="C18" s="149" t="s">
        <v>1026</v>
      </c>
      <c r="D18" s="149" t="s">
        <v>1027</v>
      </c>
      <c r="E18" s="149" t="s">
        <v>224</v>
      </c>
      <c r="F18" s="154" t="s">
        <v>516</v>
      </c>
      <c r="G18" s="154" t="s">
        <v>598</v>
      </c>
      <c r="H18" s="155" t="s">
        <v>652</v>
      </c>
      <c r="I18" s="150" t="s">
        <v>653</v>
      </c>
      <c r="J18" s="150" t="s">
        <v>654</v>
      </c>
      <c r="K18" s="150" t="s">
        <v>598</v>
      </c>
      <c r="L18" s="150" t="s">
        <v>598</v>
      </c>
      <c r="M18" s="151" t="s">
        <v>598</v>
      </c>
    </row>
    <row r="19" spans="1:13" x14ac:dyDescent="0.3">
      <c r="A19" s="152" t="s">
        <v>518</v>
      </c>
      <c r="B19" s="149">
        <v>15</v>
      </c>
      <c r="C19" s="149" t="s">
        <v>1026</v>
      </c>
      <c r="D19" s="149" t="s">
        <v>1027</v>
      </c>
      <c r="E19" s="149" t="s">
        <v>224</v>
      </c>
      <c r="F19" s="149" t="s">
        <v>458</v>
      </c>
      <c r="G19" s="149" t="s">
        <v>598</v>
      </c>
      <c r="H19" s="150" t="s">
        <v>6</v>
      </c>
      <c r="I19" s="150" t="s">
        <v>973</v>
      </c>
      <c r="J19" s="150" t="s">
        <v>974</v>
      </c>
      <c r="K19" s="150" t="s">
        <v>598</v>
      </c>
      <c r="L19" s="150" t="s">
        <v>598</v>
      </c>
      <c r="M19" s="151" t="s">
        <v>598</v>
      </c>
    </row>
    <row r="20" spans="1:13" x14ac:dyDescent="0.3">
      <c r="A20" s="148" t="s">
        <v>686</v>
      </c>
      <c r="B20" s="149">
        <v>16</v>
      </c>
      <c r="C20" s="149" t="s">
        <v>1026</v>
      </c>
      <c r="D20" s="149" t="s">
        <v>1027</v>
      </c>
      <c r="E20" s="149" t="s">
        <v>224</v>
      </c>
      <c r="F20" s="154" t="s">
        <v>516</v>
      </c>
      <c r="G20" s="149" t="s">
        <v>598</v>
      </c>
      <c r="H20" s="150" t="s">
        <v>1137</v>
      </c>
      <c r="I20" s="150" t="s">
        <v>1138</v>
      </c>
      <c r="J20" s="150" t="s">
        <v>1139</v>
      </c>
      <c r="K20" s="150" t="s">
        <v>598</v>
      </c>
      <c r="L20" s="150" t="s">
        <v>598</v>
      </c>
      <c r="M20" s="151" t="s">
        <v>598</v>
      </c>
    </row>
    <row r="21" spans="1:13" x14ac:dyDescent="0.3">
      <c r="A21" s="148" t="s">
        <v>519</v>
      </c>
      <c r="B21" s="149">
        <v>17</v>
      </c>
      <c r="C21" s="149" t="s">
        <v>1026</v>
      </c>
      <c r="D21" s="149" t="s">
        <v>1027</v>
      </c>
      <c r="E21" s="149" t="s">
        <v>224</v>
      </c>
      <c r="F21" s="149" t="s">
        <v>458</v>
      </c>
      <c r="G21" s="149" t="s">
        <v>598</v>
      </c>
      <c r="H21" s="150" t="s">
        <v>9</v>
      </c>
      <c r="I21" s="150" t="s">
        <v>631</v>
      </c>
      <c r="J21" s="150" t="s">
        <v>264</v>
      </c>
      <c r="K21" s="150" t="s">
        <v>598</v>
      </c>
      <c r="L21" s="150" t="s">
        <v>598</v>
      </c>
      <c r="M21" s="151" t="s">
        <v>598</v>
      </c>
    </row>
    <row r="22" spans="1:13" ht="21.45" x14ac:dyDescent="0.3">
      <c r="A22" s="148" t="s">
        <v>599</v>
      </c>
      <c r="B22" s="149">
        <v>18</v>
      </c>
      <c r="C22" s="149" t="s">
        <v>1026</v>
      </c>
      <c r="D22" s="149" t="s">
        <v>1027</v>
      </c>
      <c r="E22" s="149" t="s">
        <v>224</v>
      </c>
      <c r="F22" s="149" t="s">
        <v>301</v>
      </c>
      <c r="G22" s="149" t="s">
        <v>975</v>
      </c>
      <c r="H22" s="150" t="s">
        <v>0</v>
      </c>
      <c r="I22" s="150" t="s">
        <v>253</v>
      </c>
      <c r="J22" s="150" t="s">
        <v>268</v>
      </c>
      <c r="K22" s="150" t="s">
        <v>1040</v>
      </c>
      <c r="L22" s="150" t="s">
        <v>1108</v>
      </c>
      <c r="M22" s="151" t="s">
        <v>1041</v>
      </c>
    </row>
    <row r="23" spans="1:13" x14ac:dyDescent="0.3">
      <c r="A23" s="148" t="s">
        <v>600</v>
      </c>
      <c r="B23" s="149">
        <v>19</v>
      </c>
      <c r="C23" s="149" t="s">
        <v>1026</v>
      </c>
      <c r="D23" s="149" t="s">
        <v>1027</v>
      </c>
      <c r="E23" s="149" t="s">
        <v>224</v>
      </c>
      <c r="F23" s="149" t="s">
        <v>301</v>
      </c>
      <c r="G23" s="149" t="s">
        <v>975</v>
      </c>
      <c r="H23" s="155" t="s">
        <v>659</v>
      </c>
      <c r="I23" s="155" t="s">
        <v>659</v>
      </c>
      <c r="J23" s="155" t="s">
        <v>659</v>
      </c>
      <c r="K23" s="150" t="s">
        <v>1042</v>
      </c>
      <c r="L23" s="150" t="s">
        <v>1109</v>
      </c>
      <c r="M23" s="151" t="s">
        <v>1043</v>
      </c>
    </row>
    <row r="24" spans="1:13" x14ac:dyDescent="0.3">
      <c r="A24" s="148" t="s">
        <v>601</v>
      </c>
      <c r="B24" s="149">
        <v>20</v>
      </c>
      <c r="C24" s="149" t="s">
        <v>1026</v>
      </c>
      <c r="D24" s="149" t="s">
        <v>1027</v>
      </c>
      <c r="E24" s="149" t="s">
        <v>224</v>
      </c>
      <c r="F24" s="149" t="s">
        <v>301</v>
      </c>
      <c r="G24" s="149" t="s">
        <v>975</v>
      </c>
      <c r="H24" s="150" t="s">
        <v>1</v>
      </c>
      <c r="I24" s="150" t="s">
        <v>245</v>
      </c>
      <c r="J24" s="150" t="s">
        <v>246</v>
      </c>
      <c r="K24" s="150" t="s">
        <v>1044</v>
      </c>
      <c r="L24" s="150" t="s">
        <v>1110</v>
      </c>
      <c r="M24" s="151" t="s">
        <v>1045</v>
      </c>
    </row>
    <row r="25" spans="1:13" ht="21.45" x14ac:dyDescent="0.3">
      <c r="A25" s="148" t="s">
        <v>602</v>
      </c>
      <c r="B25" s="149">
        <v>21</v>
      </c>
      <c r="C25" s="149" t="s">
        <v>1026</v>
      </c>
      <c r="D25" s="149" t="s">
        <v>1027</v>
      </c>
      <c r="E25" s="149" t="s">
        <v>224</v>
      </c>
      <c r="F25" s="149" t="s">
        <v>301</v>
      </c>
      <c r="G25" s="149" t="s">
        <v>975</v>
      </c>
      <c r="H25" s="150" t="s">
        <v>2</v>
      </c>
      <c r="I25" s="150" t="s">
        <v>2</v>
      </c>
      <c r="J25" s="150" t="s">
        <v>269</v>
      </c>
      <c r="K25" s="150" t="s">
        <v>1111</v>
      </c>
      <c r="L25" s="150" t="s">
        <v>1112</v>
      </c>
      <c r="M25" s="151" t="s">
        <v>1046</v>
      </c>
    </row>
    <row r="26" spans="1:13" x14ac:dyDescent="0.3">
      <c r="A26" s="148" t="s">
        <v>603</v>
      </c>
      <c r="B26" s="149">
        <v>22</v>
      </c>
      <c r="C26" s="149" t="s">
        <v>1026</v>
      </c>
      <c r="D26" s="149" t="s">
        <v>1027</v>
      </c>
      <c r="E26" s="149" t="s">
        <v>224</v>
      </c>
      <c r="F26" s="149" t="s">
        <v>301</v>
      </c>
      <c r="G26" s="149" t="s">
        <v>975</v>
      </c>
      <c r="H26" s="150" t="s">
        <v>3</v>
      </c>
      <c r="I26" s="150" t="s">
        <v>254</v>
      </c>
      <c r="J26" s="150" t="s">
        <v>270</v>
      </c>
      <c r="K26" s="150" t="s">
        <v>1047</v>
      </c>
      <c r="L26" s="150" t="s">
        <v>1048</v>
      </c>
      <c r="M26" s="151" t="s">
        <v>1049</v>
      </c>
    </row>
    <row r="27" spans="1:13" x14ac:dyDescent="0.3">
      <c r="A27" s="148" t="s">
        <v>604</v>
      </c>
      <c r="B27" s="149">
        <v>23</v>
      </c>
      <c r="C27" s="149" t="s">
        <v>1026</v>
      </c>
      <c r="D27" s="149" t="s">
        <v>1027</v>
      </c>
      <c r="E27" s="149" t="s">
        <v>224</v>
      </c>
      <c r="F27" s="149" t="s">
        <v>301</v>
      </c>
      <c r="G27" s="149" t="s">
        <v>975</v>
      </c>
      <c r="H27" s="150" t="s">
        <v>4</v>
      </c>
      <c r="I27" s="150" t="s">
        <v>243</v>
      </c>
      <c r="J27" s="150" t="s">
        <v>244</v>
      </c>
      <c r="K27" s="150" t="s">
        <v>1050</v>
      </c>
      <c r="L27" s="150" t="s">
        <v>1113</v>
      </c>
      <c r="M27" s="151" t="s">
        <v>1051</v>
      </c>
    </row>
    <row r="28" spans="1:13" x14ac:dyDescent="0.3">
      <c r="A28" s="148" t="s">
        <v>605</v>
      </c>
      <c r="B28" s="149">
        <v>24</v>
      </c>
      <c r="C28" s="149" t="s">
        <v>1026</v>
      </c>
      <c r="D28" s="149" t="s">
        <v>1027</v>
      </c>
      <c r="E28" s="149" t="s">
        <v>224</v>
      </c>
      <c r="F28" s="149" t="s">
        <v>301</v>
      </c>
      <c r="G28" s="149" t="s">
        <v>577</v>
      </c>
      <c r="H28" s="150" t="s">
        <v>5</v>
      </c>
      <c r="I28" s="150" t="s">
        <v>255</v>
      </c>
      <c r="J28" s="150" t="s">
        <v>271</v>
      </c>
      <c r="K28" s="150" t="s">
        <v>1052</v>
      </c>
      <c r="L28" s="150" t="s">
        <v>1114</v>
      </c>
      <c r="M28" s="151" t="s">
        <v>1053</v>
      </c>
    </row>
    <row r="29" spans="1:13" x14ac:dyDescent="0.3">
      <c r="A29" s="148" t="s">
        <v>606</v>
      </c>
      <c r="B29" s="149">
        <v>25</v>
      </c>
      <c r="C29" s="149" t="s">
        <v>1026</v>
      </c>
      <c r="D29" s="149" t="s">
        <v>1027</v>
      </c>
      <c r="E29" s="149" t="s">
        <v>224</v>
      </c>
      <c r="F29" s="149" t="s">
        <v>301</v>
      </c>
      <c r="G29" s="149" t="s">
        <v>577</v>
      </c>
      <c r="H29" s="150" t="s">
        <v>660</v>
      </c>
      <c r="I29" s="150" t="s">
        <v>242</v>
      </c>
      <c r="J29" s="150" t="s">
        <v>669</v>
      </c>
      <c r="K29" s="150" t="s">
        <v>1054</v>
      </c>
      <c r="L29" s="150" t="s">
        <v>1055</v>
      </c>
      <c r="M29" s="151" t="s">
        <v>1056</v>
      </c>
    </row>
    <row r="30" spans="1:13" ht="21.45" x14ac:dyDescent="0.3">
      <c r="A30" s="148" t="s">
        <v>1057</v>
      </c>
      <c r="B30" s="149">
        <v>26</v>
      </c>
      <c r="C30" s="149" t="s">
        <v>1026</v>
      </c>
      <c r="D30" s="149" t="s">
        <v>1027</v>
      </c>
      <c r="E30" s="149" t="s">
        <v>224</v>
      </c>
      <c r="F30" s="149" t="s">
        <v>301</v>
      </c>
      <c r="G30" s="149" t="s">
        <v>622</v>
      </c>
      <c r="H30" s="150" t="s">
        <v>977</v>
      </c>
      <c r="I30" s="150" t="s">
        <v>978</v>
      </c>
      <c r="J30" s="150" t="s">
        <v>979</v>
      </c>
      <c r="K30" s="150" t="s">
        <v>1058</v>
      </c>
      <c r="L30" s="155" t="s">
        <v>1059</v>
      </c>
      <c r="M30" s="151" t="s">
        <v>1060</v>
      </c>
    </row>
    <row r="31" spans="1:13" ht="21.45" x14ac:dyDescent="0.3">
      <c r="A31" s="148" t="s">
        <v>1061</v>
      </c>
      <c r="B31" s="149">
        <v>27</v>
      </c>
      <c r="C31" s="149" t="s">
        <v>1026</v>
      </c>
      <c r="D31" s="149" t="s">
        <v>1027</v>
      </c>
      <c r="E31" s="149" t="s">
        <v>224</v>
      </c>
      <c r="F31" s="149" t="s">
        <v>301</v>
      </c>
      <c r="G31" s="149" t="s">
        <v>622</v>
      </c>
      <c r="H31" s="150" t="s">
        <v>980</v>
      </c>
      <c r="I31" s="150" t="s">
        <v>981</v>
      </c>
      <c r="J31" s="150" t="s">
        <v>982</v>
      </c>
      <c r="K31" s="150" t="s">
        <v>1062</v>
      </c>
      <c r="L31" s="155" t="s">
        <v>1115</v>
      </c>
      <c r="M31" s="151" t="s">
        <v>1063</v>
      </c>
    </row>
    <row r="32" spans="1:13" x14ac:dyDescent="0.3">
      <c r="A32" s="148" t="s">
        <v>607</v>
      </c>
      <c r="B32" s="149">
        <v>28</v>
      </c>
      <c r="C32" s="149" t="s">
        <v>1026</v>
      </c>
      <c r="D32" s="149" t="s">
        <v>1027</v>
      </c>
      <c r="E32" s="149" t="s">
        <v>224</v>
      </c>
      <c r="F32" s="149" t="s">
        <v>301</v>
      </c>
      <c r="G32" s="149" t="s">
        <v>577</v>
      </c>
      <c r="H32" s="150" t="s">
        <v>7</v>
      </c>
      <c r="I32" s="150" t="s">
        <v>256</v>
      </c>
      <c r="J32" s="150" t="s">
        <v>272</v>
      </c>
      <c r="K32" s="150" t="s">
        <v>1064</v>
      </c>
      <c r="L32" s="150" t="s">
        <v>1065</v>
      </c>
      <c r="M32" s="151" t="s">
        <v>1066</v>
      </c>
    </row>
    <row r="33" spans="1:13" ht="21.45" x14ac:dyDescent="0.3">
      <c r="A33" s="152" t="s">
        <v>608</v>
      </c>
      <c r="B33" s="149">
        <v>29</v>
      </c>
      <c r="C33" s="149" t="s">
        <v>1026</v>
      </c>
      <c r="D33" s="149" t="s">
        <v>1027</v>
      </c>
      <c r="E33" s="149" t="s">
        <v>224</v>
      </c>
      <c r="F33" s="149" t="s">
        <v>301</v>
      </c>
      <c r="G33" s="149" t="s">
        <v>577</v>
      </c>
      <c r="H33" s="150" t="s">
        <v>655</v>
      </c>
      <c r="I33" s="150" t="s">
        <v>656</v>
      </c>
      <c r="J33" s="150" t="s">
        <v>657</v>
      </c>
      <c r="K33" s="150" t="s">
        <v>1116</v>
      </c>
      <c r="L33" s="150" t="s">
        <v>1117</v>
      </c>
      <c r="M33" s="151" t="s">
        <v>1118</v>
      </c>
    </row>
    <row r="34" spans="1:13" x14ac:dyDescent="0.3">
      <c r="A34" s="152" t="s">
        <v>609</v>
      </c>
      <c r="B34" s="149">
        <v>30</v>
      </c>
      <c r="C34" s="149" t="s">
        <v>1026</v>
      </c>
      <c r="D34" s="149" t="s">
        <v>1027</v>
      </c>
      <c r="E34" s="149" t="s">
        <v>224</v>
      </c>
      <c r="F34" s="149" t="s">
        <v>301</v>
      </c>
      <c r="G34" s="149" t="s">
        <v>620</v>
      </c>
      <c r="H34" s="150" t="s">
        <v>258</v>
      </c>
      <c r="I34" s="150" t="s">
        <v>670</v>
      </c>
      <c r="J34" s="150" t="s">
        <v>262</v>
      </c>
      <c r="K34" s="150" t="s">
        <v>306</v>
      </c>
      <c r="L34" s="150" t="s">
        <v>257</v>
      </c>
      <c r="M34" s="151" t="s">
        <v>658</v>
      </c>
    </row>
    <row r="35" spans="1:13" x14ac:dyDescent="0.3">
      <c r="A35" s="148" t="s">
        <v>610</v>
      </c>
      <c r="B35" s="149">
        <v>31</v>
      </c>
      <c r="C35" s="149" t="s">
        <v>1026</v>
      </c>
      <c r="D35" s="149" t="s">
        <v>1027</v>
      </c>
      <c r="E35" s="149" t="s">
        <v>224</v>
      </c>
      <c r="F35" s="149" t="s">
        <v>301</v>
      </c>
      <c r="G35" s="149" t="s">
        <v>577</v>
      </c>
      <c r="H35" s="150" t="s">
        <v>259</v>
      </c>
      <c r="I35" s="150" t="s">
        <v>260</v>
      </c>
      <c r="J35" s="150" t="s">
        <v>261</v>
      </c>
      <c r="K35" s="150" t="s">
        <v>306</v>
      </c>
      <c r="L35" s="150" t="s">
        <v>257</v>
      </c>
      <c r="M35" s="151" t="s">
        <v>650</v>
      </c>
    </row>
    <row r="36" spans="1:13" ht="21.45" x14ac:dyDescent="0.3">
      <c r="A36" s="152" t="s">
        <v>611</v>
      </c>
      <c r="B36" s="149">
        <v>32</v>
      </c>
      <c r="C36" s="149" t="s">
        <v>1026</v>
      </c>
      <c r="D36" s="149" t="s">
        <v>1027</v>
      </c>
      <c r="E36" s="149" t="s">
        <v>224</v>
      </c>
      <c r="F36" s="149" t="s">
        <v>301</v>
      </c>
      <c r="G36" s="149" t="s">
        <v>975</v>
      </c>
      <c r="H36" s="150" t="s">
        <v>252</v>
      </c>
      <c r="I36" s="150" t="s">
        <v>266</v>
      </c>
      <c r="J36" s="150" t="s">
        <v>265</v>
      </c>
      <c r="K36" s="150" t="s">
        <v>447</v>
      </c>
      <c r="L36" s="150" t="s">
        <v>1119</v>
      </c>
      <c r="M36" s="151" t="s">
        <v>671</v>
      </c>
    </row>
    <row r="37" spans="1:13" x14ac:dyDescent="0.3">
      <c r="A37" s="152" t="s">
        <v>612</v>
      </c>
      <c r="B37" s="149">
        <v>33</v>
      </c>
      <c r="C37" s="149" t="s">
        <v>1026</v>
      </c>
      <c r="D37" s="149" t="s">
        <v>1027</v>
      </c>
      <c r="E37" s="149" t="s">
        <v>224</v>
      </c>
      <c r="F37" s="149" t="s">
        <v>301</v>
      </c>
      <c r="G37" s="149" t="s">
        <v>619</v>
      </c>
      <c r="H37" s="150" t="s">
        <v>499</v>
      </c>
      <c r="I37" s="150" t="s">
        <v>578</v>
      </c>
      <c r="J37" s="150" t="s">
        <v>579</v>
      </c>
      <c r="K37" s="150" t="s">
        <v>306</v>
      </c>
      <c r="L37" s="150" t="s">
        <v>257</v>
      </c>
      <c r="M37" s="151" t="s">
        <v>658</v>
      </c>
    </row>
    <row r="38" spans="1:13" x14ac:dyDescent="0.3">
      <c r="A38" s="152" t="s">
        <v>613</v>
      </c>
      <c r="B38" s="149">
        <v>34</v>
      </c>
      <c r="C38" s="149" t="s">
        <v>1026</v>
      </c>
      <c r="D38" s="149" t="s">
        <v>1027</v>
      </c>
      <c r="E38" s="149" t="s">
        <v>224</v>
      </c>
      <c r="F38" s="149" t="s">
        <v>301</v>
      </c>
      <c r="G38" s="149" t="s">
        <v>619</v>
      </c>
      <c r="H38" s="150" t="s">
        <v>522</v>
      </c>
      <c r="I38" s="150" t="s">
        <v>580</v>
      </c>
      <c r="J38" s="150" t="s">
        <v>581</v>
      </c>
      <c r="K38" s="150" t="s">
        <v>306</v>
      </c>
      <c r="L38" s="150" t="s">
        <v>257</v>
      </c>
      <c r="M38" s="151" t="s">
        <v>658</v>
      </c>
    </row>
    <row r="39" spans="1:13" ht="21.45" x14ac:dyDescent="0.3">
      <c r="A39" s="152" t="s">
        <v>614</v>
      </c>
      <c r="B39" s="149">
        <v>35</v>
      </c>
      <c r="C39" s="149" t="s">
        <v>1026</v>
      </c>
      <c r="D39" s="149" t="s">
        <v>1027</v>
      </c>
      <c r="E39" s="149" t="s">
        <v>224</v>
      </c>
      <c r="F39" s="149" t="s">
        <v>301</v>
      </c>
      <c r="G39" s="149" t="s">
        <v>975</v>
      </c>
      <c r="H39" s="150" t="s">
        <v>223</v>
      </c>
      <c r="I39" s="150" t="s">
        <v>223</v>
      </c>
      <c r="J39" s="150" t="s">
        <v>247</v>
      </c>
      <c r="K39" s="150" t="s">
        <v>1067</v>
      </c>
      <c r="L39" s="150" t="s">
        <v>1068</v>
      </c>
      <c r="M39" s="151" t="s">
        <v>1069</v>
      </c>
    </row>
    <row r="40" spans="1:13" x14ac:dyDescent="0.3">
      <c r="A40" s="148" t="s">
        <v>759</v>
      </c>
      <c r="B40" s="149">
        <v>36</v>
      </c>
      <c r="C40" s="149" t="s">
        <v>1026</v>
      </c>
      <c r="D40" s="149" t="s">
        <v>1027</v>
      </c>
      <c r="E40" s="149" t="s">
        <v>225</v>
      </c>
      <c r="F40" s="149" t="s">
        <v>293</v>
      </c>
      <c r="G40" s="149" t="s">
        <v>598</v>
      </c>
      <c r="H40" s="150" t="s">
        <v>225</v>
      </c>
      <c r="I40" s="150" t="s">
        <v>296</v>
      </c>
      <c r="J40" s="150" t="s">
        <v>304</v>
      </c>
      <c r="K40" s="150" t="s">
        <v>598</v>
      </c>
      <c r="L40" s="150" t="s">
        <v>598</v>
      </c>
      <c r="M40" s="151" t="s">
        <v>598</v>
      </c>
    </row>
    <row r="41" spans="1:13" x14ac:dyDescent="0.3">
      <c r="A41" s="152" t="s">
        <v>468</v>
      </c>
      <c r="B41" s="149">
        <v>37</v>
      </c>
      <c r="C41" s="149" t="s">
        <v>1026</v>
      </c>
      <c r="D41" s="149" t="s">
        <v>1027</v>
      </c>
      <c r="E41" s="149" t="s">
        <v>225</v>
      </c>
      <c r="F41" s="149" t="s">
        <v>458</v>
      </c>
      <c r="G41" s="149" t="s">
        <v>598</v>
      </c>
      <c r="H41" s="150" t="s">
        <v>1140</v>
      </c>
      <c r="I41" s="150" t="s">
        <v>1141</v>
      </c>
      <c r="J41" s="150" t="s">
        <v>1153</v>
      </c>
      <c r="K41" s="150" t="s">
        <v>598</v>
      </c>
      <c r="L41" s="150" t="s">
        <v>598</v>
      </c>
      <c r="M41" s="151" t="s">
        <v>598</v>
      </c>
    </row>
    <row r="42" spans="1:13" x14ac:dyDescent="0.3">
      <c r="A42" s="152" t="s">
        <v>628</v>
      </c>
      <c r="B42" s="149">
        <v>38</v>
      </c>
      <c r="C42" s="149" t="s">
        <v>1026</v>
      </c>
      <c r="D42" s="149" t="s">
        <v>1027</v>
      </c>
      <c r="E42" s="149" t="s">
        <v>225</v>
      </c>
      <c r="F42" s="149" t="s">
        <v>516</v>
      </c>
      <c r="G42" s="149" t="s">
        <v>598</v>
      </c>
      <c r="H42" s="150" t="s">
        <v>1142</v>
      </c>
      <c r="I42" s="150" t="s">
        <v>1143</v>
      </c>
      <c r="J42" s="150" t="s">
        <v>1154</v>
      </c>
      <c r="K42" s="150" t="s">
        <v>598</v>
      </c>
      <c r="L42" s="150" t="s">
        <v>598</v>
      </c>
      <c r="M42" s="151" t="s">
        <v>598</v>
      </c>
    </row>
    <row r="43" spans="1:13" x14ac:dyDescent="0.3">
      <c r="A43" s="152" t="s">
        <v>1001</v>
      </c>
      <c r="B43" s="149">
        <v>39</v>
      </c>
      <c r="C43" s="149" t="s">
        <v>1026</v>
      </c>
      <c r="D43" s="149" t="s">
        <v>1027</v>
      </c>
      <c r="E43" s="149" t="s">
        <v>225</v>
      </c>
      <c r="F43" s="149" t="s">
        <v>516</v>
      </c>
      <c r="G43" s="149" t="s">
        <v>598</v>
      </c>
      <c r="H43" s="150" t="s">
        <v>629</v>
      </c>
      <c r="I43" s="150" t="s">
        <v>630</v>
      </c>
      <c r="J43" s="150" t="s">
        <v>1155</v>
      </c>
      <c r="K43" s="150" t="s">
        <v>598</v>
      </c>
      <c r="L43" s="150" t="s">
        <v>598</v>
      </c>
      <c r="M43" s="151" t="s">
        <v>598</v>
      </c>
    </row>
    <row r="44" spans="1:13" x14ac:dyDescent="0.3">
      <c r="A44" s="152" t="s">
        <v>1002</v>
      </c>
      <c r="B44" s="149">
        <v>40</v>
      </c>
      <c r="C44" s="149" t="s">
        <v>1026</v>
      </c>
      <c r="D44" s="149" t="s">
        <v>1027</v>
      </c>
      <c r="E44" s="149" t="s">
        <v>225</v>
      </c>
      <c r="F44" s="149" t="s">
        <v>516</v>
      </c>
      <c r="G44" s="149" t="s">
        <v>598</v>
      </c>
      <c r="H44" s="150" t="s">
        <v>9</v>
      </c>
      <c r="I44" s="150" t="s">
        <v>631</v>
      </c>
      <c r="J44" s="150" t="s">
        <v>264</v>
      </c>
      <c r="K44" s="150" t="s">
        <v>598</v>
      </c>
      <c r="L44" s="150" t="s">
        <v>598</v>
      </c>
      <c r="M44" s="151" t="s">
        <v>598</v>
      </c>
    </row>
    <row r="45" spans="1:13" ht="21.45" x14ac:dyDescent="0.3">
      <c r="A45" s="152" t="s">
        <v>469</v>
      </c>
      <c r="B45" s="149">
        <v>41</v>
      </c>
      <c r="C45" s="149" t="s">
        <v>1026</v>
      </c>
      <c r="D45" s="149" t="s">
        <v>1027</v>
      </c>
      <c r="E45" s="149" t="s">
        <v>225</v>
      </c>
      <c r="F45" s="149" t="s">
        <v>458</v>
      </c>
      <c r="G45" s="149" t="s">
        <v>598</v>
      </c>
      <c r="H45" s="156" t="s">
        <v>1144</v>
      </c>
      <c r="I45" s="150" t="s">
        <v>1145</v>
      </c>
      <c r="J45" s="150" t="s">
        <v>1146</v>
      </c>
      <c r="K45" s="150" t="s">
        <v>598</v>
      </c>
      <c r="L45" s="150" t="s">
        <v>598</v>
      </c>
      <c r="M45" s="151" t="s">
        <v>598</v>
      </c>
    </row>
    <row r="46" spans="1:13" x14ac:dyDescent="0.3">
      <c r="A46" s="152" t="s">
        <v>997</v>
      </c>
      <c r="B46" s="149">
        <v>42</v>
      </c>
      <c r="C46" s="149" t="s">
        <v>1026</v>
      </c>
      <c r="D46" s="149" t="s">
        <v>1027</v>
      </c>
      <c r="E46" s="149" t="s">
        <v>225</v>
      </c>
      <c r="F46" s="149" t="s">
        <v>516</v>
      </c>
      <c r="G46" s="149" t="s">
        <v>598</v>
      </c>
      <c r="H46" s="156" t="s">
        <v>996</v>
      </c>
      <c r="I46" s="150" t="s">
        <v>1006</v>
      </c>
      <c r="J46" s="150" t="s">
        <v>1007</v>
      </c>
      <c r="K46" s="150" t="s">
        <v>598</v>
      </c>
      <c r="L46" s="150" t="s">
        <v>598</v>
      </c>
      <c r="M46" s="151" t="s">
        <v>598</v>
      </c>
    </row>
    <row r="47" spans="1:13" x14ac:dyDescent="0.3">
      <c r="A47" s="237" t="s">
        <v>998</v>
      </c>
      <c r="B47" s="149">
        <v>43</v>
      </c>
      <c r="C47" s="149" t="s">
        <v>1026</v>
      </c>
      <c r="D47" s="242" t="s">
        <v>1027</v>
      </c>
      <c r="E47" s="149" t="s">
        <v>225</v>
      </c>
      <c r="F47" s="149" t="s">
        <v>516</v>
      </c>
      <c r="G47" s="149" t="s">
        <v>598</v>
      </c>
      <c r="H47" s="234" t="s">
        <v>1295</v>
      </c>
      <c r="I47" s="231" t="s">
        <v>1296</v>
      </c>
      <c r="J47" s="231" t="s">
        <v>1297</v>
      </c>
      <c r="K47" s="150" t="s">
        <v>598</v>
      </c>
      <c r="L47" s="150" t="s">
        <v>598</v>
      </c>
      <c r="M47" s="151" t="s">
        <v>598</v>
      </c>
    </row>
    <row r="48" spans="1:13" x14ac:dyDescent="0.3">
      <c r="A48" s="152" t="s">
        <v>999</v>
      </c>
      <c r="B48" s="149">
        <v>44</v>
      </c>
      <c r="C48" s="149" t="s">
        <v>1026</v>
      </c>
      <c r="D48" s="149" t="s">
        <v>1027</v>
      </c>
      <c r="E48" s="149" t="s">
        <v>225</v>
      </c>
      <c r="F48" s="149" t="s">
        <v>516</v>
      </c>
      <c r="G48" s="149" t="s">
        <v>598</v>
      </c>
      <c r="H48" s="156" t="s">
        <v>632</v>
      </c>
      <c r="I48" s="150" t="s">
        <v>633</v>
      </c>
      <c r="J48" s="150" t="s">
        <v>634</v>
      </c>
      <c r="K48" s="150" t="s">
        <v>598</v>
      </c>
      <c r="L48" s="150" t="s">
        <v>598</v>
      </c>
      <c r="M48" s="151" t="s">
        <v>598</v>
      </c>
    </row>
    <row r="49" spans="1:13" x14ac:dyDescent="0.3">
      <c r="A49" s="152" t="s">
        <v>1003</v>
      </c>
      <c r="B49" s="149">
        <v>45</v>
      </c>
      <c r="C49" s="149" t="s">
        <v>1026</v>
      </c>
      <c r="D49" s="149" t="s">
        <v>1027</v>
      </c>
      <c r="E49" s="149" t="s">
        <v>225</v>
      </c>
      <c r="F49" s="149" t="s">
        <v>516</v>
      </c>
      <c r="G49" s="149" t="s">
        <v>598</v>
      </c>
      <c r="H49" s="156" t="s">
        <v>496</v>
      </c>
      <c r="I49" s="150" t="s">
        <v>498</v>
      </c>
      <c r="J49" s="150" t="s">
        <v>497</v>
      </c>
      <c r="K49" s="150" t="s">
        <v>598</v>
      </c>
      <c r="L49" s="150" t="s">
        <v>598</v>
      </c>
      <c r="M49" s="151" t="s">
        <v>598</v>
      </c>
    </row>
    <row r="50" spans="1:13" x14ac:dyDescent="0.3">
      <c r="A50" s="148" t="s">
        <v>449</v>
      </c>
      <c r="B50" s="149">
        <v>46</v>
      </c>
      <c r="C50" s="149" t="s">
        <v>1026</v>
      </c>
      <c r="D50" s="149" t="s">
        <v>1027</v>
      </c>
      <c r="E50" s="149" t="s">
        <v>225</v>
      </c>
      <c r="F50" s="149" t="s">
        <v>301</v>
      </c>
      <c r="G50" s="149" t="s">
        <v>577</v>
      </c>
      <c r="H50" s="150" t="s">
        <v>457</v>
      </c>
      <c r="I50" s="150" t="s">
        <v>456</v>
      </c>
      <c r="J50" s="150" t="s">
        <v>455</v>
      </c>
      <c r="K50" s="150" t="s">
        <v>1070</v>
      </c>
      <c r="L50" s="150" t="s">
        <v>1313</v>
      </c>
      <c r="M50" s="151" t="s">
        <v>1071</v>
      </c>
    </row>
    <row r="51" spans="1:13" x14ac:dyDescent="0.3">
      <c r="A51" s="148" t="s">
        <v>450</v>
      </c>
      <c r="B51" s="149">
        <v>47</v>
      </c>
      <c r="C51" s="149" t="s">
        <v>1026</v>
      </c>
      <c r="D51" s="149" t="s">
        <v>1027</v>
      </c>
      <c r="E51" s="149" t="s">
        <v>225</v>
      </c>
      <c r="F51" s="149" t="s">
        <v>301</v>
      </c>
      <c r="G51" s="149" t="s">
        <v>975</v>
      </c>
      <c r="H51" s="150" t="s">
        <v>664</v>
      </c>
      <c r="I51" s="150" t="s">
        <v>665</v>
      </c>
      <c r="J51" s="150" t="s">
        <v>1156</v>
      </c>
      <c r="K51" s="150" t="s">
        <v>1072</v>
      </c>
      <c r="L51" s="150" t="s">
        <v>1314</v>
      </c>
      <c r="M51" s="151" t="s">
        <v>1073</v>
      </c>
    </row>
    <row r="52" spans="1:13" x14ac:dyDescent="0.3">
      <c r="A52" s="148" t="s">
        <v>448</v>
      </c>
      <c r="B52" s="149">
        <v>48</v>
      </c>
      <c r="C52" s="149" t="s">
        <v>1026</v>
      </c>
      <c r="D52" s="149" t="s">
        <v>1027</v>
      </c>
      <c r="E52" s="149" t="s">
        <v>225</v>
      </c>
      <c r="F52" s="149" t="s">
        <v>301</v>
      </c>
      <c r="G52" s="149" t="s">
        <v>975</v>
      </c>
      <c r="H52" s="150" t="s">
        <v>661</v>
      </c>
      <c r="I52" s="150" t="s">
        <v>662</v>
      </c>
      <c r="J52" s="150" t="s">
        <v>663</v>
      </c>
      <c r="K52" s="150" t="s">
        <v>500</v>
      </c>
      <c r="L52" s="150" t="s">
        <v>1074</v>
      </c>
      <c r="M52" s="151" t="s">
        <v>1075</v>
      </c>
    </row>
    <row r="53" spans="1:13" x14ac:dyDescent="0.3">
      <c r="A53" s="148" t="s">
        <v>1292</v>
      </c>
      <c r="B53" s="149">
        <v>49</v>
      </c>
      <c r="C53" s="149" t="s">
        <v>1026</v>
      </c>
      <c r="D53" s="242" t="s">
        <v>1027</v>
      </c>
      <c r="E53" s="149" t="s">
        <v>225</v>
      </c>
      <c r="F53" s="149" t="s">
        <v>301</v>
      </c>
      <c r="G53" s="149" t="s">
        <v>975</v>
      </c>
      <c r="H53" s="235" t="s">
        <v>1293</v>
      </c>
      <c r="I53" s="231" t="s">
        <v>1309</v>
      </c>
      <c r="J53" s="231" t="s">
        <v>1310</v>
      </c>
      <c r="K53" s="150" t="s">
        <v>1294</v>
      </c>
      <c r="L53" s="231" t="s">
        <v>1312</v>
      </c>
      <c r="M53" s="232" t="s">
        <v>1311</v>
      </c>
    </row>
    <row r="54" spans="1:13" x14ac:dyDescent="0.3">
      <c r="A54" s="148" t="s">
        <v>451</v>
      </c>
      <c r="B54" s="149">
        <v>50</v>
      </c>
      <c r="C54" s="149" t="s">
        <v>1026</v>
      </c>
      <c r="D54" s="149" t="s">
        <v>1027</v>
      </c>
      <c r="E54" s="149" t="s">
        <v>225</v>
      </c>
      <c r="F54" s="149" t="s">
        <v>301</v>
      </c>
      <c r="G54" s="149" t="s">
        <v>975</v>
      </c>
      <c r="H54" s="150" t="s">
        <v>471</v>
      </c>
      <c r="I54" s="150" t="s">
        <v>667</v>
      </c>
      <c r="J54" s="150" t="s">
        <v>668</v>
      </c>
      <c r="K54" s="150" t="s">
        <v>501</v>
      </c>
      <c r="L54" s="150" t="s">
        <v>1120</v>
      </c>
      <c r="M54" s="151" t="s">
        <v>1076</v>
      </c>
    </row>
    <row r="55" spans="1:13" ht="21.45" x14ac:dyDescent="0.3">
      <c r="A55" s="152" t="s">
        <v>641</v>
      </c>
      <c r="B55" s="149">
        <v>51</v>
      </c>
      <c r="C55" s="149" t="s">
        <v>1026</v>
      </c>
      <c r="D55" s="149" t="s">
        <v>1027</v>
      </c>
      <c r="E55" s="149" t="s">
        <v>225</v>
      </c>
      <c r="F55" s="149" t="s">
        <v>301</v>
      </c>
      <c r="G55" s="149" t="s">
        <v>577</v>
      </c>
      <c r="H55" s="150" t="s">
        <v>642</v>
      </c>
      <c r="I55" s="150" t="s">
        <v>643</v>
      </c>
      <c r="J55" s="150" t="s">
        <v>644</v>
      </c>
      <c r="K55" s="150" t="s">
        <v>1121</v>
      </c>
      <c r="L55" s="150" t="s">
        <v>786</v>
      </c>
      <c r="M55" s="151" t="s">
        <v>787</v>
      </c>
    </row>
    <row r="56" spans="1:13" ht="32.15" x14ac:dyDescent="0.3">
      <c r="A56" s="237" t="s">
        <v>1299</v>
      </c>
      <c r="B56" s="149">
        <v>52</v>
      </c>
      <c r="C56" s="149" t="s">
        <v>1026</v>
      </c>
      <c r="D56" s="242" t="s">
        <v>1027</v>
      </c>
      <c r="E56" s="149" t="s">
        <v>225</v>
      </c>
      <c r="F56" s="149" t="s">
        <v>301</v>
      </c>
      <c r="G56" s="149" t="s">
        <v>975</v>
      </c>
      <c r="H56" s="243" t="s">
        <v>1298</v>
      </c>
      <c r="I56" s="241" t="s">
        <v>1302</v>
      </c>
      <c r="J56" s="241" t="s">
        <v>1303</v>
      </c>
      <c r="K56" s="150" t="s">
        <v>1304</v>
      </c>
      <c r="L56" s="241" t="s">
        <v>1305</v>
      </c>
      <c r="M56" s="232" t="s">
        <v>1306</v>
      </c>
    </row>
    <row r="57" spans="1:13" x14ac:dyDescent="0.3">
      <c r="A57" s="148" t="s">
        <v>721</v>
      </c>
      <c r="B57" s="149">
        <v>53</v>
      </c>
      <c r="C57" s="149" t="s">
        <v>1026</v>
      </c>
      <c r="D57" s="149" t="s">
        <v>1027</v>
      </c>
      <c r="E57" s="149" t="s">
        <v>225</v>
      </c>
      <c r="F57" s="149" t="s">
        <v>301</v>
      </c>
      <c r="G57" s="149" t="s">
        <v>577</v>
      </c>
      <c r="H57" s="150" t="s">
        <v>1077</v>
      </c>
      <c r="I57" s="150" t="s">
        <v>1078</v>
      </c>
      <c r="J57" s="150" t="s">
        <v>1079</v>
      </c>
      <c r="K57" s="150" t="s">
        <v>722</v>
      </c>
      <c r="L57" s="150" t="s">
        <v>723</v>
      </c>
      <c r="M57" s="151" t="s">
        <v>1122</v>
      </c>
    </row>
    <row r="58" spans="1:13" ht="21.45" x14ac:dyDescent="0.3">
      <c r="A58" s="148" t="s">
        <v>502</v>
      </c>
      <c r="B58" s="149">
        <v>54</v>
      </c>
      <c r="C58" s="149" t="s">
        <v>1026</v>
      </c>
      <c r="D58" s="149" t="s">
        <v>1027</v>
      </c>
      <c r="E58" s="149" t="s">
        <v>225</v>
      </c>
      <c r="F58" s="149" t="s">
        <v>301</v>
      </c>
      <c r="G58" s="149" t="s">
        <v>622</v>
      </c>
      <c r="H58" s="150" t="s">
        <v>452</v>
      </c>
      <c r="I58" s="150" t="s">
        <v>452</v>
      </c>
      <c r="J58" s="150" t="s">
        <v>452</v>
      </c>
      <c r="K58" s="150" t="s">
        <v>765</v>
      </c>
      <c r="L58" s="150" t="s">
        <v>672</v>
      </c>
      <c r="M58" s="151" t="s">
        <v>779</v>
      </c>
    </row>
    <row r="59" spans="1:13" x14ac:dyDescent="0.3">
      <c r="A59" s="148" t="s">
        <v>955</v>
      </c>
      <c r="B59" s="149">
        <v>55</v>
      </c>
      <c r="C59" s="149" t="s">
        <v>1026</v>
      </c>
      <c r="D59" s="149" t="s">
        <v>1027</v>
      </c>
      <c r="E59" s="149" t="s">
        <v>225</v>
      </c>
      <c r="F59" s="149" t="s">
        <v>301</v>
      </c>
      <c r="G59" s="149" t="s">
        <v>621</v>
      </c>
      <c r="H59" s="150" t="s">
        <v>949</v>
      </c>
      <c r="I59" s="150" t="s">
        <v>949</v>
      </c>
      <c r="J59" s="150" t="s">
        <v>950</v>
      </c>
      <c r="K59" s="150" t="s">
        <v>1080</v>
      </c>
      <c r="L59" s="150" t="s">
        <v>1123</v>
      </c>
      <c r="M59" s="151" t="s">
        <v>1081</v>
      </c>
    </row>
    <row r="60" spans="1:13" x14ac:dyDescent="0.3">
      <c r="A60" s="148" t="s">
        <v>948</v>
      </c>
      <c r="B60" s="149">
        <v>56</v>
      </c>
      <c r="C60" s="149" t="s">
        <v>1026</v>
      </c>
      <c r="D60" s="149" t="s">
        <v>1027</v>
      </c>
      <c r="E60" s="149" t="s">
        <v>225</v>
      </c>
      <c r="F60" s="149" t="s">
        <v>301</v>
      </c>
      <c r="G60" s="149" t="s">
        <v>577</v>
      </c>
      <c r="H60" s="150" t="s">
        <v>958</v>
      </c>
      <c r="I60" s="150" t="s">
        <v>959</v>
      </c>
      <c r="J60" s="150" t="s">
        <v>960</v>
      </c>
      <c r="K60" s="150" t="s">
        <v>1082</v>
      </c>
      <c r="L60" s="150" t="s">
        <v>1124</v>
      </c>
      <c r="M60" s="151" t="s">
        <v>1125</v>
      </c>
    </row>
    <row r="61" spans="1:13" ht="32.15" x14ac:dyDescent="0.3">
      <c r="A61" s="238" t="s">
        <v>1291</v>
      </c>
      <c r="B61" s="149">
        <v>57</v>
      </c>
      <c r="C61" s="149" t="s">
        <v>1026</v>
      </c>
      <c r="D61" s="242" t="s">
        <v>1027</v>
      </c>
      <c r="E61" s="149" t="s">
        <v>225</v>
      </c>
      <c r="F61" s="149" t="s">
        <v>301</v>
      </c>
      <c r="G61" s="149" t="s">
        <v>577</v>
      </c>
      <c r="H61" s="235" t="s">
        <v>1316</v>
      </c>
      <c r="I61" s="231" t="s">
        <v>1307</v>
      </c>
      <c r="J61" s="231" t="s">
        <v>1308</v>
      </c>
      <c r="K61" s="150" t="s">
        <v>1317</v>
      </c>
      <c r="L61" s="231" t="s">
        <v>1318</v>
      </c>
      <c r="M61" s="232" t="s">
        <v>1319</v>
      </c>
    </row>
    <row r="62" spans="1:13" x14ac:dyDescent="0.3">
      <c r="A62" s="148" t="s">
        <v>995</v>
      </c>
      <c r="B62" s="149">
        <v>58</v>
      </c>
      <c r="C62" s="149" t="s">
        <v>1026</v>
      </c>
      <c r="D62" s="149" t="s">
        <v>1027</v>
      </c>
      <c r="E62" s="149" t="s">
        <v>225</v>
      </c>
      <c r="F62" s="149" t="s">
        <v>301</v>
      </c>
      <c r="G62" s="149" t="s">
        <v>622</v>
      </c>
      <c r="H62" s="150" t="s">
        <v>994</v>
      </c>
      <c r="I62" s="150" t="s">
        <v>1000</v>
      </c>
      <c r="J62" s="150" t="s">
        <v>1157</v>
      </c>
      <c r="K62" s="150" t="s">
        <v>1126</v>
      </c>
      <c r="L62" s="150" t="s">
        <v>1127</v>
      </c>
      <c r="M62" s="151" t="s">
        <v>1128</v>
      </c>
    </row>
    <row r="63" spans="1:13" x14ac:dyDescent="0.3">
      <c r="A63" s="148" t="s">
        <v>573</v>
      </c>
      <c r="B63" s="149">
        <v>59</v>
      </c>
      <c r="C63" s="149" t="s">
        <v>1026</v>
      </c>
      <c r="D63" s="149" t="s">
        <v>1027</v>
      </c>
      <c r="E63" s="149" t="s">
        <v>225</v>
      </c>
      <c r="F63" s="149" t="s">
        <v>301</v>
      </c>
      <c r="G63" s="149" t="s">
        <v>622</v>
      </c>
      <c r="H63" s="150" t="s">
        <v>459</v>
      </c>
      <c r="I63" s="150" t="s">
        <v>493</v>
      </c>
      <c r="J63" s="150" t="s">
        <v>492</v>
      </c>
      <c r="K63" s="150" t="s">
        <v>575</v>
      </c>
      <c r="L63" s="150" t="s">
        <v>673</v>
      </c>
      <c r="M63" s="151" t="s">
        <v>1083</v>
      </c>
    </row>
    <row r="64" spans="1:13" x14ac:dyDescent="0.3">
      <c r="A64" s="148" t="s">
        <v>574</v>
      </c>
      <c r="B64" s="149">
        <v>60</v>
      </c>
      <c r="C64" s="149" t="s">
        <v>1026</v>
      </c>
      <c r="D64" s="149" t="s">
        <v>1027</v>
      </c>
      <c r="E64" s="149" t="s">
        <v>225</v>
      </c>
      <c r="F64" s="149" t="s">
        <v>301</v>
      </c>
      <c r="G64" s="149" t="s">
        <v>622</v>
      </c>
      <c r="H64" s="150" t="s">
        <v>460</v>
      </c>
      <c r="I64" s="150" t="s">
        <v>494</v>
      </c>
      <c r="J64" s="150" t="s">
        <v>495</v>
      </c>
      <c r="K64" s="150" t="s">
        <v>576</v>
      </c>
      <c r="L64" s="150" t="s">
        <v>674</v>
      </c>
      <c r="M64" s="151" t="s">
        <v>1084</v>
      </c>
    </row>
    <row r="65" spans="1:13" x14ac:dyDescent="0.3">
      <c r="A65" s="148" t="s">
        <v>635</v>
      </c>
      <c r="B65" s="149">
        <v>61</v>
      </c>
      <c r="C65" s="149" t="s">
        <v>1026</v>
      </c>
      <c r="D65" s="149" t="s">
        <v>1027</v>
      </c>
      <c r="E65" s="149" t="s">
        <v>225</v>
      </c>
      <c r="F65" s="149" t="s">
        <v>301</v>
      </c>
      <c r="G65" s="149" t="s">
        <v>577</v>
      </c>
      <c r="H65" s="156" t="s">
        <v>636</v>
      </c>
      <c r="I65" s="150" t="s">
        <v>1085</v>
      </c>
      <c r="J65" s="150" t="s">
        <v>1086</v>
      </c>
      <c r="K65" s="150" t="s">
        <v>766</v>
      </c>
      <c r="L65" s="150" t="s">
        <v>770</v>
      </c>
      <c r="M65" s="151" t="s">
        <v>774</v>
      </c>
    </row>
    <row r="66" spans="1:13" x14ac:dyDescent="0.3">
      <c r="A66" s="148" t="s">
        <v>637</v>
      </c>
      <c r="B66" s="149">
        <v>62</v>
      </c>
      <c r="C66" s="149" t="s">
        <v>1026</v>
      </c>
      <c r="D66" s="149" t="s">
        <v>1027</v>
      </c>
      <c r="E66" s="149" t="s">
        <v>225</v>
      </c>
      <c r="F66" s="149" t="s">
        <v>301</v>
      </c>
      <c r="G66" s="149" t="s">
        <v>577</v>
      </c>
      <c r="H66" s="156" t="s">
        <v>638</v>
      </c>
      <c r="I66" s="150" t="s">
        <v>1087</v>
      </c>
      <c r="J66" s="150" t="s">
        <v>1088</v>
      </c>
      <c r="K66" s="150" t="s">
        <v>767</v>
      </c>
      <c r="L66" s="150" t="s">
        <v>771</v>
      </c>
      <c r="M66" s="151" t="s">
        <v>775</v>
      </c>
    </row>
    <row r="67" spans="1:13" x14ac:dyDescent="0.3">
      <c r="A67" s="148" t="s">
        <v>639</v>
      </c>
      <c r="B67" s="149">
        <v>63</v>
      </c>
      <c r="C67" s="149" t="s">
        <v>1026</v>
      </c>
      <c r="D67" s="149" t="s">
        <v>1027</v>
      </c>
      <c r="E67" s="149" t="s">
        <v>225</v>
      </c>
      <c r="F67" s="149" t="s">
        <v>301</v>
      </c>
      <c r="G67" s="149" t="s">
        <v>577</v>
      </c>
      <c r="H67" s="156" t="s">
        <v>640</v>
      </c>
      <c r="I67" s="150" t="s">
        <v>1089</v>
      </c>
      <c r="J67" s="150" t="s">
        <v>1090</v>
      </c>
      <c r="K67" s="150" t="s">
        <v>768</v>
      </c>
      <c r="L67" s="150" t="s">
        <v>772</v>
      </c>
      <c r="M67" s="151" t="s">
        <v>776</v>
      </c>
    </row>
    <row r="68" spans="1:13" x14ac:dyDescent="0.3">
      <c r="A68" s="148" t="s">
        <v>707</v>
      </c>
      <c r="B68" s="149">
        <v>64</v>
      </c>
      <c r="C68" s="149" t="s">
        <v>1026</v>
      </c>
      <c r="D68" s="149" t="s">
        <v>1027</v>
      </c>
      <c r="E68" s="149" t="s">
        <v>225</v>
      </c>
      <c r="F68" s="149" t="s">
        <v>301</v>
      </c>
      <c r="G68" s="149" t="s">
        <v>577</v>
      </c>
      <c r="H68" s="156" t="s">
        <v>717</v>
      </c>
      <c r="I68" s="150" t="s">
        <v>1091</v>
      </c>
      <c r="J68" s="150" t="s">
        <v>1092</v>
      </c>
      <c r="K68" s="150" t="s">
        <v>769</v>
      </c>
      <c r="L68" s="150" t="s">
        <v>773</v>
      </c>
      <c r="M68" s="151" t="s">
        <v>777</v>
      </c>
    </row>
    <row r="69" spans="1:13" x14ac:dyDescent="0.3">
      <c r="A69" s="148" t="s">
        <v>841</v>
      </c>
      <c r="B69" s="149">
        <v>65</v>
      </c>
      <c r="C69" s="149" t="s">
        <v>1026</v>
      </c>
      <c r="D69" s="149" t="s">
        <v>1027</v>
      </c>
      <c r="E69" s="149" t="s">
        <v>225</v>
      </c>
      <c r="F69" s="149" t="s">
        <v>301</v>
      </c>
      <c r="G69" s="149" t="s">
        <v>577</v>
      </c>
      <c r="H69" s="156" t="s">
        <v>842</v>
      </c>
      <c r="I69" s="150" t="s">
        <v>1093</v>
      </c>
      <c r="J69" s="150" t="s">
        <v>1094</v>
      </c>
      <c r="K69" s="150" t="s">
        <v>843</v>
      </c>
      <c r="L69" s="150" t="s">
        <v>844</v>
      </c>
      <c r="M69" s="151" t="s">
        <v>845</v>
      </c>
    </row>
    <row r="70" spans="1:13" x14ac:dyDescent="0.3">
      <c r="A70" s="148" t="s">
        <v>466</v>
      </c>
      <c r="B70" s="149">
        <v>66</v>
      </c>
      <c r="C70" s="149" t="s">
        <v>1026</v>
      </c>
      <c r="D70" s="149" t="s">
        <v>1027</v>
      </c>
      <c r="E70" s="149" t="s">
        <v>225</v>
      </c>
      <c r="F70" s="149" t="s">
        <v>301</v>
      </c>
      <c r="G70" s="149" t="s">
        <v>620</v>
      </c>
      <c r="H70" s="150" t="s">
        <v>675</v>
      </c>
      <c r="I70" s="150" t="s">
        <v>676</v>
      </c>
      <c r="J70" s="150" t="s">
        <v>677</v>
      </c>
      <c r="K70" s="150" t="s">
        <v>1129</v>
      </c>
      <c r="L70" s="150" t="s">
        <v>678</v>
      </c>
      <c r="M70" s="151" t="s">
        <v>1095</v>
      </c>
    </row>
    <row r="71" spans="1:13" x14ac:dyDescent="0.3">
      <c r="A71" s="148" t="s">
        <v>467</v>
      </c>
      <c r="B71" s="149">
        <v>67</v>
      </c>
      <c r="C71" s="149" t="s">
        <v>1026</v>
      </c>
      <c r="D71" s="149" t="s">
        <v>1027</v>
      </c>
      <c r="E71" s="149" t="s">
        <v>225</v>
      </c>
      <c r="F71" s="149" t="s">
        <v>301</v>
      </c>
      <c r="G71" s="149" t="s">
        <v>620</v>
      </c>
      <c r="H71" s="150" t="s">
        <v>679</v>
      </c>
      <c r="I71" s="150" t="s">
        <v>680</v>
      </c>
      <c r="J71" s="150" t="s">
        <v>681</v>
      </c>
      <c r="K71" s="150" t="s">
        <v>1130</v>
      </c>
      <c r="L71" s="150" t="s">
        <v>682</v>
      </c>
      <c r="M71" s="151" t="s">
        <v>1096</v>
      </c>
    </row>
    <row r="72" spans="1:13" x14ac:dyDescent="0.3">
      <c r="A72" s="148" t="s">
        <v>503</v>
      </c>
      <c r="B72" s="149">
        <v>68</v>
      </c>
      <c r="C72" s="149" t="s">
        <v>1026</v>
      </c>
      <c r="D72" s="149" t="s">
        <v>1027</v>
      </c>
      <c r="E72" s="149" t="s">
        <v>225</v>
      </c>
      <c r="F72" s="149" t="s">
        <v>301</v>
      </c>
      <c r="G72" s="149" t="s">
        <v>622</v>
      </c>
      <c r="H72" s="150" t="s">
        <v>504</v>
      </c>
      <c r="I72" s="150" t="s">
        <v>505</v>
      </c>
      <c r="J72" s="150" t="s">
        <v>506</v>
      </c>
      <c r="K72" s="150" t="s">
        <v>504</v>
      </c>
      <c r="L72" s="150" t="s">
        <v>683</v>
      </c>
      <c r="M72" s="151" t="s">
        <v>1097</v>
      </c>
    </row>
    <row r="73" spans="1:13" x14ac:dyDescent="0.3">
      <c r="A73" s="148" t="s">
        <v>490</v>
      </c>
      <c r="B73" s="149">
        <v>69</v>
      </c>
      <c r="C73" s="149" t="s">
        <v>1026</v>
      </c>
      <c r="D73" s="149" t="s">
        <v>1027</v>
      </c>
      <c r="E73" s="149" t="s">
        <v>225</v>
      </c>
      <c r="F73" s="149" t="s">
        <v>301</v>
      </c>
      <c r="G73" s="149" t="s">
        <v>621</v>
      </c>
      <c r="H73" s="150" t="s">
        <v>626</v>
      </c>
      <c r="I73" s="150" t="s">
        <v>694</v>
      </c>
      <c r="J73" s="150" t="s">
        <v>627</v>
      </c>
      <c r="K73" s="150" t="s">
        <v>1098</v>
      </c>
      <c r="L73" s="150" t="s">
        <v>1099</v>
      </c>
      <c r="M73" s="151" t="s">
        <v>778</v>
      </c>
    </row>
    <row r="74" spans="1:13" ht="21.45" x14ac:dyDescent="0.3">
      <c r="A74" s="148" t="s">
        <v>491</v>
      </c>
      <c r="B74" s="149">
        <v>70</v>
      </c>
      <c r="C74" s="149" t="s">
        <v>1026</v>
      </c>
      <c r="D74" s="149" t="s">
        <v>1027</v>
      </c>
      <c r="E74" s="149" t="s">
        <v>225</v>
      </c>
      <c r="F74" s="149" t="s">
        <v>301</v>
      </c>
      <c r="G74" s="149" t="s">
        <v>621</v>
      </c>
      <c r="H74" s="150" t="s">
        <v>624</v>
      </c>
      <c r="I74" s="150" t="s">
        <v>695</v>
      </c>
      <c r="J74" s="150" t="s">
        <v>625</v>
      </c>
      <c r="K74" s="150" t="s">
        <v>1100</v>
      </c>
      <c r="L74" s="150" t="s">
        <v>1101</v>
      </c>
      <c r="M74" s="151" t="s">
        <v>1102</v>
      </c>
    </row>
    <row r="75" spans="1:13" ht="21.45" hidden="1" x14ac:dyDescent="0.3">
      <c r="A75" s="152" t="s">
        <v>728</v>
      </c>
      <c r="B75" s="149">
        <v>71</v>
      </c>
      <c r="C75" s="149" t="s">
        <v>1026</v>
      </c>
      <c r="D75" s="149" t="s">
        <v>1039</v>
      </c>
      <c r="E75" s="149" t="s">
        <v>225</v>
      </c>
      <c r="F75" s="149" t="s">
        <v>458</v>
      </c>
      <c r="G75" s="149" t="s">
        <v>598</v>
      </c>
      <c r="H75" s="150" t="s">
        <v>715</v>
      </c>
      <c r="I75" s="150" t="s">
        <v>1158</v>
      </c>
      <c r="J75" s="150" t="s">
        <v>1159</v>
      </c>
      <c r="K75" s="150" t="s">
        <v>598</v>
      </c>
      <c r="L75" s="150" t="s">
        <v>598</v>
      </c>
      <c r="M75" s="151" t="s">
        <v>598</v>
      </c>
    </row>
    <row r="76" spans="1:13" hidden="1" x14ac:dyDescent="0.3">
      <c r="A76" s="152" t="s">
        <v>729</v>
      </c>
      <c r="B76" s="149">
        <v>72</v>
      </c>
      <c r="C76" s="149" t="s">
        <v>1026</v>
      </c>
      <c r="D76" s="149" t="s">
        <v>1039</v>
      </c>
      <c r="E76" s="149" t="s">
        <v>225</v>
      </c>
      <c r="F76" s="149" t="s">
        <v>516</v>
      </c>
      <c r="G76" s="149" t="s">
        <v>598</v>
      </c>
      <c r="H76" s="150" t="s">
        <v>629</v>
      </c>
      <c r="I76" s="150" t="s">
        <v>630</v>
      </c>
      <c r="J76" s="150" t="s">
        <v>1155</v>
      </c>
      <c r="K76" s="150" t="s">
        <v>598</v>
      </c>
      <c r="L76" s="150" t="s">
        <v>598</v>
      </c>
      <c r="M76" s="151" t="s">
        <v>598</v>
      </c>
    </row>
    <row r="77" spans="1:13" hidden="1" x14ac:dyDescent="0.3">
      <c r="A77" s="152" t="s">
        <v>730</v>
      </c>
      <c r="B77" s="149">
        <v>73</v>
      </c>
      <c r="C77" s="149" t="s">
        <v>1026</v>
      </c>
      <c r="D77" s="149" t="s">
        <v>1039</v>
      </c>
      <c r="E77" s="149" t="s">
        <v>225</v>
      </c>
      <c r="F77" s="149" t="s">
        <v>516</v>
      </c>
      <c r="G77" s="149" t="s">
        <v>598</v>
      </c>
      <c r="H77" s="150" t="s">
        <v>9</v>
      </c>
      <c r="I77" s="150" t="s">
        <v>631</v>
      </c>
      <c r="J77" s="150" t="s">
        <v>264</v>
      </c>
      <c r="K77" s="150" t="s">
        <v>598</v>
      </c>
      <c r="L77" s="150" t="s">
        <v>598</v>
      </c>
      <c r="M77" s="151" t="s">
        <v>598</v>
      </c>
    </row>
    <row r="78" spans="1:13" ht="21.45" hidden="1" x14ac:dyDescent="0.3">
      <c r="A78" s="152" t="s">
        <v>731</v>
      </c>
      <c r="B78" s="149">
        <v>74</v>
      </c>
      <c r="C78" s="149" t="s">
        <v>1026</v>
      </c>
      <c r="D78" s="149" t="s">
        <v>1039</v>
      </c>
      <c r="E78" s="149" t="s">
        <v>225</v>
      </c>
      <c r="F78" s="149" t="s">
        <v>458</v>
      </c>
      <c r="G78" s="149" t="s">
        <v>598</v>
      </c>
      <c r="H78" s="156" t="s">
        <v>1147</v>
      </c>
      <c r="I78" s="150" t="s">
        <v>1148</v>
      </c>
      <c r="J78" s="150" t="s">
        <v>1149</v>
      </c>
      <c r="K78" s="150" t="s">
        <v>598</v>
      </c>
      <c r="L78" s="150" t="s">
        <v>598</v>
      </c>
      <c r="M78" s="151" t="s">
        <v>598</v>
      </c>
    </row>
    <row r="79" spans="1:13" x14ac:dyDescent="0.3">
      <c r="A79" s="152" t="s">
        <v>732</v>
      </c>
      <c r="B79" s="149">
        <v>75</v>
      </c>
      <c r="C79" s="149" t="s">
        <v>1026</v>
      </c>
      <c r="D79" s="149" t="s">
        <v>1027</v>
      </c>
      <c r="E79" s="149" t="s">
        <v>225</v>
      </c>
      <c r="F79" s="149" t="s">
        <v>516</v>
      </c>
      <c r="G79" s="149" t="s">
        <v>598</v>
      </c>
      <c r="H79" s="156" t="s">
        <v>996</v>
      </c>
      <c r="I79" s="150" t="s">
        <v>1006</v>
      </c>
      <c r="J79" s="150" t="s">
        <v>1007</v>
      </c>
      <c r="K79" s="150" t="s">
        <v>598</v>
      </c>
      <c r="L79" s="150" t="s">
        <v>598</v>
      </c>
      <c r="M79" s="151" t="s">
        <v>598</v>
      </c>
    </row>
    <row r="80" spans="1:13" hidden="1" x14ac:dyDescent="0.3">
      <c r="A80" s="237" t="s">
        <v>733</v>
      </c>
      <c r="B80" s="149">
        <v>76</v>
      </c>
      <c r="C80" s="149" t="s">
        <v>1026</v>
      </c>
      <c r="D80" s="242" t="s">
        <v>1039</v>
      </c>
      <c r="E80" s="149" t="s">
        <v>225</v>
      </c>
      <c r="F80" s="149" t="s">
        <v>516</v>
      </c>
      <c r="G80" s="149" t="s">
        <v>598</v>
      </c>
      <c r="H80" s="234" t="s">
        <v>1295</v>
      </c>
      <c r="I80" s="231" t="s">
        <v>1296</v>
      </c>
      <c r="J80" s="231" t="s">
        <v>1297</v>
      </c>
      <c r="K80" s="150" t="s">
        <v>598</v>
      </c>
      <c r="L80" s="150" t="s">
        <v>598</v>
      </c>
      <c r="M80" s="151" t="s">
        <v>598</v>
      </c>
    </row>
    <row r="81" spans="1:13" hidden="1" x14ac:dyDescent="0.3">
      <c r="A81" s="152" t="s">
        <v>1004</v>
      </c>
      <c r="B81" s="149">
        <v>77</v>
      </c>
      <c r="C81" s="149" t="s">
        <v>1026</v>
      </c>
      <c r="D81" s="149" t="s">
        <v>1039</v>
      </c>
      <c r="E81" s="149" t="s">
        <v>225</v>
      </c>
      <c r="F81" s="149" t="s">
        <v>516</v>
      </c>
      <c r="G81" s="149" t="s">
        <v>598</v>
      </c>
      <c r="H81" s="156" t="s">
        <v>632</v>
      </c>
      <c r="I81" s="150" t="s">
        <v>633</v>
      </c>
      <c r="J81" s="150" t="s">
        <v>634</v>
      </c>
      <c r="K81" s="150" t="s">
        <v>598</v>
      </c>
      <c r="L81" s="150" t="s">
        <v>598</v>
      </c>
      <c r="M81" s="151" t="s">
        <v>598</v>
      </c>
    </row>
    <row r="82" spans="1:13" ht="21.45" hidden="1" x14ac:dyDescent="0.3">
      <c r="A82" s="152" t="s">
        <v>1010</v>
      </c>
      <c r="B82" s="149">
        <v>78</v>
      </c>
      <c r="C82" s="149" t="s">
        <v>1026</v>
      </c>
      <c r="D82" s="149" t="s">
        <v>1039</v>
      </c>
      <c r="E82" s="149" t="s">
        <v>225</v>
      </c>
      <c r="F82" s="149" t="s">
        <v>301</v>
      </c>
      <c r="G82" s="149" t="s">
        <v>577</v>
      </c>
      <c r="H82" s="150" t="s">
        <v>642</v>
      </c>
      <c r="I82" s="150" t="s">
        <v>643</v>
      </c>
      <c r="J82" s="150" t="s">
        <v>644</v>
      </c>
      <c r="K82" s="150" t="s">
        <v>1121</v>
      </c>
      <c r="L82" s="150" t="s">
        <v>786</v>
      </c>
      <c r="M82" s="151" t="s">
        <v>787</v>
      </c>
    </row>
    <row r="83" spans="1:13" ht="32.15" hidden="1" x14ac:dyDescent="0.3">
      <c r="A83" s="237" t="s">
        <v>1300</v>
      </c>
      <c r="B83" s="149">
        <v>79</v>
      </c>
      <c r="C83" s="149" t="s">
        <v>1026</v>
      </c>
      <c r="D83" s="242" t="s">
        <v>1039</v>
      </c>
      <c r="E83" s="149" t="s">
        <v>225</v>
      </c>
      <c r="F83" s="149" t="s">
        <v>301</v>
      </c>
      <c r="G83" s="149" t="s">
        <v>975</v>
      </c>
      <c r="H83" s="243" t="s">
        <v>1298</v>
      </c>
      <c r="I83" s="241" t="s">
        <v>1302</v>
      </c>
      <c r="J83" s="241" t="s">
        <v>1303</v>
      </c>
      <c r="K83" s="150" t="s">
        <v>1304</v>
      </c>
      <c r="L83" s="241" t="s">
        <v>1305</v>
      </c>
      <c r="M83" s="232" t="s">
        <v>1306</v>
      </c>
    </row>
    <row r="84" spans="1:13" hidden="1" x14ac:dyDescent="0.3">
      <c r="A84" s="148" t="s">
        <v>1011</v>
      </c>
      <c r="B84" s="149">
        <v>80</v>
      </c>
      <c r="C84" s="149" t="s">
        <v>1026</v>
      </c>
      <c r="D84" s="149" t="s">
        <v>1039</v>
      </c>
      <c r="E84" s="149" t="s">
        <v>225</v>
      </c>
      <c r="F84" s="149" t="s">
        <v>301</v>
      </c>
      <c r="G84" s="149" t="s">
        <v>577</v>
      </c>
      <c r="H84" s="150" t="s">
        <v>1077</v>
      </c>
      <c r="I84" s="150" t="s">
        <v>1078</v>
      </c>
      <c r="J84" s="150" t="s">
        <v>1079</v>
      </c>
      <c r="K84" s="150" t="s">
        <v>722</v>
      </c>
      <c r="L84" s="150" t="s">
        <v>1131</v>
      </c>
      <c r="M84" s="151" t="s">
        <v>1122</v>
      </c>
    </row>
    <row r="85" spans="1:13" hidden="1" x14ac:dyDescent="0.3">
      <c r="A85" s="148" t="s">
        <v>1012</v>
      </c>
      <c r="B85" s="149">
        <v>81</v>
      </c>
      <c r="C85" s="149" t="s">
        <v>1026</v>
      </c>
      <c r="D85" s="149" t="s">
        <v>1039</v>
      </c>
      <c r="E85" s="149" t="s">
        <v>225</v>
      </c>
      <c r="F85" s="149" t="s">
        <v>301</v>
      </c>
      <c r="G85" s="149" t="s">
        <v>975</v>
      </c>
      <c r="H85" s="150" t="s">
        <v>718</v>
      </c>
      <c r="I85" s="150" t="s">
        <v>747</v>
      </c>
      <c r="J85" s="150" t="s">
        <v>821</v>
      </c>
      <c r="K85" s="150" t="s">
        <v>813</v>
      </c>
      <c r="L85" s="150" t="s">
        <v>822</v>
      </c>
      <c r="M85" s="151" t="s">
        <v>823</v>
      </c>
    </row>
    <row r="86" spans="1:13" hidden="1" x14ac:dyDescent="0.3">
      <c r="A86" s="148" t="s">
        <v>1013</v>
      </c>
      <c r="B86" s="149">
        <v>82</v>
      </c>
      <c r="C86" s="149" t="s">
        <v>1026</v>
      </c>
      <c r="D86" s="149" t="s">
        <v>1039</v>
      </c>
      <c r="E86" s="149" t="s">
        <v>225</v>
      </c>
      <c r="F86" s="149" t="s">
        <v>301</v>
      </c>
      <c r="G86" s="149" t="s">
        <v>577</v>
      </c>
      <c r="H86" s="150" t="s">
        <v>726</v>
      </c>
      <c r="I86" s="150" t="s">
        <v>824</v>
      </c>
      <c r="J86" s="150" t="s">
        <v>803</v>
      </c>
      <c r="K86" s="150" t="s">
        <v>814</v>
      </c>
      <c r="L86" s="150" t="s">
        <v>825</v>
      </c>
      <c r="M86" s="151" t="s">
        <v>826</v>
      </c>
    </row>
    <row r="87" spans="1:13" hidden="1" x14ac:dyDescent="0.3">
      <c r="A87" s="148" t="s">
        <v>1014</v>
      </c>
      <c r="B87" s="149">
        <v>83</v>
      </c>
      <c r="C87" s="149" t="s">
        <v>1026</v>
      </c>
      <c r="D87" s="149" t="s">
        <v>1039</v>
      </c>
      <c r="E87" s="149" t="s">
        <v>225</v>
      </c>
      <c r="F87" s="149" t="s">
        <v>301</v>
      </c>
      <c r="G87" s="149" t="s">
        <v>577</v>
      </c>
      <c r="H87" s="150" t="s">
        <v>727</v>
      </c>
      <c r="I87" s="150" t="s">
        <v>827</v>
      </c>
      <c r="J87" s="150" t="s">
        <v>804</v>
      </c>
      <c r="K87" s="150" t="s">
        <v>815</v>
      </c>
      <c r="L87" s="150" t="s">
        <v>828</v>
      </c>
      <c r="M87" s="151" t="s">
        <v>829</v>
      </c>
    </row>
    <row r="88" spans="1:13" hidden="1" x14ac:dyDescent="0.3">
      <c r="A88" s="148" t="s">
        <v>708</v>
      </c>
      <c r="B88" s="149">
        <v>84</v>
      </c>
      <c r="C88" s="149" t="s">
        <v>1026</v>
      </c>
      <c r="D88" s="149" t="s">
        <v>1039</v>
      </c>
      <c r="E88" s="149" t="s">
        <v>225</v>
      </c>
      <c r="F88" s="149" t="s">
        <v>301</v>
      </c>
      <c r="G88" s="149" t="s">
        <v>622</v>
      </c>
      <c r="H88" s="150" t="s">
        <v>748</v>
      </c>
      <c r="I88" s="150" t="s">
        <v>830</v>
      </c>
      <c r="J88" s="150" t="s">
        <v>831</v>
      </c>
      <c r="K88" s="150" t="s">
        <v>817</v>
      </c>
      <c r="L88" s="150" t="s">
        <v>832</v>
      </c>
      <c r="M88" s="151" t="s">
        <v>1132</v>
      </c>
    </row>
    <row r="89" spans="1:13" hidden="1" x14ac:dyDescent="0.3">
      <c r="A89" s="148" t="s">
        <v>1022</v>
      </c>
      <c r="B89" s="149">
        <v>85</v>
      </c>
      <c r="C89" s="149" t="s">
        <v>1026</v>
      </c>
      <c r="D89" s="149" t="s">
        <v>1039</v>
      </c>
      <c r="E89" s="149" t="s">
        <v>225</v>
      </c>
      <c r="F89" s="149" t="s">
        <v>301</v>
      </c>
      <c r="G89" s="149" t="s">
        <v>622</v>
      </c>
      <c r="H89" s="150" t="s">
        <v>994</v>
      </c>
      <c r="I89" s="150" t="s">
        <v>1000</v>
      </c>
      <c r="J89" s="150" t="s">
        <v>1157</v>
      </c>
      <c r="K89" s="150" t="s">
        <v>1005</v>
      </c>
      <c r="L89" s="150" t="s">
        <v>1133</v>
      </c>
      <c r="M89" s="151" t="s">
        <v>1134</v>
      </c>
    </row>
    <row r="90" spans="1:13" hidden="1" x14ac:dyDescent="0.3">
      <c r="A90" s="148" t="s">
        <v>1015</v>
      </c>
      <c r="B90" s="149">
        <v>86</v>
      </c>
      <c r="C90" s="149" t="s">
        <v>1026</v>
      </c>
      <c r="D90" s="149" t="s">
        <v>1039</v>
      </c>
      <c r="E90" s="149" t="s">
        <v>225</v>
      </c>
      <c r="F90" s="149" t="s">
        <v>301</v>
      </c>
      <c r="G90" s="149" t="s">
        <v>622</v>
      </c>
      <c r="H90" s="150" t="s">
        <v>808</v>
      </c>
      <c r="I90" s="150" t="s">
        <v>807</v>
      </c>
      <c r="J90" s="150" t="s">
        <v>811</v>
      </c>
      <c r="K90" s="150" t="s">
        <v>816</v>
      </c>
      <c r="L90" s="150" t="s">
        <v>833</v>
      </c>
      <c r="M90" s="151" t="s">
        <v>834</v>
      </c>
    </row>
    <row r="91" spans="1:13" hidden="1" x14ac:dyDescent="0.3">
      <c r="A91" s="148" t="s">
        <v>1016</v>
      </c>
      <c r="B91" s="149">
        <v>87</v>
      </c>
      <c r="C91" s="149" t="s">
        <v>1026</v>
      </c>
      <c r="D91" s="149" t="s">
        <v>1039</v>
      </c>
      <c r="E91" s="149" t="s">
        <v>225</v>
      </c>
      <c r="F91" s="149" t="s">
        <v>301</v>
      </c>
      <c r="G91" s="149" t="s">
        <v>622</v>
      </c>
      <c r="H91" s="150" t="s">
        <v>809</v>
      </c>
      <c r="I91" s="150" t="s">
        <v>810</v>
      </c>
      <c r="J91" s="150" t="s">
        <v>812</v>
      </c>
      <c r="K91" s="150" t="s">
        <v>799</v>
      </c>
      <c r="L91" s="150" t="s">
        <v>835</v>
      </c>
      <c r="M91" s="151" t="s">
        <v>836</v>
      </c>
    </row>
    <row r="92" spans="1:13" hidden="1" x14ac:dyDescent="0.3">
      <c r="A92" s="148" t="s">
        <v>1017</v>
      </c>
      <c r="B92" s="149">
        <v>88</v>
      </c>
      <c r="C92" s="149" t="s">
        <v>1026</v>
      </c>
      <c r="D92" s="149" t="s">
        <v>1039</v>
      </c>
      <c r="E92" s="149" t="s">
        <v>225</v>
      </c>
      <c r="F92" s="149" t="s">
        <v>301</v>
      </c>
      <c r="G92" s="149" t="s">
        <v>577</v>
      </c>
      <c r="H92" s="156" t="s">
        <v>636</v>
      </c>
      <c r="I92" s="150" t="s">
        <v>1085</v>
      </c>
      <c r="J92" s="150" t="s">
        <v>1086</v>
      </c>
      <c r="K92" s="150" t="s">
        <v>762</v>
      </c>
      <c r="L92" s="150" t="s">
        <v>791</v>
      </c>
      <c r="M92" s="151" t="s">
        <v>795</v>
      </c>
    </row>
    <row r="93" spans="1:13" hidden="1" x14ac:dyDescent="0.3">
      <c r="A93" s="148" t="s">
        <v>1018</v>
      </c>
      <c r="B93" s="149">
        <v>89</v>
      </c>
      <c r="C93" s="149" t="s">
        <v>1026</v>
      </c>
      <c r="D93" s="149" t="s">
        <v>1039</v>
      </c>
      <c r="E93" s="149" t="s">
        <v>225</v>
      </c>
      <c r="F93" s="149" t="s">
        <v>301</v>
      </c>
      <c r="G93" s="149" t="s">
        <v>577</v>
      </c>
      <c r="H93" s="156" t="s">
        <v>638</v>
      </c>
      <c r="I93" s="150" t="s">
        <v>1087</v>
      </c>
      <c r="J93" s="150" t="s">
        <v>1088</v>
      </c>
      <c r="K93" s="150" t="s">
        <v>763</v>
      </c>
      <c r="L93" s="150" t="s">
        <v>792</v>
      </c>
      <c r="M93" s="151" t="s">
        <v>796</v>
      </c>
    </row>
    <row r="94" spans="1:13" hidden="1" x14ac:dyDescent="0.3">
      <c r="A94" s="148" t="s">
        <v>1019</v>
      </c>
      <c r="B94" s="149">
        <v>90</v>
      </c>
      <c r="C94" s="149" t="s">
        <v>1026</v>
      </c>
      <c r="D94" s="149" t="s">
        <v>1039</v>
      </c>
      <c r="E94" s="149" t="s">
        <v>225</v>
      </c>
      <c r="F94" s="149" t="s">
        <v>301</v>
      </c>
      <c r="G94" s="149" t="s">
        <v>577</v>
      </c>
      <c r="H94" s="156" t="s">
        <v>640</v>
      </c>
      <c r="I94" s="150" t="s">
        <v>1089</v>
      </c>
      <c r="J94" s="150" t="s">
        <v>1090</v>
      </c>
      <c r="K94" s="150" t="s">
        <v>764</v>
      </c>
      <c r="L94" s="150" t="s">
        <v>793</v>
      </c>
      <c r="M94" s="151" t="s">
        <v>797</v>
      </c>
    </row>
    <row r="95" spans="1:13" hidden="1" x14ac:dyDescent="0.3">
      <c r="A95" s="148" t="s">
        <v>1020</v>
      </c>
      <c r="B95" s="149">
        <v>91</v>
      </c>
      <c r="C95" s="149" t="s">
        <v>1026</v>
      </c>
      <c r="D95" s="149" t="s">
        <v>1039</v>
      </c>
      <c r="E95" s="149" t="s">
        <v>225</v>
      </c>
      <c r="F95" s="149" t="s">
        <v>301</v>
      </c>
      <c r="G95" s="149" t="s">
        <v>577</v>
      </c>
      <c r="H95" s="156" t="s">
        <v>717</v>
      </c>
      <c r="I95" s="150" t="s">
        <v>1091</v>
      </c>
      <c r="J95" s="150" t="s">
        <v>1092</v>
      </c>
      <c r="K95" s="150" t="s">
        <v>761</v>
      </c>
      <c r="L95" s="150" t="s">
        <v>794</v>
      </c>
      <c r="M95" s="151" t="s">
        <v>798</v>
      </c>
    </row>
    <row r="96" spans="1:13" hidden="1" x14ac:dyDescent="0.3">
      <c r="A96" s="148" t="s">
        <v>1021</v>
      </c>
      <c r="B96" s="149">
        <v>92</v>
      </c>
      <c r="C96" s="149" t="s">
        <v>1026</v>
      </c>
      <c r="D96" s="149" t="s">
        <v>1039</v>
      </c>
      <c r="E96" s="149" t="s">
        <v>225</v>
      </c>
      <c r="F96" s="149" t="s">
        <v>301</v>
      </c>
      <c r="G96" s="149" t="s">
        <v>577</v>
      </c>
      <c r="H96" s="156" t="s">
        <v>842</v>
      </c>
      <c r="I96" s="150" t="s">
        <v>1093</v>
      </c>
      <c r="J96" s="150" t="s">
        <v>1094</v>
      </c>
      <c r="K96" s="150" t="s">
        <v>838</v>
      </c>
      <c r="L96" s="150" t="s">
        <v>839</v>
      </c>
      <c r="M96" s="151" t="s">
        <v>840</v>
      </c>
    </row>
    <row r="97" spans="1:13" hidden="1" x14ac:dyDescent="0.3">
      <c r="A97" s="148" t="s">
        <v>282</v>
      </c>
      <c r="B97" s="149">
        <v>93</v>
      </c>
      <c r="C97" s="149" t="s">
        <v>1026</v>
      </c>
      <c r="D97" s="149" t="s">
        <v>645</v>
      </c>
      <c r="E97" s="149" t="s">
        <v>220</v>
      </c>
      <c r="F97" s="149" t="s">
        <v>293</v>
      </c>
      <c r="G97" s="149" t="s">
        <v>598</v>
      </c>
      <c r="H97" s="150" t="s">
        <v>645</v>
      </c>
      <c r="I97" s="150" t="s">
        <v>645</v>
      </c>
      <c r="J97" s="150" t="s">
        <v>646</v>
      </c>
      <c r="K97" s="150" t="s">
        <v>647</v>
      </c>
      <c r="L97" s="150" t="s">
        <v>648</v>
      </c>
      <c r="M97" s="151" t="s">
        <v>684</v>
      </c>
    </row>
    <row r="98" spans="1:13" hidden="1" x14ac:dyDescent="0.3">
      <c r="A98" s="148" t="s">
        <v>649</v>
      </c>
      <c r="B98" s="149">
        <v>94</v>
      </c>
      <c r="C98" s="149" t="s">
        <v>1026</v>
      </c>
      <c r="D98" s="149" t="s">
        <v>645</v>
      </c>
      <c r="E98" s="149" t="s">
        <v>220</v>
      </c>
      <c r="F98" s="149" t="s">
        <v>292</v>
      </c>
      <c r="G98" s="149" t="s">
        <v>598</v>
      </c>
      <c r="H98" s="150" t="s">
        <v>220</v>
      </c>
      <c r="I98" s="150" t="s">
        <v>220</v>
      </c>
      <c r="J98" s="150" t="s">
        <v>220</v>
      </c>
      <c r="K98" s="150" t="s">
        <v>598</v>
      </c>
      <c r="L98" s="150" t="s">
        <v>598</v>
      </c>
      <c r="M98" s="151" t="s">
        <v>598</v>
      </c>
    </row>
    <row r="99" spans="1:13" ht="21.45" hidden="1" x14ac:dyDescent="0.3">
      <c r="A99" s="148" t="s">
        <v>298</v>
      </c>
      <c r="B99" s="149">
        <v>95</v>
      </c>
      <c r="C99" s="149" t="s">
        <v>1026</v>
      </c>
      <c r="D99" s="149" t="s">
        <v>645</v>
      </c>
      <c r="E99" s="149" t="s">
        <v>220</v>
      </c>
      <c r="F99" s="149" t="s">
        <v>297</v>
      </c>
      <c r="G99" s="149" t="s">
        <v>598</v>
      </c>
      <c r="H99" s="150" t="s">
        <v>593</v>
      </c>
      <c r="I99" s="150" t="s">
        <v>593</v>
      </c>
      <c r="J99" s="150" t="s">
        <v>593</v>
      </c>
      <c r="K99" s="150" t="s">
        <v>780</v>
      </c>
      <c r="L99" s="150" t="s">
        <v>785</v>
      </c>
      <c r="M99" s="151" t="s">
        <v>788</v>
      </c>
    </row>
    <row r="100" spans="1:13" ht="21.45" hidden="1" x14ac:dyDescent="0.3">
      <c r="A100" s="148" t="s">
        <v>615</v>
      </c>
      <c r="B100" s="149">
        <v>96</v>
      </c>
      <c r="C100" s="149" t="s">
        <v>1026</v>
      </c>
      <c r="D100" s="149" t="s">
        <v>645</v>
      </c>
      <c r="E100" s="149" t="s">
        <v>220</v>
      </c>
      <c r="F100" s="149" t="s">
        <v>297</v>
      </c>
      <c r="G100" s="149" t="s">
        <v>598</v>
      </c>
      <c r="H100" s="150" t="s">
        <v>594</v>
      </c>
      <c r="I100" s="150" t="s">
        <v>594</v>
      </c>
      <c r="J100" s="150" t="s">
        <v>594</v>
      </c>
      <c r="K100" s="150" t="s">
        <v>781</v>
      </c>
      <c r="L100" s="150" t="s">
        <v>784</v>
      </c>
      <c r="M100" s="151" t="s">
        <v>789</v>
      </c>
    </row>
    <row r="101" spans="1:13" ht="21.45" hidden="1" x14ac:dyDescent="0.3">
      <c r="A101" s="148" t="s">
        <v>616</v>
      </c>
      <c r="B101" s="149">
        <v>97</v>
      </c>
      <c r="C101" s="149" t="s">
        <v>1026</v>
      </c>
      <c r="D101" s="149" t="s">
        <v>645</v>
      </c>
      <c r="E101" s="149" t="s">
        <v>220</v>
      </c>
      <c r="F101" s="149" t="s">
        <v>297</v>
      </c>
      <c r="G101" s="149" t="s">
        <v>598</v>
      </c>
      <c r="H101" s="150" t="s">
        <v>595</v>
      </c>
      <c r="I101" s="150" t="s">
        <v>595</v>
      </c>
      <c r="J101" s="150" t="s">
        <v>595</v>
      </c>
      <c r="K101" s="150" t="s">
        <v>782</v>
      </c>
      <c r="L101" s="150" t="s">
        <v>783</v>
      </c>
      <c r="M101" s="151" t="s">
        <v>790</v>
      </c>
    </row>
    <row r="102" spans="1:13" ht="32.15" hidden="1" x14ac:dyDescent="0.3">
      <c r="A102" s="148" t="s">
        <v>617</v>
      </c>
      <c r="B102" s="149">
        <v>98</v>
      </c>
      <c r="C102" s="149" t="s">
        <v>1026</v>
      </c>
      <c r="D102" s="149" t="s">
        <v>645</v>
      </c>
      <c r="E102" s="149" t="s">
        <v>220</v>
      </c>
      <c r="F102" s="149" t="s">
        <v>297</v>
      </c>
      <c r="G102" s="149" t="s">
        <v>598</v>
      </c>
      <c r="H102" s="150" t="s">
        <v>596</v>
      </c>
      <c r="I102" s="150" t="s">
        <v>596</v>
      </c>
      <c r="J102" s="150" t="s">
        <v>596</v>
      </c>
      <c r="K102" s="150" t="s">
        <v>1135</v>
      </c>
      <c r="L102" s="150" t="s">
        <v>1103</v>
      </c>
      <c r="M102" s="151" t="s">
        <v>685</v>
      </c>
    </row>
    <row r="103" spans="1:13" hidden="1" x14ac:dyDescent="0.3">
      <c r="A103" s="148" t="s">
        <v>618</v>
      </c>
      <c r="B103" s="149">
        <v>99</v>
      </c>
      <c r="C103" s="149" t="s">
        <v>1026</v>
      </c>
      <c r="D103" s="149" t="s">
        <v>645</v>
      </c>
      <c r="E103" s="149" t="s">
        <v>220</v>
      </c>
      <c r="F103" s="149" t="s">
        <v>297</v>
      </c>
      <c r="G103" s="149" t="s">
        <v>598</v>
      </c>
      <c r="H103" s="150" t="s">
        <v>597</v>
      </c>
      <c r="I103" s="150" t="s">
        <v>597</v>
      </c>
      <c r="J103" s="150" t="s">
        <v>597</v>
      </c>
      <c r="K103" s="150" t="s">
        <v>221</v>
      </c>
      <c r="L103" s="150" t="s">
        <v>1104</v>
      </c>
      <c r="M103" s="151" t="s">
        <v>1105</v>
      </c>
    </row>
    <row r="104" spans="1:13" hidden="1" x14ac:dyDescent="0.3">
      <c r="A104" s="148" t="s">
        <v>1106</v>
      </c>
      <c r="B104" s="149">
        <v>100</v>
      </c>
      <c r="C104" s="149" t="s">
        <v>1026</v>
      </c>
      <c r="D104" s="149" t="s">
        <v>645</v>
      </c>
      <c r="E104" s="149" t="s">
        <v>957</v>
      </c>
      <c r="F104" s="149" t="s">
        <v>292</v>
      </c>
      <c r="G104" s="149" t="s">
        <v>598</v>
      </c>
      <c r="H104" s="150" t="s">
        <v>283</v>
      </c>
      <c r="I104" s="150" t="s">
        <v>284</v>
      </c>
      <c r="J104" s="150" t="s">
        <v>285</v>
      </c>
      <c r="K104" s="150" t="s">
        <v>598</v>
      </c>
      <c r="L104" s="150" t="s">
        <v>598</v>
      </c>
      <c r="M104" s="151" t="s">
        <v>598</v>
      </c>
    </row>
    <row r="105" spans="1:13" hidden="1" x14ac:dyDescent="0.3">
      <c r="A105" s="152" t="s">
        <v>508</v>
      </c>
      <c r="B105" s="149">
        <v>101</v>
      </c>
      <c r="C105" s="149" t="s">
        <v>1026</v>
      </c>
      <c r="D105" s="149" t="s">
        <v>645</v>
      </c>
      <c r="E105" s="149" t="s">
        <v>957</v>
      </c>
      <c r="F105" s="149" t="s">
        <v>297</v>
      </c>
      <c r="G105" s="149" t="s">
        <v>598</v>
      </c>
      <c r="H105" s="150" t="s">
        <v>453</v>
      </c>
      <c r="I105" s="150" t="s">
        <v>514</v>
      </c>
      <c r="J105" s="150" t="s">
        <v>515</v>
      </c>
      <c r="K105" s="150" t="s">
        <v>598</v>
      </c>
      <c r="L105" s="150" t="s">
        <v>598</v>
      </c>
      <c r="M105" s="151" t="s">
        <v>598</v>
      </c>
    </row>
    <row r="106" spans="1:13" hidden="1" x14ac:dyDescent="0.3">
      <c r="A106" s="152" t="s">
        <v>509</v>
      </c>
      <c r="B106" s="149">
        <v>102</v>
      </c>
      <c r="C106" s="149" t="s">
        <v>1026</v>
      </c>
      <c r="D106" s="149" t="s">
        <v>645</v>
      </c>
      <c r="E106" s="149" t="s">
        <v>957</v>
      </c>
      <c r="F106" s="149" t="s">
        <v>297</v>
      </c>
      <c r="G106" s="149" t="s">
        <v>598</v>
      </c>
      <c r="H106" s="150" t="s">
        <v>724</v>
      </c>
      <c r="I106" s="150" t="s">
        <v>734</v>
      </c>
      <c r="J106" s="150" t="s">
        <v>735</v>
      </c>
      <c r="K106" s="150" t="s">
        <v>598</v>
      </c>
      <c r="L106" s="150" t="s">
        <v>598</v>
      </c>
      <c r="M106" s="151" t="s">
        <v>598</v>
      </c>
    </row>
    <row r="107" spans="1:13" hidden="1" x14ac:dyDescent="0.3">
      <c r="A107" s="148" t="s">
        <v>510</v>
      </c>
      <c r="B107" s="149">
        <v>103</v>
      </c>
      <c r="C107" s="149" t="s">
        <v>1026</v>
      </c>
      <c r="D107" s="149" t="s">
        <v>645</v>
      </c>
      <c r="E107" s="149" t="s">
        <v>957</v>
      </c>
      <c r="F107" s="149" t="s">
        <v>297</v>
      </c>
      <c r="G107" s="149" t="s">
        <v>598</v>
      </c>
      <c r="H107" s="150" t="s">
        <v>286</v>
      </c>
      <c r="I107" s="150" t="s">
        <v>299</v>
      </c>
      <c r="J107" s="150" t="s">
        <v>300</v>
      </c>
      <c r="K107" s="150" t="s">
        <v>598</v>
      </c>
      <c r="L107" s="150" t="s">
        <v>598</v>
      </c>
      <c r="M107" s="151" t="s">
        <v>598</v>
      </c>
    </row>
    <row r="108" spans="1:13" hidden="1" x14ac:dyDescent="0.3">
      <c r="A108" s="148" t="s">
        <v>511</v>
      </c>
      <c r="B108" s="149">
        <v>104</v>
      </c>
      <c r="C108" s="149" t="s">
        <v>1026</v>
      </c>
      <c r="D108" s="149" t="s">
        <v>645</v>
      </c>
      <c r="E108" s="149" t="s">
        <v>957</v>
      </c>
      <c r="F108" s="149" t="s">
        <v>297</v>
      </c>
      <c r="G108" s="149" t="s">
        <v>598</v>
      </c>
      <c r="H108" s="150" t="s">
        <v>239</v>
      </c>
      <c r="I108" s="150" t="s">
        <v>279</v>
      </c>
      <c r="J108" s="150" t="s">
        <v>281</v>
      </c>
      <c r="K108" s="150" t="s">
        <v>598</v>
      </c>
      <c r="L108" s="150" t="s">
        <v>598</v>
      </c>
      <c r="M108" s="151" t="s">
        <v>598</v>
      </c>
    </row>
    <row r="109" spans="1:13" hidden="1" x14ac:dyDescent="0.3">
      <c r="A109" s="148" t="s">
        <v>512</v>
      </c>
      <c r="B109" s="149">
        <v>105</v>
      </c>
      <c r="C109" s="149" t="s">
        <v>1026</v>
      </c>
      <c r="D109" s="149" t="s">
        <v>645</v>
      </c>
      <c r="E109" s="149" t="s">
        <v>957</v>
      </c>
      <c r="F109" s="149" t="s">
        <v>297</v>
      </c>
      <c r="G109" s="149" t="s">
        <v>598</v>
      </c>
      <c r="H109" s="150" t="s">
        <v>278</v>
      </c>
      <c r="I109" s="150" t="s">
        <v>302</v>
      </c>
      <c r="J109" s="150" t="s">
        <v>303</v>
      </c>
      <c r="K109" s="150" t="s">
        <v>598</v>
      </c>
      <c r="L109" s="150" t="s">
        <v>598</v>
      </c>
      <c r="M109" s="151" t="s">
        <v>598</v>
      </c>
    </row>
    <row r="110" spans="1:13" hidden="1" x14ac:dyDescent="0.3">
      <c r="A110" s="148" t="s">
        <v>513</v>
      </c>
      <c r="B110" s="149">
        <v>106</v>
      </c>
      <c r="C110" s="149" t="s">
        <v>1026</v>
      </c>
      <c r="D110" s="149" t="s">
        <v>645</v>
      </c>
      <c r="E110" s="149" t="s">
        <v>957</v>
      </c>
      <c r="F110" s="149" t="s">
        <v>297</v>
      </c>
      <c r="G110" s="149" t="s">
        <v>598</v>
      </c>
      <c r="H110" s="150" t="s">
        <v>739</v>
      </c>
      <c r="I110" s="150" t="s">
        <v>741</v>
      </c>
      <c r="J110" s="150" t="s">
        <v>740</v>
      </c>
      <c r="K110" s="150" t="s">
        <v>598</v>
      </c>
      <c r="L110" s="150" t="s">
        <v>598</v>
      </c>
      <c r="M110" s="151" t="s">
        <v>598</v>
      </c>
    </row>
    <row r="111" spans="1:13" hidden="1" x14ac:dyDescent="0.3">
      <c r="A111" s="148" t="s">
        <v>623</v>
      </c>
      <c r="B111" s="149">
        <v>107</v>
      </c>
      <c r="C111" s="149" t="s">
        <v>1026</v>
      </c>
      <c r="D111" s="149" t="s">
        <v>645</v>
      </c>
      <c r="E111" s="149" t="s">
        <v>957</v>
      </c>
      <c r="F111" s="149" t="s">
        <v>297</v>
      </c>
      <c r="G111" s="149" t="s">
        <v>598</v>
      </c>
      <c r="H111" s="150" t="s">
        <v>736</v>
      </c>
      <c r="I111" s="150" t="s">
        <v>737</v>
      </c>
      <c r="J111" s="150" t="s">
        <v>738</v>
      </c>
      <c r="K111" s="150" t="s">
        <v>598</v>
      </c>
      <c r="L111" s="150" t="s">
        <v>598</v>
      </c>
      <c r="M111" s="151" t="s">
        <v>598</v>
      </c>
    </row>
    <row r="112" spans="1:13" hidden="1" x14ac:dyDescent="0.3">
      <c r="A112" s="148" t="s">
        <v>725</v>
      </c>
      <c r="B112" s="149">
        <v>108</v>
      </c>
      <c r="C112" s="149" t="s">
        <v>1026</v>
      </c>
      <c r="D112" s="149" t="s">
        <v>645</v>
      </c>
      <c r="E112" s="149" t="s">
        <v>957</v>
      </c>
      <c r="F112" s="149" t="s">
        <v>297</v>
      </c>
      <c r="G112" s="149" t="s">
        <v>598</v>
      </c>
      <c r="H112" s="150" t="s">
        <v>222</v>
      </c>
      <c r="I112" s="150" t="s">
        <v>222</v>
      </c>
      <c r="J112" s="150" t="s">
        <v>280</v>
      </c>
      <c r="K112" s="150" t="s">
        <v>598</v>
      </c>
      <c r="L112" s="150" t="s">
        <v>598</v>
      </c>
      <c r="M112" s="151" t="s">
        <v>598</v>
      </c>
    </row>
    <row r="120" spans="11:11" ht="25.75" x14ac:dyDescent="0.35">
      <c r="K120" s="244" t="s">
        <v>1315</v>
      </c>
    </row>
  </sheetData>
  <sheetProtection algorithmName="SHA-512" hashValue="6HA3mU0ooRYoj+U80pTPQBPhav/yBSziQVZi17+WZeAkRaF+1osA3G++fWKsut3d1R34gDmcnQ3x1CymkszevA==" saltValue="jAbDCuuEBwL85oDcKiDUrw==" spinCount="100000" sheet="1" objects="1" scenarios="1" formatCells="0" autoFilter="0"/>
  <mergeCells count="1">
    <mergeCell ref="A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ST01A</vt:lpstr>
      <vt:lpstr>ST01B</vt:lpstr>
      <vt:lpstr>Codes</vt:lpstr>
      <vt:lpstr>Instructions</vt:lpstr>
      <vt:lpstr>Filters</vt:lpstr>
      <vt:lpstr>Translation</vt:lpstr>
      <vt:lpstr>Content</vt:lpstr>
      <vt:lpstr>FisheryCodA</vt:lpstr>
      <vt:lpstr>FisheryCodB</vt:lpstr>
      <vt:lpstr>FlagA3ISO</vt:lpstr>
      <vt:lpstr>FlagCode</vt:lpstr>
      <vt:lpstr>FlagName</vt:lpstr>
      <vt:lpstr>GearGrpCode</vt:lpstr>
      <vt:lpstr>GRTCLassCode</vt:lpstr>
      <vt:lpstr>Idiom</vt:lpstr>
      <vt:lpstr>LangFieldID</vt:lpstr>
      <vt:lpstr>LangNameID</vt:lpstr>
      <vt:lpstr>LOACLassCode</vt:lpstr>
      <vt:lpstr>PortsZones</vt:lpstr>
      <vt:lpstr>TonTypeCode</vt:lpstr>
      <vt:lpstr>Version</vt:lpstr>
    </vt:vector>
  </TitlesOfParts>
  <Company>ICCAT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cpalma</dc:creator>
  <cp:lastModifiedBy>Carlos Palma</cp:lastModifiedBy>
  <cp:lastPrinted>2015-01-15T08:26:25Z</cp:lastPrinted>
  <dcterms:created xsi:type="dcterms:W3CDTF">2004-02-10T09:03:42Z</dcterms:created>
  <dcterms:modified xsi:type="dcterms:W3CDTF">2024-02-04T18:24:18Z</dcterms:modified>
</cp:coreProperties>
</file>