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ili\PycharmProjects\pythonProject1\"/>
    </mc:Choice>
  </mc:AlternateContent>
  <xr:revisionPtr revIDLastSave="0" documentId="13_ncr:1_{E415A11E-4F1F-4610-A6DC-06796B843B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" sheetId="16" r:id="rId1"/>
    <sheet name="Calculos adicionales 2023" sheetId="17" r:id="rId2"/>
    <sheet name="Supuestos" sheetId="18" r:id="rId3"/>
  </sheets>
  <definedNames>
    <definedName name="_xlnm._FilterDatabase" localSheetId="0" hidden="1">'2023'!$A$1:$X$867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35" i="16" l="1"/>
  <c r="C4" i="18"/>
  <c r="B4" i="18"/>
  <c r="I2" i="16" l="1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N2" i="17" s="1"/>
  <c r="W660" i="16"/>
  <c r="U2" i="16" l="1"/>
  <c r="N4" i="17"/>
  <c r="N3" i="17"/>
  <c r="N6" i="17"/>
  <c r="K15" i="17"/>
  <c r="N5" i="17"/>
  <c r="J15" i="17"/>
  <c r="W48" i="16"/>
  <c r="W852" i="16"/>
  <c r="I852" i="16"/>
  <c r="U852" i="16" s="1"/>
  <c r="V852" i="16" s="1"/>
  <c r="E852" i="16"/>
  <c r="W851" i="16"/>
  <c r="I851" i="16"/>
  <c r="U851" i="16" s="1"/>
  <c r="V851" i="16" s="1"/>
  <c r="E851" i="16"/>
  <c r="W665" i="16"/>
  <c r="I665" i="16"/>
  <c r="U665" i="16" s="1"/>
  <c r="V665" i="16" s="1"/>
  <c r="E665" i="16"/>
  <c r="W649" i="16"/>
  <c r="I649" i="16"/>
  <c r="U649" i="16" s="1"/>
  <c r="V649" i="16" s="1"/>
  <c r="E649" i="16"/>
  <c r="W739" i="16"/>
  <c r="I739" i="16"/>
  <c r="U739" i="16" s="1"/>
  <c r="V739" i="16" s="1"/>
  <c r="E739" i="16"/>
  <c r="W637" i="16"/>
  <c r="I637" i="16"/>
  <c r="U637" i="16" s="1"/>
  <c r="V637" i="16" s="1"/>
  <c r="E637" i="16"/>
  <c r="W630" i="16"/>
  <c r="I630" i="16"/>
  <c r="U630" i="16" s="1"/>
  <c r="V630" i="16" s="1"/>
  <c r="E630" i="16"/>
  <c r="W626" i="16"/>
  <c r="I626" i="16"/>
  <c r="U626" i="16" s="1"/>
  <c r="V626" i="16" s="1"/>
  <c r="E626" i="16"/>
  <c r="W680" i="16"/>
  <c r="I680" i="16"/>
  <c r="U680" i="16" s="1"/>
  <c r="V680" i="16" s="1"/>
  <c r="E680" i="16"/>
  <c r="W685" i="16"/>
  <c r="I685" i="16"/>
  <c r="U685" i="16" s="1"/>
  <c r="V685" i="16" s="1"/>
  <c r="E685" i="16"/>
  <c r="W780" i="16"/>
  <c r="I780" i="16"/>
  <c r="U780" i="16" s="1"/>
  <c r="V780" i="16" s="1"/>
  <c r="E780" i="16"/>
  <c r="W735" i="16"/>
  <c r="I735" i="16"/>
  <c r="U735" i="16" s="1"/>
  <c r="V735" i="16" s="1"/>
  <c r="E735" i="16"/>
  <c r="W815" i="16"/>
  <c r="I815" i="16"/>
  <c r="U815" i="16" s="1"/>
  <c r="V815" i="16" s="1"/>
  <c r="E815" i="16"/>
  <c r="W801" i="16"/>
  <c r="I801" i="16"/>
  <c r="U801" i="16" s="1"/>
  <c r="V801" i="16" s="1"/>
  <c r="E801" i="16"/>
  <c r="W850" i="16"/>
  <c r="I850" i="16"/>
  <c r="U850" i="16" s="1"/>
  <c r="V850" i="16" s="1"/>
  <c r="E850" i="16"/>
  <c r="W742" i="16"/>
  <c r="I742" i="16"/>
  <c r="U742" i="16" s="1"/>
  <c r="V742" i="16" s="1"/>
  <c r="E742" i="16"/>
  <c r="W767" i="16"/>
  <c r="I767" i="16"/>
  <c r="U767" i="16" s="1"/>
  <c r="V767" i="16" s="1"/>
  <c r="E767" i="16"/>
  <c r="W641" i="16"/>
  <c r="I641" i="16"/>
  <c r="U641" i="16" s="1"/>
  <c r="V641" i="16" s="1"/>
  <c r="E641" i="16"/>
  <c r="W676" i="16"/>
  <c r="I676" i="16"/>
  <c r="U676" i="16" s="1"/>
  <c r="V676" i="16" s="1"/>
  <c r="E676" i="16"/>
  <c r="W656" i="16"/>
  <c r="I656" i="16"/>
  <c r="U656" i="16" s="1"/>
  <c r="V656" i="16" s="1"/>
  <c r="E656" i="16"/>
  <c r="W703" i="16"/>
  <c r="I703" i="16"/>
  <c r="U703" i="16" s="1"/>
  <c r="V703" i="16" s="1"/>
  <c r="E703" i="16"/>
  <c r="W751" i="16"/>
  <c r="I751" i="16"/>
  <c r="U751" i="16" s="1"/>
  <c r="V751" i="16" s="1"/>
  <c r="E751" i="16"/>
  <c r="W756" i="16"/>
  <c r="I756" i="16"/>
  <c r="U756" i="16" s="1"/>
  <c r="V756" i="16" s="1"/>
  <c r="E756" i="16"/>
  <c r="W690" i="16"/>
  <c r="I690" i="16"/>
  <c r="U690" i="16" s="1"/>
  <c r="V690" i="16" s="1"/>
  <c r="E690" i="16"/>
  <c r="W706" i="16"/>
  <c r="I706" i="16"/>
  <c r="U706" i="16" s="1"/>
  <c r="V706" i="16" s="1"/>
  <c r="E706" i="16"/>
  <c r="W684" i="16"/>
  <c r="I684" i="16"/>
  <c r="U684" i="16" s="1"/>
  <c r="V684" i="16" s="1"/>
  <c r="E684" i="16"/>
  <c r="W673" i="16"/>
  <c r="I673" i="16"/>
  <c r="U673" i="16" s="1"/>
  <c r="V673" i="16" s="1"/>
  <c r="E673" i="16"/>
  <c r="W693" i="16"/>
  <c r="I693" i="16"/>
  <c r="U693" i="16" s="1"/>
  <c r="V693" i="16" s="1"/>
  <c r="E693" i="16"/>
  <c r="W692" i="16"/>
  <c r="I692" i="16"/>
  <c r="U692" i="16" s="1"/>
  <c r="V692" i="16" s="1"/>
  <c r="E692" i="16"/>
  <c r="W670" i="16"/>
  <c r="I670" i="16"/>
  <c r="U670" i="16" s="1"/>
  <c r="V670" i="16" s="1"/>
  <c r="E670" i="16"/>
  <c r="W814" i="16"/>
  <c r="I814" i="16"/>
  <c r="U814" i="16" s="1"/>
  <c r="V814" i="16" s="1"/>
  <c r="E814" i="16"/>
  <c r="W789" i="16"/>
  <c r="I789" i="16"/>
  <c r="U789" i="16" s="1"/>
  <c r="V789" i="16" s="1"/>
  <c r="E789" i="16"/>
  <c r="W849" i="16"/>
  <c r="I849" i="16"/>
  <c r="U849" i="16" s="1"/>
  <c r="V849" i="16" s="1"/>
  <c r="E849" i="16"/>
  <c r="W681" i="16"/>
  <c r="I681" i="16"/>
  <c r="U681" i="16" s="1"/>
  <c r="V681" i="16" s="1"/>
  <c r="E681" i="16"/>
  <c r="W679" i="16"/>
  <c r="I679" i="16"/>
  <c r="U679" i="16" s="1"/>
  <c r="V679" i="16" s="1"/>
  <c r="E679" i="16"/>
  <c r="W710" i="16"/>
  <c r="I710" i="16"/>
  <c r="U710" i="16" s="1"/>
  <c r="V710" i="16" s="1"/>
  <c r="E710" i="16"/>
  <c r="W669" i="16"/>
  <c r="I669" i="16"/>
  <c r="U669" i="16" s="1"/>
  <c r="V669" i="16" s="1"/>
  <c r="E669" i="16"/>
  <c r="W664" i="16"/>
  <c r="I664" i="16"/>
  <c r="U664" i="16" s="1"/>
  <c r="V664" i="16" s="1"/>
  <c r="E664" i="16"/>
  <c r="W683" i="16"/>
  <c r="I683" i="16"/>
  <c r="U683" i="16" s="1"/>
  <c r="V683" i="16" s="1"/>
  <c r="E683" i="16"/>
  <c r="W755" i="16"/>
  <c r="I755" i="16"/>
  <c r="U755" i="16" s="1"/>
  <c r="V755" i="16" s="1"/>
  <c r="E755" i="16"/>
  <c r="W687" i="16"/>
  <c r="I687" i="16"/>
  <c r="U687" i="16" s="1"/>
  <c r="V687" i="16" s="1"/>
  <c r="E687" i="16"/>
  <c r="W675" i="16"/>
  <c r="I675" i="16"/>
  <c r="U675" i="16" s="1"/>
  <c r="V675" i="16" s="1"/>
  <c r="E675" i="16"/>
  <c r="W678" i="16"/>
  <c r="I678" i="16"/>
  <c r="U678" i="16" s="1"/>
  <c r="V678" i="16" s="1"/>
  <c r="E678" i="16"/>
  <c r="W807" i="16"/>
  <c r="I807" i="16"/>
  <c r="U807" i="16" s="1"/>
  <c r="V807" i="16" s="1"/>
  <c r="E807" i="16"/>
  <c r="W672" i="16"/>
  <c r="I672" i="16"/>
  <c r="U672" i="16" s="1"/>
  <c r="V672" i="16" s="1"/>
  <c r="E672" i="16"/>
  <c r="W848" i="16"/>
  <c r="I848" i="16"/>
  <c r="U848" i="16" s="1"/>
  <c r="V848" i="16" s="1"/>
  <c r="E848" i="16"/>
  <c r="W632" i="16"/>
  <c r="I632" i="16"/>
  <c r="U632" i="16" s="1"/>
  <c r="V632" i="16" s="1"/>
  <c r="E632" i="16"/>
  <c r="W647" i="16"/>
  <c r="I647" i="16"/>
  <c r="U647" i="16" s="1"/>
  <c r="V647" i="16" s="1"/>
  <c r="E647" i="16"/>
  <c r="W640" i="16"/>
  <c r="I640" i="16"/>
  <c r="U640" i="16" s="1"/>
  <c r="V640" i="16" s="1"/>
  <c r="E640" i="16"/>
  <c r="W652" i="16"/>
  <c r="I652" i="16"/>
  <c r="U652" i="16" s="1"/>
  <c r="V652" i="16" s="1"/>
  <c r="E652" i="16"/>
  <c r="W633" i="16"/>
  <c r="I633" i="16"/>
  <c r="U633" i="16" s="1"/>
  <c r="V633" i="16" s="1"/>
  <c r="E633" i="16"/>
  <c r="W639" i="16"/>
  <c r="I639" i="16"/>
  <c r="U639" i="16" s="1"/>
  <c r="V639" i="16" s="1"/>
  <c r="E639" i="16"/>
  <c r="W686" i="16"/>
  <c r="I686" i="16"/>
  <c r="U686" i="16" s="1"/>
  <c r="V686" i="16" s="1"/>
  <c r="E686" i="16"/>
  <c r="W648" i="16"/>
  <c r="I648" i="16"/>
  <c r="U648" i="16" s="1"/>
  <c r="V648" i="16" s="1"/>
  <c r="E648" i="16"/>
  <c r="W847" i="16"/>
  <c r="I847" i="16"/>
  <c r="U847" i="16" s="1"/>
  <c r="V847" i="16" s="1"/>
  <c r="E847" i="16"/>
  <c r="W796" i="16"/>
  <c r="I796" i="16"/>
  <c r="U796" i="16" s="1"/>
  <c r="V796" i="16" s="1"/>
  <c r="E796" i="16"/>
  <c r="W824" i="16"/>
  <c r="I824" i="16"/>
  <c r="U824" i="16" s="1"/>
  <c r="V824" i="16" s="1"/>
  <c r="E824" i="16"/>
  <c r="W806" i="16"/>
  <c r="I806" i="16"/>
  <c r="U806" i="16" s="1"/>
  <c r="V806" i="16" s="1"/>
  <c r="E806" i="16"/>
  <c r="W709" i="16"/>
  <c r="I709" i="16"/>
  <c r="U709" i="16" s="1"/>
  <c r="V709" i="16" s="1"/>
  <c r="E709" i="16"/>
  <c r="W698" i="16"/>
  <c r="I698" i="16"/>
  <c r="U698" i="16" s="1"/>
  <c r="V698" i="16" s="1"/>
  <c r="E698" i="16"/>
  <c r="W657" i="16"/>
  <c r="I657" i="16"/>
  <c r="U657" i="16" s="1"/>
  <c r="V657" i="16" s="1"/>
  <c r="E657" i="16"/>
  <c r="W645" i="16"/>
  <c r="I645" i="16"/>
  <c r="U645" i="16" s="1"/>
  <c r="V645" i="16" s="1"/>
  <c r="E645" i="16"/>
  <c r="W777" i="16"/>
  <c r="I777" i="16"/>
  <c r="U777" i="16" s="1"/>
  <c r="V777" i="16" s="1"/>
  <c r="E777" i="16"/>
  <c r="W846" i="16"/>
  <c r="I846" i="16"/>
  <c r="U846" i="16" s="1"/>
  <c r="V846" i="16" s="1"/>
  <c r="E846" i="16"/>
  <c r="W788" i="16"/>
  <c r="I788" i="16"/>
  <c r="U788" i="16" s="1"/>
  <c r="V788" i="16" s="1"/>
  <c r="E788" i="16"/>
  <c r="W831" i="16"/>
  <c r="I831" i="16"/>
  <c r="U831" i="16" s="1"/>
  <c r="V831" i="16" s="1"/>
  <c r="E831" i="16"/>
  <c r="W774" i="16"/>
  <c r="I774" i="16"/>
  <c r="U774" i="16" s="1"/>
  <c r="V774" i="16" s="1"/>
  <c r="E774" i="16"/>
  <c r="W845" i="16"/>
  <c r="I845" i="16"/>
  <c r="U845" i="16" s="1"/>
  <c r="V845" i="16" s="1"/>
  <c r="E845" i="16"/>
  <c r="W867" i="16"/>
  <c r="I867" i="16"/>
  <c r="U867" i="16" s="1"/>
  <c r="V867" i="16" s="1"/>
  <c r="E867" i="16"/>
  <c r="W866" i="16"/>
  <c r="I866" i="16"/>
  <c r="U866" i="16" s="1"/>
  <c r="V866" i="16" s="1"/>
  <c r="E866" i="16"/>
  <c r="W697" i="16"/>
  <c r="I697" i="16"/>
  <c r="U697" i="16" s="1"/>
  <c r="V697" i="16" s="1"/>
  <c r="E697" i="16"/>
  <c r="W732" i="16"/>
  <c r="I732" i="16"/>
  <c r="U732" i="16" s="1"/>
  <c r="V732" i="16" s="1"/>
  <c r="E732" i="16"/>
  <c r="W731" i="16"/>
  <c r="I731" i="16"/>
  <c r="U731" i="16" s="1"/>
  <c r="V731" i="16" s="1"/>
  <c r="E731" i="16"/>
  <c r="W844" i="16"/>
  <c r="I844" i="16"/>
  <c r="U844" i="16" s="1"/>
  <c r="V844" i="16" s="1"/>
  <c r="E844" i="16"/>
  <c r="W823" i="16"/>
  <c r="I823" i="16"/>
  <c r="U823" i="16" s="1"/>
  <c r="V823" i="16" s="1"/>
  <c r="E823" i="16"/>
  <c r="W830" i="16"/>
  <c r="I830" i="16"/>
  <c r="U830" i="16" s="1"/>
  <c r="V830" i="16" s="1"/>
  <c r="E830" i="16"/>
  <c r="W813" i="16"/>
  <c r="I813" i="16"/>
  <c r="U813" i="16" s="1"/>
  <c r="V813" i="16" s="1"/>
  <c r="E813" i="16"/>
  <c r="W705" i="16"/>
  <c r="I705" i="16"/>
  <c r="U705" i="16" s="1"/>
  <c r="V705" i="16" s="1"/>
  <c r="E705" i="16"/>
  <c r="W795" i="16"/>
  <c r="I795" i="16"/>
  <c r="U795" i="16" s="1"/>
  <c r="V795" i="16" s="1"/>
  <c r="E795" i="16"/>
  <c r="W734" i="16"/>
  <c r="I734" i="16"/>
  <c r="U734" i="16" s="1"/>
  <c r="V734" i="16" s="1"/>
  <c r="E734" i="16"/>
  <c r="W760" i="16"/>
  <c r="I760" i="16"/>
  <c r="U760" i="16" s="1"/>
  <c r="V760" i="16" s="1"/>
  <c r="E760" i="16"/>
  <c r="W812" i="16"/>
  <c r="I812" i="16"/>
  <c r="U812" i="16" s="1"/>
  <c r="V812" i="16" s="1"/>
  <c r="E812" i="16"/>
  <c r="W753" i="16"/>
  <c r="I753" i="16"/>
  <c r="U753" i="16" s="1"/>
  <c r="V753" i="16" s="1"/>
  <c r="E753" i="16"/>
  <c r="W811" i="16"/>
  <c r="I811" i="16"/>
  <c r="U811" i="16" s="1"/>
  <c r="V811" i="16" s="1"/>
  <c r="E811" i="16"/>
  <c r="W655" i="16"/>
  <c r="I655" i="16"/>
  <c r="U655" i="16" s="1"/>
  <c r="V655" i="16" s="1"/>
  <c r="E655" i="16"/>
  <c r="W766" i="16"/>
  <c r="I766" i="16"/>
  <c r="U766" i="16" s="1"/>
  <c r="V766" i="16" s="1"/>
  <c r="E766" i="16"/>
  <c r="W728" i="16"/>
  <c r="I728" i="16"/>
  <c r="U728" i="16" s="1"/>
  <c r="V728" i="16" s="1"/>
  <c r="E728" i="16"/>
  <c r="I660" i="16"/>
  <c r="U660" i="16" s="1"/>
  <c r="V660" i="16" s="1"/>
  <c r="E660" i="16"/>
  <c r="W843" i="16"/>
  <c r="I843" i="16"/>
  <c r="U843" i="16" s="1"/>
  <c r="V843" i="16" s="1"/>
  <c r="E843" i="16"/>
  <c r="W750" i="16"/>
  <c r="I750" i="16"/>
  <c r="U750" i="16" s="1"/>
  <c r="V750" i="16" s="1"/>
  <c r="E750" i="16"/>
  <c r="W635" i="16"/>
  <c r="I635" i="16"/>
  <c r="U635" i="16" s="1"/>
  <c r="V635" i="16" s="1"/>
  <c r="E635" i="16"/>
  <c r="W689" i="16"/>
  <c r="I689" i="16"/>
  <c r="U689" i="16" s="1"/>
  <c r="V689" i="16" s="1"/>
  <c r="E689" i="16"/>
  <c r="W715" i="16"/>
  <c r="I715" i="16"/>
  <c r="U715" i="16" s="1"/>
  <c r="V715" i="16" s="1"/>
  <c r="E715" i="16"/>
  <c r="W650" i="16"/>
  <c r="I650" i="16"/>
  <c r="U650" i="16" s="1"/>
  <c r="V650" i="16" s="1"/>
  <c r="E650" i="16"/>
  <c r="W717" i="16"/>
  <c r="I717" i="16"/>
  <c r="U717" i="16" s="1"/>
  <c r="V717" i="16" s="1"/>
  <c r="E717" i="16"/>
  <c r="W737" i="16"/>
  <c r="I737" i="16"/>
  <c r="U737" i="16" s="1"/>
  <c r="V737" i="16" s="1"/>
  <c r="E737" i="16"/>
  <c r="W787" i="16"/>
  <c r="I787" i="16"/>
  <c r="U787" i="16" s="1"/>
  <c r="V787" i="16" s="1"/>
  <c r="E787" i="16"/>
  <c r="W724" i="16"/>
  <c r="I724" i="16"/>
  <c r="U724" i="16" s="1"/>
  <c r="V724" i="16" s="1"/>
  <c r="E724" i="16"/>
  <c r="W727" i="16"/>
  <c r="I727" i="16"/>
  <c r="U727" i="16" s="1"/>
  <c r="V727" i="16" s="1"/>
  <c r="E727" i="16"/>
  <c r="W714" i="16"/>
  <c r="I714" i="16"/>
  <c r="U714" i="16" s="1"/>
  <c r="V714" i="16" s="1"/>
  <c r="E714" i="16"/>
  <c r="W783" i="16"/>
  <c r="I783" i="16"/>
  <c r="U783" i="16" s="1"/>
  <c r="V783" i="16" s="1"/>
  <c r="E783" i="16"/>
  <c r="W782" i="16"/>
  <c r="I782" i="16"/>
  <c r="U782" i="16" s="1"/>
  <c r="V782" i="16" s="1"/>
  <c r="E782" i="16"/>
  <c r="W741" i="16"/>
  <c r="I741" i="16"/>
  <c r="U741" i="16" s="1"/>
  <c r="V741" i="16" s="1"/>
  <c r="E741" i="16"/>
  <c r="W800" i="16"/>
  <c r="I800" i="16"/>
  <c r="U800" i="16" s="1"/>
  <c r="V800" i="16" s="1"/>
  <c r="E800" i="16"/>
  <c r="W822" i="16"/>
  <c r="I822" i="16"/>
  <c r="U822" i="16" s="1"/>
  <c r="V822" i="16" s="1"/>
  <c r="E822" i="16"/>
  <c r="W805" i="16"/>
  <c r="I805" i="16"/>
  <c r="U805" i="16" s="1"/>
  <c r="V805" i="16" s="1"/>
  <c r="E805" i="16"/>
  <c r="W810" i="16"/>
  <c r="I810" i="16"/>
  <c r="U810" i="16" s="1"/>
  <c r="V810" i="16" s="1"/>
  <c r="E810" i="16"/>
  <c r="W809" i="16"/>
  <c r="I809" i="16"/>
  <c r="U809" i="16" s="1"/>
  <c r="V809" i="16" s="1"/>
  <c r="E809" i="16"/>
  <c r="W752" i="16"/>
  <c r="I752" i="16"/>
  <c r="U752" i="16" s="1"/>
  <c r="V752" i="16" s="1"/>
  <c r="E752" i="16"/>
  <c r="W865" i="16"/>
  <c r="I865" i="16"/>
  <c r="U865" i="16" s="1"/>
  <c r="V865" i="16" s="1"/>
  <c r="E865" i="16"/>
  <c r="W786" i="16"/>
  <c r="I786" i="16"/>
  <c r="U786" i="16" s="1"/>
  <c r="V786" i="16" s="1"/>
  <c r="E786" i="16"/>
  <c r="W711" i="16"/>
  <c r="I711" i="16"/>
  <c r="U711" i="16" s="1"/>
  <c r="V711" i="16" s="1"/>
  <c r="E711" i="16"/>
  <c r="W794" i="16"/>
  <c r="I794" i="16"/>
  <c r="U794" i="16" s="1"/>
  <c r="V794" i="16" s="1"/>
  <c r="E794" i="16"/>
  <c r="W842" i="16"/>
  <c r="I842" i="16"/>
  <c r="U842" i="16" s="1"/>
  <c r="V842" i="16" s="1"/>
  <c r="E842" i="16"/>
  <c r="W804" i="16"/>
  <c r="I804" i="16"/>
  <c r="U804" i="16" s="1"/>
  <c r="V804" i="16" s="1"/>
  <c r="E804" i="16"/>
  <c r="W829" i="16"/>
  <c r="I829" i="16"/>
  <c r="U829" i="16" s="1"/>
  <c r="V829" i="16" s="1"/>
  <c r="E829" i="16"/>
  <c r="W841" i="16"/>
  <c r="I841" i="16"/>
  <c r="U841" i="16" s="1"/>
  <c r="V841" i="16" s="1"/>
  <c r="E841" i="16"/>
  <c r="W821" i="16"/>
  <c r="I821" i="16"/>
  <c r="U821" i="16" s="1"/>
  <c r="V821" i="16" s="1"/>
  <c r="E821" i="16"/>
  <c r="W820" i="16"/>
  <c r="I820" i="16"/>
  <c r="U820" i="16" s="1"/>
  <c r="V820" i="16" s="1"/>
  <c r="E820" i="16"/>
  <c r="W864" i="16"/>
  <c r="I864" i="16"/>
  <c r="U864" i="16" s="1"/>
  <c r="V864" i="16" s="1"/>
  <c r="E864" i="16"/>
  <c r="W840" i="16"/>
  <c r="I840" i="16"/>
  <c r="U840" i="16" s="1"/>
  <c r="V840" i="16" s="1"/>
  <c r="E840" i="16"/>
  <c r="W773" i="16"/>
  <c r="I773" i="16"/>
  <c r="U773" i="16" s="1"/>
  <c r="V773" i="16" s="1"/>
  <c r="E773" i="16"/>
  <c r="W754" i="16"/>
  <c r="I754" i="16"/>
  <c r="U754" i="16" s="1"/>
  <c r="V754" i="16" s="1"/>
  <c r="E754" i="16"/>
  <c r="W716" i="16"/>
  <c r="I716" i="16"/>
  <c r="U716" i="16" s="1"/>
  <c r="V716" i="16" s="1"/>
  <c r="E716" i="16"/>
  <c r="W863" i="16"/>
  <c r="I863" i="16"/>
  <c r="U863" i="16" s="1"/>
  <c r="V863" i="16" s="1"/>
  <c r="E863" i="16"/>
  <c r="W862" i="16"/>
  <c r="I862" i="16"/>
  <c r="U862" i="16" s="1"/>
  <c r="V862" i="16" s="1"/>
  <c r="E862" i="16"/>
  <c r="W662" i="16"/>
  <c r="I662" i="16"/>
  <c r="U662" i="16" s="1"/>
  <c r="V662" i="16" s="1"/>
  <c r="E662" i="16"/>
  <c r="W654" i="16"/>
  <c r="I654" i="16"/>
  <c r="U654" i="16" s="1"/>
  <c r="V654" i="16" s="1"/>
  <c r="E654" i="16"/>
  <c r="W708" i="16"/>
  <c r="I708" i="16"/>
  <c r="U708" i="16" s="1"/>
  <c r="V708" i="16" s="1"/>
  <c r="E708" i="16"/>
  <c r="W743" i="16"/>
  <c r="I743" i="16"/>
  <c r="U743" i="16" s="1"/>
  <c r="V743" i="16" s="1"/>
  <c r="E743" i="16"/>
  <c r="W861" i="16"/>
  <c r="I861" i="16"/>
  <c r="U861" i="16" s="1"/>
  <c r="V861" i="16" s="1"/>
  <c r="E861" i="16"/>
  <c r="W839" i="16"/>
  <c r="I839" i="16"/>
  <c r="U839" i="16" s="1"/>
  <c r="V839" i="16" s="1"/>
  <c r="E839" i="16"/>
  <c r="W785" i="16"/>
  <c r="I785" i="16"/>
  <c r="U785" i="16" s="1"/>
  <c r="V785" i="16" s="1"/>
  <c r="E785" i="16"/>
  <c r="W799" i="16"/>
  <c r="I799" i="16"/>
  <c r="U799" i="16" s="1"/>
  <c r="V799" i="16" s="1"/>
  <c r="E799" i="16"/>
  <c r="W819" i="16"/>
  <c r="I819" i="16"/>
  <c r="U819" i="16" s="1"/>
  <c r="V819" i="16" s="1"/>
  <c r="E819" i="16"/>
  <c r="W747" i="16"/>
  <c r="I747" i="16"/>
  <c r="U747" i="16" s="1"/>
  <c r="V747" i="16" s="1"/>
  <c r="E747" i="16"/>
  <c r="W860" i="16"/>
  <c r="I860" i="16"/>
  <c r="U860" i="16" s="1"/>
  <c r="V860" i="16" s="1"/>
  <c r="E860" i="16"/>
  <c r="W838" i="16"/>
  <c r="I838" i="16"/>
  <c r="U838" i="16" s="1"/>
  <c r="V838" i="16" s="1"/>
  <c r="E838" i="16"/>
  <c r="W859" i="16"/>
  <c r="I859" i="16"/>
  <c r="U859" i="16" s="1"/>
  <c r="V859" i="16" s="1"/>
  <c r="E859" i="16"/>
  <c r="W765" i="16"/>
  <c r="I765" i="16"/>
  <c r="U765" i="16" s="1"/>
  <c r="V765" i="16" s="1"/>
  <c r="E765" i="16"/>
  <c r="W858" i="16"/>
  <c r="I858" i="16"/>
  <c r="U858" i="16" s="1"/>
  <c r="V858" i="16" s="1"/>
  <c r="E858" i="16"/>
  <c r="W688" i="16"/>
  <c r="I688" i="16"/>
  <c r="U688" i="16" s="1"/>
  <c r="V688" i="16" s="1"/>
  <c r="E688" i="16"/>
  <c r="W740" i="16"/>
  <c r="I740" i="16"/>
  <c r="U740" i="16" s="1"/>
  <c r="V740" i="16" s="1"/>
  <c r="E740" i="16"/>
  <c r="W764" i="16"/>
  <c r="I764" i="16"/>
  <c r="U764" i="16" s="1"/>
  <c r="V764" i="16" s="1"/>
  <c r="E764" i="16"/>
  <c r="W726" i="16"/>
  <c r="I726" i="16"/>
  <c r="U726" i="16" s="1"/>
  <c r="V726" i="16" s="1"/>
  <c r="E726" i="16"/>
  <c r="W837" i="16"/>
  <c r="I837" i="16"/>
  <c r="U837" i="16" s="1"/>
  <c r="V837" i="16" s="1"/>
  <c r="E837" i="16"/>
  <c r="W772" i="16"/>
  <c r="I772" i="16"/>
  <c r="U772" i="16" s="1"/>
  <c r="V772" i="16" s="1"/>
  <c r="E772" i="16"/>
  <c r="W793" i="16"/>
  <c r="I793" i="16"/>
  <c r="U793" i="16" s="1"/>
  <c r="V793" i="16" s="1"/>
  <c r="E793" i="16"/>
  <c r="W857" i="16"/>
  <c r="I857" i="16"/>
  <c r="U857" i="16" s="1"/>
  <c r="V857" i="16" s="1"/>
  <c r="E857" i="16"/>
  <c r="W798" i="16"/>
  <c r="I798" i="16"/>
  <c r="U798" i="16" s="1"/>
  <c r="V798" i="16" s="1"/>
  <c r="E798" i="16"/>
  <c r="W779" i="16"/>
  <c r="I779" i="16"/>
  <c r="U779" i="16" s="1"/>
  <c r="V779" i="16" s="1"/>
  <c r="E779" i="16"/>
  <c r="W856" i="16"/>
  <c r="I856" i="16"/>
  <c r="U856" i="16" s="1"/>
  <c r="V856" i="16" s="1"/>
  <c r="E856" i="16"/>
  <c r="W781" i="16"/>
  <c r="I781" i="16"/>
  <c r="U781" i="16" s="1"/>
  <c r="V781" i="16" s="1"/>
  <c r="E781" i="16"/>
  <c r="W771" i="16"/>
  <c r="I771" i="16"/>
  <c r="U771" i="16" s="1"/>
  <c r="V771" i="16" s="1"/>
  <c r="E771" i="16"/>
  <c r="W702" i="16"/>
  <c r="I702" i="16"/>
  <c r="U702" i="16" s="1"/>
  <c r="V702" i="16" s="1"/>
  <c r="E702" i="16"/>
  <c r="W730" i="16"/>
  <c r="I730" i="16"/>
  <c r="U730" i="16" s="1"/>
  <c r="V730" i="16" s="1"/>
  <c r="E730" i="16"/>
  <c r="W674" i="16"/>
  <c r="I674" i="16"/>
  <c r="U674" i="16" s="1"/>
  <c r="V674" i="16" s="1"/>
  <c r="E674" i="16"/>
  <c r="W729" i="16"/>
  <c r="I729" i="16"/>
  <c r="U729" i="16" s="1"/>
  <c r="V729" i="16" s="1"/>
  <c r="E729" i="16"/>
  <c r="W661" i="16"/>
  <c r="I661" i="16"/>
  <c r="U661" i="16" s="1"/>
  <c r="V661" i="16" s="1"/>
  <c r="E661" i="16"/>
  <c r="W746" i="16"/>
  <c r="I746" i="16"/>
  <c r="U746" i="16" s="1"/>
  <c r="V746" i="16" s="1"/>
  <c r="E746" i="16"/>
  <c r="W836" i="16"/>
  <c r="I836" i="16"/>
  <c r="U836" i="16" s="1"/>
  <c r="V836" i="16" s="1"/>
  <c r="E836" i="16"/>
  <c r="W763" i="16"/>
  <c r="I763" i="16"/>
  <c r="U763" i="16" s="1"/>
  <c r="V763" i="16" s="1"/>
  <c r="E763" i="16"/>
  <c r="W803" i="16"/>
  <c r="I803" i="16"/>
  <c r="U803" i="16" s="1"/>
  <c r="V803" i="16" s="1"/>
  <c r="E803" i="16"/>
  <c r="W828" i="16"/>
  <c r="I828" i="16"/>
  <c r="U828" i="16" s="1"/>
  <c r="V828" i="16" s="1"/>
  <c r="E828" i="16"/>
  <c r="W802" i="16"/>
  <c r="I802" i="16"/>
  <c r="U802" i="16" s="1"/>
  <c r="V802" i="16" s="1"/>
  <c r="E802" i="16"/>
  <c r="W818" i="16"/>
  <c r="I818" i="16"/>
  <c r="U818" i="16" s="1"/>
  <c r="V818" i="16" s="1"/>
  <c r="E818" i="16"/>
  <c r="W659" i="16"/>
  <c r="I659" i="16"/>
  <c r="U659" i="16" s="1"/>
  <c r="V659" i="16" s="1"/>
  <c r="E659" i="16"/>
  <c r="W738" i="16"/>
  <c r="I738" i="16"/>
  <c r="U738" i="16" s="1"/>
  <c r="V738" i="16" s="1"/>
  <c r="E738" i="16"/>
  <c r="W694" i="16"/>
  <c r="I694" i="16"/>
  <c r="U694" i="16" s="1"/>
  <c r="V694" i="16" s="1"/>
  <c r="E694" i="16"/>
  <c r="W855" i="16"/>
  <c r="I855" i="16"/>
  <c r="U855" i="16" s="1"/>
  <c r="V855" i="16" s="1"/>
  <c r="E855" i="16"/>
  <c r="W778" i="16"/>
  <c r="I778" i="16"/>
  <c r="U778" i="16" s="1"/>
  <c r="V778" i="16" s="1"/>
  <c r="E778" i="16"/>
  <c r="W749" i="16"/>
  <c r="I749" i="16"/>
  <c r="U749" i="16" s="1"/>
  <c r="V749" i="16" s="1"/>
  <c r="E749" i="16"/>
  <c r="W770" i="16"/>
  <c r="I770" i="16"/>
  <c r="U770" i="16" s="1"/>
  <c r="V770" i="16" s="1"/>
  <c r="E770" i="16"/>
  <c r="W701" i="16"/>
  <c r="I701" i="16"/>
  <c r="U701" i="16" s="1"/>
  <c r="V701" i="16" s="1"/>
  <c r="E701" i="16"/>
  <c r="W792" i="16"/>
  <c r="I792" i="16"/>
  <c r="U792" i="16" s="1"/>
  <c r="V792" i="16" s="1"/>
  <c r="E792" i="16"/>
  <c r="W721" i="16"/>
  <c r="I721" i="16"/>
  <c r="U721" i="16" s="1"/>
  <c r="V721" i="16" s="1"/>
  <c r="E721" i="16"/>
  <c r="W745" i="16"/>
  <c r="I745" i="16"/>
  <c r="U745" i="16" s="1"/>
  <c r="V745" i="16" s="1"/>
  <c r="E745" i="16"/>
  <c r="W854" i="16"/>
  <c r="I854" i="16"/>
  <c r="U854" i="16" s="1"/>
  <c r="V854" i="16" s="1"/>
  <c r="E854" i="16"/>
  <c r="W776" i="16"/>
  <c r="I776" i="16"/>
  <c r="U776" i="16" s="1"/>
  <c r="V776" i="16" s="1"/>
  <c r="E776" i="16"/>
  <c r="W695" i="16"/>
  <c r="I695" i="16"/>
  <c r="U695" i="16" s="1"/>
  <c r="V695" i="16" s="1"/>
  <c r="E695" i="16"/>
  <c r="W658" i="16"/>
  <c r="I658" i="16"/>
  <c r="U658" i="16" s="1"/>
  <c r="V658" i="16" s="1"/>
  <c r="E658" i="16"/>
  <c r="W696" i="16"/>
  <c r="I696" i="16"/>
  <c r="U696" i="16" s="1"/>
  <c r="V696" i="16" s="1"/>
  <c r="E696" i="16"/>
  <c r="W797" i="16"/>
  <c r="I797" i="16"/>
  <c r="U797" i="16" s="1"/>
  <c r="V797" i="16" s="1"/>
  <c r="E797" i="16"/>
  <c r="W682" i="16"/>
  <c r="I682" i="16"/>
  <c r="U682" i="16" s="1"/>
  <c r="V682" i="16" s="1"/>
  <c r="E682" i="16"/>
  <c r="W718" i="16"/>
  <c r="I718" i="16"/>
  <c r="U718" i="16" s="1"/>
  <c r="V718" i="16" s="1"/>
  <c r="E718" i="16"/>
  <c r="W827" i="16"/>
  <c r="I827" i="16"/>
  <c r="U827" i="16" s="1"/>
  <c r="V827" i="16" s="1"/>
  <c r="E827" i="16"/>
  <c r="W791" i="16"/>
  <c r="I791" i="16"/>
  <c r="U791" i="16" s="1"/>
  <c r="V791" i="16" s="1"/>
  <c r="E791" i="16"/>
  <c r="W712" i="16"/>
  <c r="I712" i="16"/>
  <c r="U712" i="16" s="1"/>
  <c r="V712" i="16" s="1"/>
  <c r="E712" i="16"/>
  <c r="W748" i="16"/>
  <c r="I748" i="16"/>
  <c r="U748" i="16" s="1"/>
  <c r="V748" i="16" s="1"/>
  <c r="E748" i="16"/>
  <c r="W725" i="16"/>
  <c r="I725" i="16"/>
  <c r="U725" i="16" s="1"/>
  <c r="V725" i="16" s="1"/>
  <c r="E725" i="16"/>
  <c r="W636" i="16"/>
  <c r="I636" i="16"/>
  <c r="U636" i="16" s="1"/>
  <c r="V636" i="16" s="1"/>
  <c r="E636" i="16"/>
  <c r="W646" i="16"/>
  <c r="I646" i="16"/>
  <c r="U646" i="16" s="1"/>
  <c r="V646" i="16" s="1"/>
  <c r="E646" i="16"/>
  <c r="W628" i="16"/>
  <c r="I628" i="16"/>
  <c r="U628" i="16" s="1"/>
  <c r="V628" i="16" s="1"/>
  <c r="E628" i="16"/>
  <c r="W622" i="16"/>
  <c r="I622" i="16"/>
  <c r="U622" i="16" s="1"/>
  <c r="V622" i="16" s="1"/>
  <c r="E622" i="16"/>
  <c r="W623" i="16"/>
  <c r="I623" i="16"/>
  <c r="U623" i="16" s="1"/>
  <c r="V623" i="16" s="1"/>
  <c r="E623" i="16"/>
  <c r="W625" i="16"/>
  <c r="I625" i="16"/>
  <c r="U625" i="16" s="1"/>
  <c r="V625" i="16" s="1"/>
  <c r="E625" i="16"/>
  <c r="W634" i="16"/>
  <c r="I634" i="16"/>
  <c r="U634" i="16" s="1"/>
  <c r="V634" i="16" s="1"/>
  <c r="E634" i="16"/>
  <c r="W817" i="16"/>
  <c r="I817" i="16"/>
  <c r="U817" i="16" s="1"/>
  <c r="V817" i="16" s="1"/>
  <c r="E817" i="16"/>
  <c r="W826" i="16"/>
  <c r="I826" i="16"/>
  <c r="U826" i="16" s="1"/>
  <c r="V826" i="16" s="1"/>
  <c r="E826" i="16"/>
  <c r="W835" i="16"/>
  <c r="I835" i="16"/>
  <c r="U835" i="16" s="1"/>
  <c r="V835" i="16" s="1"/>
  <c r="E835" i="16"/>
  <c r="W834" i="16"/>
  <c r="I834" i="16"/>
  <c r="U834" i="16" s="1"/>
  <c r="V834" i="16" s="1"/>
  <c r="E834" i="16"/>
  <c r="W833" i="16"/>
  <c r="I833" i="16"/>
  <c r="U833" i="16" s="1"/>
  <c r="V833" i="16" s="1"/>
  <c r="E833" i="16"/>
  <c r="W853" i="16"/>
  <c r="I853" i="16"/>
  <c r="U853" i="16" s="1"/>
  <c r="V853" i="16" s="1"/>
  <c r="E853" i="16"/>
  <c r="W691" i="16"/>
  <c r="I691" i="16"/>
  <c r="U691" i="16" s="1"/>
  <c r="V691" i="16" s="1"/>
  <c r="E691" i="16"/>
  <c r="W677" i="16"/>
  <c r="I677" i="16"/>
  <c r="U677" i="16" s="1"/>
  <c r="V677" i="16" s="1"/>
  <c r="E677" i="16"/>
  <c r="W668" i="16"/>
  <c r="I668" i="16"/>
  <c r="U668" i="16" s="1"/>
  <c r="V668" i="16" s="1"/>
  <c r="E668" i="16"/>
  <c r="W666" i="16"/>
  <c r="I666" i="16"/>
  <c r="U666" i="16" s="1"/>
  <c r="V666" i="16" s="1"/>
  <c r="E666" i="16"/>
  <c r="W790" i="16"/>
  <c r="I790" i="16"/>
  <c r="U790" i="16" s="1"/>
  <c r="V790" i="16" s="1"/>
  <c r="E790" i="16"/>
  <c r="W816" i="16"/>
  <c r="I816" i="16"/>
  <c r="U816" i="16" s="1"/>
  <c r="V816" i="16" s="1"/>
  <c r="E816" i="16"/>
  <c r="W832" i="16"/>
  <c r="I832" i="16"/>
  <c r="U832" i="16" s="1"/>
  <c r="V832" i="16" s="1"/>
  <c r="E832" i="16"/>
  <c r="W720" i="16"/>
  <c r="I720" i="16"/>
  <c r="U720" i="16" s="1"/>
  <c r="V720" i="16" s="1"/>
  <c r="E720" i="16"/>
  <c r="W733" i="16"/>
  <c r="I733" i="16"/>
  <c r="U733" i="16" s="1"/>
  <c r="V733" i="16" s="1"/>
  <c r="E733" i="16"/>
  <c r="W736" i="16"/>
  <c r="I736" i="16"/>
  <c r="U736" i="16" s="1"/>
  <c r="V736" i="16" s="1"/>
  <c r="E736" i="16"/>
  <c r="W744" i="16"/>
  <c r="I744" i="16"/>
  <c r="U744" i="16" s="1"/>
  <c r="V744" i="16" s="1"/>
  <c r="E744" i="16"/>
  <c r="W762" i="16"/>
  <c r="I762" i="16"/>
  <c r="U762" i="16" s="1"/>
  <c r="V762" i="16" s="1"/>
  <c r="E762" i="16"/>
  <c r="W784" i="16"/>
  <c r="I784" i="16"/>
  <c r="U784" i="16" s="1"/>
  <c r="V784" i="16" s="1"/>
  <c r="E784" i="16"/>
  <c r="W700" i="16"/>
  <c r="I700" i="16"/>
  <c r="U700" i="16" s="1"/>
  <c r="V700" i="16" s="1"/>
  <c r="E700" i="16"/>
  <c r="W723" i="16"/>
  <c r="I723" i="16"/>
  <c r="U723" i="16" s="1"/>
  <c r="V723" i="16" s="1"/>
  <c r="E723" i="16"/>
  <c r="W775" i="16"/>
  <c r="I775" i="16"/>
  <c r="U775" i="16" s="1"/>
  <c r="V775" i="16" s="1"/>
  <c r="E775" i="16"/>
  <c r="W699" i="16"/>
  <c r="I699" i="16"/>
  <c r="U699" i="16" s="1"/>
  <c r="V699" i="16" s="1"/>
  <c r="E699" i="16"/>
  <c r="W642" i="16"/>
  <c r="I642" i="16"/>
  <c r="U642" i="16" s="1"/>
  <c r="V642" i="16" s="1"/>
  <c r="E642" i="16"/>
  <c r="W825" i="16"/>
  <c r="I825" i="16"/>
  <c r="U825" i="16" s="1"/>
  <c r="V825" i="16" s="1"/>
  <c r="E825" i="16"/>
  <c r="W651" i="16"/>
  <c r="I651" i="16"/>
  <c r="U651" i="16" s="1"/>
  <c r="V651" i="16" s="1"/>
  <c r="E651" i="16"/>
  <c r="W759" i="16"/>
  <c r="I759" i="16"/>
  <c r="U759" i="16" s="1"/>
  <c r="V759" i="16" s="1"/>
  <c r="E759" i="16"/>
  <c r="W704" i="16"/>
  <c r="I704" i="16"/>
  <c r="U704" i="16" s="1"/>
  <c r="V704" i="16" s="1"/>
  <c r="E704" i="16"/>
  <c r="W638" i="16"/>
  <c r="I638" i="16"/>
  <c r="U638" i="16" s="1"/>
  <c r="V638" i="16" s="1"/>
  <c r="E638" i="16"/>
  <c r="W653" i="16"/>
  <c r="I653" i="16"/>
  <c r="U653" i="16" s="1"/>
  <c r="V653" i="16" s="1"/>
  <c r="E653" i="16"/>
  <c r="W671" i="16"/>
  <c r="I671" i="16"/>
  <c r="U671" i="16" s="1"/>
  <c r="V671" i="16" s="1"/>
  <c r="E671" i="16"/>
  <c r="W663" i="16"/>
  <c r="I663" i="16"/>
  <c r="U663" i="16" s="1"/>
  <c r="V663" i="16" s="1"/>
  <c r="E663" i="16"/>
  <c r="W722" i="16"/>
  <c r="I722" i="16"/>
  <c r="U722" i="16" s="1"/>
  <c r="V722" i="16" s="1"/>
  <c r="E722" i="16"/>
  <c r="W667" i="16"/>
  <c r="I667" i="16"/>
  <c r="U667" i="16" s="1"/>
  <c r="V667" i="16" s="1"/>
  <c r="E667" i="16"/>
  <c r="W644" i="16"/>
  <c r="I644" i="16"/>
  <c r="U644" i="16" s="1"/>
  <c r="V644" i="16" s="1"/>
  <c r="E644" i="16"/>
  <c r="W624" i="16"/>
  <c r="I624" i="16"/>
  <c r="U624" i="16" s="1"/>
  <c r="V624" i="16" s="1"/>
  <c r="E624" i="16"/>
  <c r="W627" i="16"/>
  <c r="I627" i="16"/>
  <c r="U627" i="16" s="1"/>
  <c r="V627" i="16" s="1"/>
  <c r="E627" i="16"/>
  <c r="W629" i="16"/>
  <c r="I629" i="16"/>
  <c r="U629" i="16" s="1"/>
  <c r="V629" i="16" s="1"/>
  <c r="E629" i="16"/>
  <c r="W631" i="16"/>
  <c r="I631" i="16"/>
  <c r="U631" i="16" s="1"/>
  <c r="V631" i="16" s="1"/>
  <c r="E631" i="16"/>
  <c r="W713" i="16"/>
  <c r="I713" i="16"/>
  <c r="U713" i="16" s="1"/>
  <c r="V713" i="16" s="1"/>
  <c r="E713" i="16"/>
  <c r="W707" i="16"/>
  <c r="I707" i="16"/>
  <c r="U707" i="16" s="1"/>
  <c r="V707" i="16" s="1"/>
  <c r="E707" i="16"/>
  <c r="W719" i="16"/>
  <c r="I719" i="16"/>
  <c r="U719" i="16" s="1"/>
  <c r="V719" i="16" s="1"/>
  <c r="E719" i="16"/>
  <c r="W758" i="16"/>
  <c r="I758" i="16"/>
  <c r="U758" i="16" s="1"/>
  <c r="V758" i="16" s="1"/>
  <c r="E758" i="16"/>
  <c r="W761" i="16"/>
  <c r="I761" i="16"/>
  <c r="U761" i="16" s="1"/>
  <c r="V761" i="16" s="1"/>
  <c r="E761" i="16"/>
  <c r="W808" i="16"/>
  <c r="I808" i="16"/>
  <c r="U808" i="16" s="1"/>
  <c r="V808" i="16" s="1"/>
  <c r="E808" i="16"/>
  <c r="W757" i="16"/>
  <c r="I757" i="16"/>
  <c r="U757" i="16" s="1"/>
  <c r="V757" i="16" s="1"/>
  <c r="E757" i="16"/>
  <c r="W769" i="16"/>
  <c r="I769" i="16"/>
  <c r="U769" i="16" s="1"/>
  <c r="V769" i="16" s="1"/>
  <c r="E769" i="16"/>
  <c r="W768" i="16"/>
  <c r="I768" i="16"/>
  <c r="U768" i="16" s="1"/>
  <c r="V768" i="16" s="1"/>
  <c r="E768" i="16"/>
  <c r="W643" i="16"/>
  <c r="I643" i="16"/>
  <c r="U643" i="16" s="1"/>
  <c r="V643" i="16" s="1"/>
  <c r="E643" i="16"/>
  <c r="W445" i="16"/>
  <c r="I445" i="16"/>
  <c r="U445" i="16" s="1"/>
  <c r="V445" i="16" s="1"/>
  <c r="E445" i="16"/>
  <c r="W456" i="16"/>
  <c r="I456" i="16"/>
  <c r="U456" i="16" s="1"/>
  <c r="V456" i="16" s="1"/>
  <c r="E456" i="16"/>
  <c r="W489" i="16"/>
  <c r="I489" i="16"/>
  <c r="U489" i="16" s="1"/>
  <c r="V489" i="16" s="1"/>
  <c r="E489" i="16"/>
  <c r="W455" i="16"/>
  <c r="I455" i="16"/>
  <c r="U455" i="16" s="1"/>
  <c r="V455" i="16" s="1"/>
  <c r="E455" i="16"/>
  <c r="W345" i="16"/>
  <c r="I345" i="16"/>
  <c r="U345" i="16" s="1"/>
  <c r="V345" i="16" s="1"/>
  <c r="E345" i="16"/>
  <c r="W393" i="16"/>
  <c r="I393" i="16"/>
  <c r="U393" i="16" s="1"/>
  <c r="V393" i="16" s="1"/>
  <c r="E393" i="16"/>
  <c r="W374" i="16"/>
  <c r="I374" i="16"/>
  <c r="U374" i="16" s="1"/>
  <c r="V374" i="16" s="1"/>
  <c r="E374" i="16"/>
  <c r="W426" i="16"/>
  <c r="I426" i="16"/>
  <c r="U426" i="16" s="1"/>
  <c r="V426" i="16" s="1"/>
  <c r="E426" i="16"/>
  <c r="W502" i="16"/>
  <c r="I502" i="16"/>
  <c r="U502" i="16" s="1"/>
  <c r="V502" i="16" s="1"/>
  <c r="E502" i="16"/>
  <c r="W481" i="16"/>
  <c r="I481" i="16"/>
  <c r="U481" i="16" s="1"/>
  <c r="V481" i="16" s="1"/>
  <c r="E481" i="16"/>
  <c r="W308" i="16"/>
  <c r="I308" i="16"/>
  <c r="U308" i="16" s="1"/>
  <c r="V308" i="16" s="1"/>
  <c r="E308" i="16"/>
  <c r="W364" i="16"/>
  <c r="I364" i="16"/>
  <c r="U364" i="16" s="1"/>
  <c r="V364" i="16" s="1"/>
  <c r="E364" i="16"/>
  <c r="W305" i="16"/>
  <c r="I305" i="16"/>
  <c r="U305" i="16" s="1"/>
  <c r="V305" i="16" s="1"/>
  <c r="E305" i="16"/>
  <c r="W276" i="16"/>
  <c r="I276" i="16"/>
  <c r="U276" i="16" s="1"/>
  <c r="V276" i="16" s="1"/>
  <c r="E276" i="16"/>
  <c r="W287" i="16"/>
  <c r="I287" i="16"/>
  <c r="U287" i="16" s="1"/>
  <c r="V287" i="16" s="1"/>
  <c r="E287" i="16"/>
  <c r="W353" i="16"/>
  <c r="I353" i="16"/>
  <c r="U353" i="16" s="1"/>
  <c r="V353" i="16" s="1"/>
  <c r="E353" i="16"/>
  <c r="W295" i="16"/>
  <c r="I295" i="16"/>
  <c r="U295" i="16" s="1"/>
  <c r="V295" i="16" s="1"/>
  <c r="E295" i="16"/>
  <c r="W266" i="16"/>
  <c r="I266" i="16"/>
  <c r="U266" i="16" s="1"/>
  <c r="V266" i="16" s="1"/>
  <c r="E266" i="16"/>
  <c r="W436" i="16"/>
  <c r="I436" i="16"/>
  <c r="U436" i="16" s="1"/>
  <c r="V436" i="16" s="1"/>
  <c r="E436" i="16"/>
  <c r="W279" i="16"/>
  <c r="I279" i="16"/>
  <c r="U279" i="16" s="1"/>
  <c r="V279" i="16" s="1"/>
  <c r="E279" i="16"/>
  <c r="W307" i="16"/>
  <c r="I307" i="16"/>
  <c r="U307" i="16" s="1"/>
  <c r="V307" i="16" s="1"/>
  <c r="E307" i="16"/>
  <c r="W488" i="16"/>
  <c r="I488" i="16"/>
  <c r="U488" i="16" s="1"/>
  <c r="V488" i="16" s="1"/>
  <c r="E488" i="16"/>
  <c r="W261" i="16"/>
  <c r="I261" i="16"/>
  <c r="U261" i="16" s="1"/>
  <c r="V261" i="16" s="1"/>
  <c r="E261" i="16"/>
  <c r="W260" i="16"/>
  <c r="I260" i="16"/>
  <c r="U260" i="16" s="1"/>
  <c r="V260" i="16" s="1"/>
  <c r="E260" i="16"/>
  <c r="W263" i="16"/>
  <c r="I263" i="16"/>
  <c r="U263" i="16" s="1"/>
  <c r="V263" i="16" s="1"/>
  <c r="E263" i="16"/>
  <c r="W620" i="16"/>
  <c r="I620" i="16"/>
  <c r="U620" i="16" s="1"/>
  <c r="V620" i="16" s="1"/>
  <c r="E620" i="16"/>
  <c r="W349" i="16"/>
  <c r="I349" i="16"/>
  <c r="U349" i="16" s="1"/>
  <c r="V349" i="16" s="1"/>
  <c r="E349" i="16"/>
  <c r="W405" i="16"/>
  <c r="I405" i="16"/>
  <c r="U405" i="16" s="1"/>
  <c r="V405" i="16" s="1"/>
  <c r="E405" i="16"/>
  <c r="W317" i="16"/>
  <c r="I317" i="16"/>
  <c r="U317" i="16" s="1"/>
  <c r="V317" i="16" s="1"/>
  <c r="E317" i="16"/>
  <c r="W326" i="16"/>
  <c r="I326" i="16"/>
  <c r="U326" i="16" s="1"/>
  <c r="V326" i="16" s="1"/>
  <c r="E326" i="16"/>
  <c r="W392" i="16"/>
  <c r="I392" i="16"/>
  <c r="U392" i="16" s="1"/>
  <c r="V392" i="16" s="1"/>
  <c r="E392" i="16"/>
  <c r="W425" i="16"/>
  <c r="I425" i="16"/>
  <c r="U425" i="16" s="1"/>
  <c r="V425" i="16" s="1"/>
  <c r="E425" i="16"/>
  <c r="W334" i="16"/>
  <c r="I334" i="16"/>
  <c r="U334" i="16" s="1"/>
  <c r="V334" i="16" s="1"/>
  <c r="E334" i="16"/>
  <c r="W480" i="16"/>
  <c r="I480" i="16"/>
  <c r="U480" i="16" s="1"/>
  <c r="V480" i="16" s="1"/>
  <c r="E480" i="16"/>
  <c r="W469" i="16"/>
  <c r="I469" i="16"/>
  <c r="U469" i="16" s="1"/>
  <c r="V469" i="16" s="1"/>
  <c r="E469" i="16"/>
  <c r="W569" i="16"/>
  <c r="I569" i="16"/>
  <c r="U569" i="16" s="1"/>
  <c r="V569" i="16" s="1"/>
  <c r="E569" i="16"/>
  <c r="W619" i="16"/>
  <c r="I619" i="16"/>
  <c r="U619" i="16" s="1"/>
  <c r="V619" i="16" s="1"/>
  <c r="E619" i="16"/>
  <c r="W618" i="16"/>
  <c r="I618" i="16"/>
  <c r="U618" i="16" s="1"/>
  <c r="V618" i="16" s="1"/>
  <c r="E618" i="16"/>
  <c r="W443" i="16"/>
  <c r="I443" i="16"/>
  <c r="U443" i="16" s="1"/>
  <c r="V443" i="16" s="1"/>
  <c r="E443" i="16"/>
  <c r="W267" i="16"/>
  <c r="I267" i="16"/>
  <c r="U267" i="16" s="1"/>
  <c r="V267" i="16" s="1"/>
  <c r="E267" i="16"/>
  <c r="W259" i="16"/>
  <c r="I259" i="16"/>
  <c r="U259" i="16" s="1"/>
  <c r="V259" i="16" s="1"/>
  <c r="E259" i="16"/>
  <c r="W617" i="16"/>
  <c r="I617" i="16"/>
  <c r="U617" i="16" s="1"/>
  <c r="V617" i="16" s="1"/>
  <c r="E617" i="16"/>
  <c r="W616" i="16"/>
  <c r="I616" i="16"/>
  <c r="U616" i="16" s="1"/>
  <c r="V616" i="16" s="1"/>
  <c r="E616" i="16"/>
  <c r="W540" i="16"/>
  <c r="I540" i="16"/>
  <c r="U540" i="16" s="1"/>
  <c r="V540" i="16" s="1"/>
  <c r="E540" i="16"/>
  <c r="W539" i="16"/>
  <c r="I539" i="16"/>
  <c r="U539" i="16" s="1"/>
  <c r="V539" i="16" s="1"/>
  <c r="E539" i="16"/>
  <c r="W521" i="16"/>
  <c r="I521" i="16"/>
  <c r="U521" i="16" s="1"/>
  <c r="V521" i="16" s="1"/>
  <c r="E521" i="16"/>
  <c r="W538" i="16"/>
  <c r="I538" i="16"/>
  <c r="U538" i="16" s="1"/>
  <c r="V538" i="16" s="1"/>
  <c r="E538" i="16"/>
  <c r="W501" i="16"/>
  <c r="I501" i="16"/>
  <c r="U501" i="16" s="1"/>
  <c r="V501" i="16" s="1"/>
  <c r="E501" i="16"/>
  <c r="W537" i="16"/>
  <c r="I537" i="16"/>
  <c r="U537" i="16" s="1"/>
  <c r="V537" i="16" s="1"/>
  <c r="E537" i="16"/>
  <c r="W615" i="16"/>
  <c r="I615" i="16"/>
  <c r="U615" i="16" s="1"/>
  <c r="V615" i="16" s="1"/>
  <c r="E615" i="16"/>
  <c r="W536" i="16"/>
  <c r="I536" i="16"/>
  <c r="U536" i="16" s="1"/>
  <c r="V536" i="16" s="1"/>
  <c r="E536" i="16"/>
  <c r="W297" i="16"/>
  <c r="I297" i="16"/>
  <c r="U297" i="16" s="1"/>
  <c r="V297" i="16" s="1"/>
  <c r="E297" i="16"/>
  <c r="W435" i="16"/>
  <c r="I435" i="16"/>
  <c r="U435" i="16" s="1"/>
  <c r="V435" i="16" s="1"/>
  <c r="E435" i="16"/>
  <c r="W424" i="16"/>
  <c r="I424" i="16"/>
  <c r="U424" i="16" s="1"/>
  <c r="V424" i="16" s="1"/>
  <c r="E424" i="16"/>
  <c r="W500" i="16"/>
  <c r="I500" i="16"/>
  <c r="U500" i="16" s="1"/>
  <c r="V500" i="16" s="1"/>
  <c r="E500" i="16"/>
  <c r="W614" i="16"/>
  <c r="I614" i="16"/>
  <c r="U614" i="16" s="1"/>
  <c r="V614" i="16" s="1"/>
  <c r="E614" i="16"/>
  <c r="W613" i="16"/>
  <c r="I613" i="16"/>
  <c r="U613" i="16" s="1"/>
  <c r="V613" i="16" s="1"/>
  <c r="E613" i="16"/>
  <c r="W454" i="16"/>
  <c r="I454" i="16"/>
  <c r="U454" i="16" s="1"/>
  <c r="V454" i="16" s="1"/>
  <c r="E454" i="16"/>
  <c r="W520" i="16"/>
  <c r="I520" i="16"/>
  <c r="U520" i="16" s="1"/>
  <c r="V520" i="16" s="1"/>
  <c r="E520" i="16"/>
  <c r="W439" i="16"/>
  <c r="I439" i="16"/>
  <c r="U439" i="16" s="1"/>
  <c r="V439" i="16" s="1"/>
  <c r="E439" i="16"/>
  <c r="W381" i="16"/>
  <c r="I381" i="16"/>
  <c r="U381" i="16" s="1"/>
  <c r="V381" i="16" s="1"/>
  <c r="E381" i="16"/>
  <c r="W388" i="16"/>
  <c r="I388" i="16"/>
  <c r="U388" i="16" s="1"/>
  <c r="V388" i="16" s="1"/>
  <c r="E388" i="16"/>
  <c r="W373" i="16"/>
  <c r="I373" i="16"/>
  <c r="U373" i="16" s="1"/>
  <c r="V373" i="16" s="1"/>
  <c r="E373" i="16"/>
  <c r="W535" i="16"/>
  <c r="I535" i="16"/>
  <c r="U535" i="16" s="1"/>
  <c r="V535" i="16" s="1"/>
  <c r="E535" i="16"/>
  <c r="W512" i="16"/>
  <c r="I512" i="16"/>
  <c r="U512" i="16" s="1"/>
  <c r="V512" i="16" s="1"/>
  <c r="E512" i="16"/>
  <c r="W568" i="16"/>
  <c r="I568" i="16"/>
  <c r="U568" i="16" s="1"/>
  <c r="V568" i="16" s="1"/>
  <c r="E568" i="16"/>
  <c r="W612" i="16"/>
  <c r="I612" i="16"/>
  <c r="U612" i="16" s="1"/>
  <c r="V612" i="16" s="1"/>
  <c r="E612" i="16"/>
  <c r="W499" i="16"/>
  <c r="I499" i="16"/>
  <c r="U499" i="16" s="1"/>
  <c r="V499" i="16" s="1"/>
  <c r="E499" i="16"/>
  <c r="W567" i="16"/>
  <c r="I567" i="16"/>
  <c r="U567" i="16" s="1"/>
  <c r="V567" i="16" s="1"/>
  <c r="E567" i="16"/>
  <c r="W611" i="16"/>
  <c r="I611" i="16"/>
  <c r="U611" i="16" s="1"/>
  <c r="V611" i="16" s="1"/>
  <c r="E611" i="16"/>
  <c r="W610" i="16"/>
  <c r="I610" i="16"/>
  <c r="U610" i="16" s="1"/>
  <c r="V610" i="16" s="1"/>
  <c r="E610" i="16"/>
  <c r="W609" i="16"/>
  <c r="I609" i="16"/>
  <c r="U609" i="16" s="1"/>
  <c r="V609" i="16" s="1"/>
  <c r="E609" i="16"/>
  <c r="W348" i="16"/>
  <c r="I348" i="16"/>
  <c r="U348" i="16" s="1"/>
  <c r="V348" i="16" s="1"/>
  <c r="E348" i="16"/>
  <c r="W296" i="16"/>
  <c r="I296" i="16"/>
  <c r="U296" i="16" s="1"/>
  <c r="V296" i="16" s="1"/>
  <c r="E296" i="16"/>
  <c r="W315" i="16"/>
  <c r="I315" i="16"/>
  <c r="U315" i="16" s="1"/>
  <c r="V315" i="16" s="1"/>
  <c r="E315" i="16"/>
  <c r="W356" i="16"/>
  <c r="I356" i="16"/>
  <c r="U356" i="16" s="1"/>
  <c r="V356" i="16" s="1"/>
  <c r="E356" i="16"/>
  <c r="W397" i="16"/>
  <c r="I397" i="16"/>
  <c r="U397" i="16" s="1"/>
  <c r="V397" i="16" s="1"/>
  <c r="E397" i="16"/>
  <c r="W339" i="16"/>
  <c r="I339" i="16"/>
  <c r="U339" i="16" s="1"/>
  <c r="V339" i="16" s="1"/>
  <c r="E339" i="16"/>
  <c r="W487" i="16"/>
  <c r="I487" i="16"/>
  <c r="U487" i="16" s="1"/>
  <c r="V487" i="16" s="1"/>
  <c r="E487" i="16"/>
  <c r="W328" i="16"/>
  <c r="I328" i="16"/>
  <c r="U328" i="16" s="1"/>
  <c r="V328" i="16" s="1"/>
  <c r="E328" i="16"/>
  <c r="W327" i="16"/>
  <c r="I327" i="16"/>
  <c r="U327" i="16" s="1"/>
  <c r="V327" i="16" s="1"/>
  <c r="E327" i="16"/>
  <c r="W420" i="16"/>
  <c r="I420" i="16"/>
  <c r="U420" i="16" s="1"/>
  <c r="V420" i="16" s="1"/>
  <c r="E420" i="16"/>
  <c r="W566" i="16"/>
  <c r="I566" i="16"/>
  <c r="U566" i="16" s="1"/>
  <c r="V566" i="16" s="1"/>
  <c r="E566" i="16"/>
  <c r="W409" i="16"/>
  <c r="I409" i="16"/>
  <c r="U409" i="16" s="1"/>
  <c r="V409" i="16" s="1"/>
  <c r="E409" i="16"/>
  <c r="W325" i="16"/>
  <c r="I325" i="16"/>
  <c r="U325" i="16" s="1"/>
  <c r="V325" i="16" s="1"/>
  <c r="E325" i="16"/>
  <c r="W608" i="16"/>
  <c r="I608" i="16"/>
  <c r="U608" i="16" s="1"/>
  <c r="V608" i="16" s="1"/>
  <c r="E608" i="16"/>
  <c r="W565" i="16"/>
  <c r="I565" i="16"/>
  <c r="U565" i="16" s="1"/>
  <c r="V565" i="16" s="1"/>
  <c r="E565" i="16"/>
  <c r="W607" i="16"/>
  <c r="I607" i="16"/>
  <c r="U607" i="16" s="1"/>
  <c r="V607" i="16" s="1"/>
  <c r="E607" i="16"/>
  <c r="W564" i="16"/>
  <c r="I564" i="16"/>
  <c r="U564" i="16" s="1"/>
  <c r="V564" i="16" s="1"/>
  <c r="E564" i="16"/>
  <c r="W563" i="16"/>
  <c r="I563" i="16"/>
  <c r="U563" i="16" s="1"/>
  <c r="V563" i="16" s="1"/>
  <c r="E563" i="16"/>
  <c r="W519" i="16"/>
  <c r="I519" i="16"/>
  <c r="U519" i="16" s="1"/>
  <c r="V519" i="16" s="1"/>
  <c r="E519" i="16"/>
  <c r="W429" i="16"/>
  <c r="I429" i="16"/>
  <c r="U429" i="16" s="1"/>
  <c r="V429" i="16" s="1"/>
  <c r="E429" i="16"/>
  <c r="W479" i="16"/>
  <c r="I479" i="16"/>
  <c r="U479" i="16" s="1"/>
  <c r="V479" i="16" s="1"/>
  <c r="E479" i="16"/>
  <c r="W387" i="16"/>
  <c r="I387" i="16"/>
  <c r="U387" i="16" s="1"/>
  <c r="V387" i="16" s="1"/>
  <c r="E387" i="16"/>
  <c r="W478" i="16"/>
  <c r="I478" i="16"/>
  <c r="U478" i="16" s="1"/>
  <c r="V478" i="16" s="1"/>
  <c r="E478" i="16"/>
  <c r="W419" i="16"/>
  <c r="I419" i="16"/>
  <c r="U419" i="16" s="1"/>
  <c r="V419" i="16" s="1"/>
  <c r="E419" i="16"/>
  <c r="W303" i="16"/>
  <c r="I303" i="16"/>
  <c r="U303" i="16" s="1"/>
  <c r="V303" i="16" s="1"/>
  <c r="E303" i="16"/>
  <c r="W378" i="16"/>
  <c r="I378" i="16"/>
  <c r="U378" i="16" s="1"/>
  <c r="V378" i="16" s="1"/>
  <c r="E378" i="16"/>
  <c r="W338" i="16"/>
  <c r="I338" i="16"/>
  <c r="U338" i="16" s="1"/>
  <c r="V338" i="16" s="1"/>
  <c r="E338" i="16"/>
  <c r="W280" i="16"/>
  <c r="I280" i="16"/>
  <c r="U280" i="16" s="1"/>
  <c r="V280" i="16" s="1"/>
  <c r="E280" i="16"/>
  <c r="W302" i="16"/>
  <c r="I302" i="16"/>
  <c r="U302" i="16" s="1"/>
  <c r="V302" i="16" s="1"/>
  <c r="E302" i="16"/>
  <c r="W271" i="16"/>
  <c r="I271" i="16"/>
  <c r="U271" i="16" s="1"/>
  <c r="V271" i="16" s="1"/>
  <c r="E271" i="16"/>
  <c r="W534" i="16"/>
  <c r="I534" i="16"/>
  <c r="U534" i="16" s="1"/>
  <c r="V534" i="16" s="1"/>
  <c r="E534" i="16"/>
  <c r="W606" i="16"/>
  <c r="I606" i="16"/>
  <c r="U606" i="16" s="1"/>
  <c r="V606" i="16" s="1"/>
  <c r="E606" i="16"/>
  <c r="W301" i="16"/>
  <c r="I301" i="16"/>
  <c r="U301" i="16" s="1"/>
  <c r="V301" i="16" s="1"/>
  <c r="E301" i="16"/>
  <c r="W401" i="16"/>
  <c r="I401" i="16"/>
  <c r="U401" i="16" s="1"/>
  <c r="V401" i="16" s="1"/>
  <c r="E401" i="16"/>
  <c r="W511" i="16"/>
  <c r="I511" i="16"/>
  <c r="U511" i="16" s="1"/>
  <c r="V511" i="16" s="1"/>
  <c r="E511" i="16"/>
  <c r="W333" i="16"/>
  <c r="I333" i="16"/>
  <c r="U333" i="16" s="1"/>
  <c r="V333" i="16" s="1"/>
  <c r="E333" i="16"/>
  <c r="W262" i="16"/>
  <c r="I262" i="16"/>
  <c r="U262" i="16" s="1"/>
  <c r="V262" i="16" s="1"/>
  <c r="E262" i="16"/>
  <c r="W273" i="16"/>
  <c r="I273" i="16"/>
  <c r="U273" i="16" s="1"/>
  <c r="V273" i="16" s="1"/>
  <c r="E273" i="16"/>
  <c r="W286" i="16"/>
  <c r="I286" i="16"/>
  <c r="U286" i="16" s="1"/>
  <c r="V286" i="16" s="1"/>
  <c r="E286" i="16"/>
  <c r="W468" i="16"/>
  <c r="I468" i="16"/>
  <c r="U468" i="16" s="1"/>
  <c r="V468" i="16" s="1"/>
  <c r="E468" i="16"/>
  <c r="W375" i="16"/>
  <c r="I375" i="16"/>
  <c r="U375" i="16" s="1"/>
  <c r="V375" i="16" s="1"/>
  <c r="E375" i="16"/>
  <c r="W518" i="16"/>
  <c r="I518" i="16"/>
  <c r="U518" i="16" s="1"/>
  <c r="V518" i="16" s="1"/>
  <c r="E518" i="16"/>
  <c r="W467" i="16"/>
  <c r="I467" i="16"/>
  <c r="U467" i="16" s="1"/>
  <c r="V467" i="16" s="1"/>
  <c r="E467" i="16"/>
  <c r="W562" i="16"/>
  <c r="I562" i="16"/>
  <c r="U562" i="16" s="1"/>
  <c r="V562" i="16" s="1"/>
  <c r="E562" i="16"/>
  <c r="W418" i="16"/>
  <c r="I418" i="16"/>
  <c r="U418" i="16" s="1"/>
  <c r="V418" i="16" s="1"/>
  <c r="E418" i="16"/>
  <c r="W417" i="16"/>
  <c r="I417" i="16"/>
  <c r="U417" i="16" s="1"/>
  <c r="V417" i="16" s="1"/>
  <c r="E417" i="16"/>
  <c r="W605" i="16"/>
  <c r="I605" i="16"/>
  <c r="U605" i="16" s="1"/>
  <c r="V605" i="16" s="1"/>
  <c r="E605" i="16"/>
  <c r="W466" i="16"/>
  <c r="I466" i="16"/>
  <c r="U466" i="16" s="1"/>
  <c r="V466" i="16" s="1"/>
  <c r="E466" i="16"/>
  <c r="W498" i="16"/>
  <c r="I498" i="16"/>
  <c r="U498" i="16" s="1"/>
  <c r="V498" i="16" s="1"/>
  <c r="E498" i="16"/>
  <c r="W561" i="16"/>
  <c r="I561" i="16"/>
  <c r="U561" i="16" s="1"/>
  <c r="V561" i="16" s="1"/>
  <c r="E561" i="16"/>
  <c r="W453" i="16"/>
  <c r="I453" i="16"/>
  <c r="U453" i="16" s="1"/>
  <c r="V453" i="16" s="1"/>
  <c r="E453" i="16"/>
  <c r="W560" i="16"/>
  <c r="I560" i="16"/>
  <c r="U560" i="16" s="1"/>
  <c r="V560" i="16" s="1"/>
  <c r="E560" i="16"/>
  <c r="W400" i="16"/>
  <c r="I400" i="16"/>
  <c r="U400" i="16" s="1"/>
  <c r="V400" i="16" s="1"/>
  <c r="E400" i="16"/>
  <c r="W533" i="16"/>
  <c r="I533" i="16"/>
  <c r="U533" i="16" s="1"/>
  <c r="V533" i="16" s="1"/>
  <c r="E533" i="16"/>
  <c r="W486" i="16"/>
  <c r="I486" i="16"/>
  <c r="U486" i="16" s="1"/>
  <c r="V486" i="16" s="1"/>
  <c r="E486" i="16"/>
  <c r="W604" i="16"/>
  <c r="I604" i="16"/>
  <c r="U604" i="16" s="1"/>
  <c r="V604" i="16" s="1"/>
  <c r="E604" i="16"/>
  <c r="W399" i="16"/>
  <c r="I399" i="16"/>
  <c r="U399" i="16" s="1"/>
  <c r="V399" i="16" s="1"/>
  <c r="E399" i="16"/>
  <c r="W330" i="16"/>
  <c r="I330" i="16"/>
  <c r="U330" i="16" s="1"/>
  <c r="V330" i="16" s="1"/>
  <c r="E330" i="16"/>
  <c r="W603" i="16"/>
  <c r="I603" i="16"/>
  <c r="U603" i="16" s="1"/>
  <c r="V603" i="16" s="1"/>
  <c r="E603" i="16"/>
  <c r="W428" i="16"/>
  <c r="I428" i="16"/>
  <c r="U428" i="16" s="1"/>
  <c r="V428" i="16" s="1"/>
  <c r="E428" i="16"/>
  <c r="W342" i="16"/>
  <c r="I342" i="16"/>
  <c r="U342" i="16" s="1"/>
  <c r="V342" i="16" s="1"/>
  <c r="E342" i="16"/>
  <c r="W532" i="16"/>
  <c r="I532" i="16"/>
  <c r="U532" i="16" s="1"/>
  <c r="V532" i="16" s="1"/>
  <c r="E532" i="16"/>
  <c r="W438" i="16"/>
  <c r="I438" i="16"/>
  <c r="U438" i="16" s="1"/>
  <c r="V438" i="16" s="1"/>
  <c r="E438" i="16"/>
  <c r="W602" i="16"/>
  <c r="I602" i="16"/>
  <c r="U602" i="16" s="1"/>
  <c r="V602" i="16" s="1"/>
  <c r="E602" i="16"/>
  <c r="W601" i="16"/>
  <c r="I601" i="16"/>
  <c r="U601" i="16" s="1"/>
  <c r="V601" i="16" s="1"/>
  <c r="E601" i="16"/>
  <c r="W497" i="16"/>
  <c r="I497" i="16"/>
  <c r="U497" i="16" s="1"/>
  <c r="V497" i="16" s="1"/>
  <c r="E497" i="16"/>
  <c r="W442" i="16"/>
  <c r="I442" i="16"/>
  <c r="U442" i="16" s="1"/>
  <c r="V442" i="16" s="1"/>
  <c r="E442" i="16"/>
  <c r="W360" i="16"/>
  <c r="I360" i="16"/>
  <c r="U360" i="16" s="1"/>
  <c r="V360" i="16" s="1"/>
  <c r="E360" i="16"/>
  <c r="W434" i="16"/>
  <c r="I434" i="16"/>
  <c r="U434" i="16" s="1"/>
  <c r="V434" i="16" s="1"/>
  <c r="E434" i="16"/>
  <c r="W477" i="16"/>
  <c r="I477" i="16"/>
  <c r="U477" i="16" s="1"/>
  <c r="V477" i="16" s="1"/>
  <c r="E477" i="16"/>
  <c r="W465" i="16"/>
  <c r="I465" i="16"/>
  <c r="U465" i="16" s="1"/>
  <c r="V465" i="16" s="1"/>
  <c r="E465" i="16"/>
  <c r="W485" i="16"/>
  <c r="I485" i="16"/>
  <c r="U485" i="16" s="1"/>
  <c r="V485" i="16" s="1"/>
  <c r="E485" i="16"/>
  <c r="W408" i="16"/>
  <c r="I408" i="16"/>
  <c r="U408" i="16" s="1"/>
  <c r="V408" i="16" s="1"/>
  <c r="E408" i="16"/>
  <c r="W311" i="16"/>
  <c r="I311" i="16"/>
  <c r="U311" i="16" s="1"/>
  <c r="V311" i="16" s="1"/>
  <c r="E311" i="16"/>
  <c r="W404" i="16"/>
  <c r="I404" i="16"/>
  <c r="U404" i="16" s="1"/>
  <c r="V404" i="16" s="1"/>
  <c r="E404" i="16"/>
  <c r="W510" i="16"/>
  <c r="I510" i="16"/>
  <c r="U510" i="16" s="1"/>
  <c r="V510" i="16" s="1"/>
  <c r="E510" i="16"/>
  <c r="W531" i="16"/>
  <c r="I531" i="16"/>
  <c r="U531" i="16" s="1"/>
  <c r="V531" i="16" s="1"/>
  <c r="E531" i="16"/>
  <c r="W559" i="16"/>
  <c r="I559" i="16"/>
  <c r="U559" i="16" s="1"/>
  <c r="V559" i="16" s="1"/>
  <c r="E559" i="16"/>
  <c r="W476" i="16"/>
  <c r="I476" i="16"/>
  <c r="U476" i="16" s="1"/>
  <c r="V476" i="16" s="1"/>
  <c r="E476" i="16"/>
  <c r="W517" i="16"/>
  <c r="I517" i="16"/>
  <c r="U517" i="16" s="1"/>
  <c r="V517" i="16" s="1"/>
  <c r="E517" i="16"/>
  <c r="W600" i="16"/>
  <c r="I600" i="16"/>
  <c r="U600" i="16" s="1"/>
  <c r="V600" i="16" s="1"/>
  <c r="E600" i="16"/>
  <c r="W599" i="16"/>
  <c r="I599" i="16"/>
  <c r="U599" i="16" s="1"/>
  <c r="V599" i="16" s="1"/>
  <c r="E599" i="16"/>
  <c r="W558" i="16"/>
  <c r="I558" i="16"/>
  <c r="U558" i="16" s="1"/>
  <c r="V558" i="16" s="1"/>
  <c r="E558" i="16"/>
  <c r="W557" i="16"/>
  <c r="I557" i="16"/>
  <c r="U557" i="16" s="1"/>
  <c r="V557" i="16" s="1"/>
  <c r="E557" i="16"/>
  <c r="W598" i="16"/>
  <c r="I598" i="16"/>
  <c r="U598" i="16" s="1"/>
  <c r="V598" i="16" s="1"/>
  <c r="E598" i="16"/>
  <c r="W452" i="16"/>
  <c r="I452" i="16"/>
  <c r="U452" i="16" s="1"/>
  <c r="V452" i="16" s="1"/>
  <c r="E452" i="16"/>
  <c r="W597" i="16"/>
  <c r="I597" i="16"/>
  <c r="U597" i="16" s="1"/>
  <c r="V597" i="16" s="1"/>
  <c r="E597" i="16"/>
  <c r="W596" i="16"/>
  <c r="I596" i="16"/>
  <c r="U596" i="16" s="1"/>
  <c r="V596" i="16" s="1"/>
  <c r="E596" i="16"/>
  <c r="W556" i="16"/>
  <c r="I556" i="16"/>
  <c r="U556" i="16" s="1"/>
  <c r="V556" i="16" s="1"/>
  <c r="E556" i="16"/>
  <c r="W509" i="16"/>
  <c r="I509" i="16"/>
  <c r="U509" i="16" s="1"/>
  <c r="V509" i="16" s="1"/>
  <c r="E509" i="16"/>
  <c r="W595" i="16"/>
  <c r="I595" i="16"/>
  <c r="U595" i="16" s="1"/>
  <c r="V595" i="16" s="1"/>
  <c r="E595" i="16"/>
  <c r="W407" i="16"/>
  <c r="I407" i="16"/>
  <c r="U407" i="16" s="1"/>
  <c r="V407" i="16" s="1"/>
  <c r="E407" i="16"/>
  <c r="W464" i="16"/>
  <c r="I464" i="16"/>
  <c r="U464" i="16" s="1"/>
  <c r="V464" i="16" s="1"/>
  <c r="E464" i="16"/>
  <c r="W309" i="16"/>
  <c r="I309" i="16"/>
  <c r="U309" i="16" s="1"/>
  <c r="V309" i="16" s="1"/>
  <c r="E309" i="16"/>
  <c r="W433" i="16"/>
  <c r="I433" i="16"/>
  <c r="U433" i="16" s="1"/>
  <c r="V433" i="16" s="1"/>
  <c r="E433" i="16"/>
  <c r="W331" i="16"/>
  <c r="I331" i="16"/>
  <c r="U331" i="16" s="1"/>
  <c r="V331" i="16" s="1"/>
  <c r="E331" i="16"/>
  <c r="W555" i="16"/>
  <c r="I555" i="16"/>
  <c r="U555" i="16" s="1"/>
  <c r="V555" i="16" s="1"/>
  <c r="E555" i="16"/>
  <c r="W451" i="16"/>
  <c r="I451" i="16"/>
  <c r="U451" i="16" s="1"/>
  <c r="V451" i="16" s="1"/>
  <c r="E451" i="16"/>
  <c r="W412" i="16"/>
  <c r="I412" i="16"/>
  <c r="U412" i="16" s="1"/>
  <c r="V412" i="16" s="1"/>
  <c r="E412" i="16"/>
  <c r="W554" i="16"/>
  <c r="I554" i="16"/>
  <c r="U554" i="16" s="1"/>
  <c r="V554" i="16" s="1"/>
  <c r="E554" i="16"/>
  <c r="W594" i="16"/>
  <c r="I594" i="16"/>
  <c r="U594" i="16" s="1"/>
  <c r="V594" i="16" s="1"/>
  <c r="E594" i="16"/>
  <c r="W508" i="16"/>
  <c r="I508" i="16"/>
  <c r="U508" i="16" s="1"/>
  <c r="V508" i="16" s="1"/>
  <c r="E508" i="16"/>
  <c r="W516" i="16"/>
  <c r="I516" i="16"/>
  <c r="U516" i="16" s="1"/>
  <c r="V516" i="16" s="1"/>
  <c r="E516" i="16"/>
  <c r="W423" i="16"/>
  <c r="I423" i="16"/>
  <c r="U423" i="16" s="1"/>
  <c r="V423" i="16" s="1"/>
  <c r="E423" i="16"/>
  <c r="W277" i="16"/>
  <c r="I277" i="16"/>
  <c r="U277" i="16" s="1"/>
  <c r="V277" i="16" s="1"/>
  <c r="E277" i="16"/>
  <c r="W285" i="16"/>
  <c r="I285" i="16"/>
  <c r="U285" i="16" s="1"/>
  <c r="V285" i="16" s="1"/>
  <c r="E285" i="16"/>
  <c r="W278" i="16"/>
  <c r="I278" i="16"/>
  <c r="U278" i="16" s="1"/>
  <c r="V278" i="16" s="1"/>
  <c r="E278" i="16"/>
  <c r="W275" i="16"/>
  <c r="I275" i="16"/>
  <c r="U275" i="16" s="1"/>
  <c r="V275" i="16" s="1"/>
  <c r="E275" i="16"/>
  <c r="W377" i="16"/>
  <c r="I377" i="16"/>
  <c r="U377" i="16" s="1"/>
  <c r="V377" i="16" s="1"/>
  <c r="E377" i="16"/>
  <c r="W313" i="16"/>
  <c r="I313" i="16"/>
  <c r="U313" i="16" s="1"/>
  <c r="V313" i="16" s="1"/>
  <c r="E313" i="16"/>
  <c r="W347" i="16"/>
  <c r="I347" i="16"/>
  <c r="U347" i="16" s="1"/>
  <c r="V347" i="16" s="1"/>
  <c r="E347" i="16"/>
  <c r="W380" i="16"/>
  <c r="I380" i="16"/>
  <c r="U380" i="16" s="1"/>
  <c r="V380" i="16" s="1"/>
  <c r="E380" i="16"/>
  <c r="W352" i="16"/>
  <c r="I352" i="16"/>
  <c r="U352" i="16" s="1"/>
  <c r="V352" i="16" s="1"/>
  <c r="E352" i="16"/>
  <c r="W299" i="16"/>
  <c r="I299" i="16"/>
  <c r="U299" i="16" s="1"/>
  <c r="V299" i="16" s="1"/>
  <c r="E299" i="16"/>
  <c r="W484" i="16"/>
  <c r="I484" i="16"/>
  <c r="U484" i="16" s="1"/>
  <c r="V484" i="16" s="1"/>
  <c r="E484" i="16"/>
  <c r="W593" i="16"/>
  <c r="I593" i="16"/>
  <c r="U593" i="16" s="1"/>
  <c r="V593" i="16" s="1"/>
  <c r="E593" i="16"/>
  <c r="W318" i="16"/>
  <c r="I318" i="16"/>
  <c r="U318" i="16" s="1"/>
  <c r="V318" i="16" s="1"/>
  <c r="E318" i="16"/>
  <c r="W343" i="16"/>
  <c r="I343" i="16"/>
  <c r="U343" i="16" s="1"/>
  <c r="V343" i="16" s="1"/>
  <c r="E343" i="16"/>
  <c r="W475" i="16"/>
  <c r="I475" i="16"/>
  <c r="U475" i="16" s="1"/>
  <c r="V475" i="16" s="1"/>
  <c r="E475" i="16"/>
  <c r="W341" i="16"/>
  <c r="I341" i="16"/>
  <c r="U341" i="16" s="1"/>
  <c r="V341" i="16" s="1"/>
  <c r="E341" i="16"/>
  <c r="W422" i="16"/>
  <c r="I422" i="16"/>
  <c r="U422" i="16" s="1"/>
  <c r="V422" i="16" s="1"/>
  <c r="E422" i="16"/>
  <c r="W592" i="16"/>
  <c r="I592" i="16"/>
  <c r="U592" i="16" s="1"/>
  <c r="V592" i="16" s="1"/>
  <c r="E592" i="16"/>
  <c r="W398" i="16"/>
  <c r="I398" i="16"/>
  <c r="U398" i="16" s="1"/>
  <c r="V398" i="16" s="1"/>
  <c r="E398" i="16"/>
  <c r="W366" i="16"/>
  <c r="I366" i="16"/>
  <c r="U366" i="16" s="1"/>
  <c r="V366" i="16" s="1"/>
  <c r="E366" i="16"/>
  <c r="W591" i="16"/>
  <c r="I591" i="16"/>
  <c r="U591" i="16" s="1"/>
  <c r="V591" i="16" s="1"/>
  <c r="E591" i="16"/>
  <c r="W376" i="16"/>
  <c r="I376" i="16"/>
  <c r="U376" i="16" s="1"/>
  <c r="V376" i="16" s="1"/>
  <c r="E376" i="16"/>
  <c r="W372" i="16"/>
  <c r="I372" i="16"/>
  <c r="U372" i="16" s="1"/>
  <c r="V372" i="16" s="1"/>
  <c r="E372" i="16"/>
  <c r="W355" i="16"/>
  <c r="I355" i="16"/>
  <c r="U355" i="16" s="1"/>
  <c r="V355" i="16" s="1"/>
  <c r="E355" i="16"/>
  <c r="W553" i="16"/>
  <c r="I553" i="16"/>
  <c r="U553" i="16" s="1"/>
  <c r="V553" i="16" s="1"/>
  <c r="E553" i="16"/>
  <c r="W552" i="16"/>
  <c r="I552" i="16"/>
  <c r="U552" i="16" s="1"/>
  <c r="V552" i="16" s="1"/>
  <c r="E552" i="16"/>
  <c r="W551" i="16"/>
  <c r="I551" i="16"/>
  <c r="U551" i="16" s="1"/>
  <c r="V551" i="16" s="1"/>
  <c r="E551" i="16"/>
  <c r="W361" i="16"/>
  <c r="I361" i="16"/>
  <c r="U361" i="16" s="1"/>
  <c r="V361" i="16" s="1"/>
  <c r="E361" i="16"/>
  <c r="W450" i="16"/>
  <c r="I450" i="16"/>
  <c r="U450" i="16" s="1"/>
  <c r="V450" i="16" s="1"/>
  <c r="E450" i="16"/>
  <c r="W359" i="16"/>
  <c r="I359" i="16"/>
  <c r="U359" i="16" s="1"/>
  <c r="V359" i="16" s="1"/>
  <c r="E359" i="16"/>
  <c r="W344" i="16"/>
  <c r="I344" i="16"/>
  <c r="U344" i="16" s="1"/>
  <c r="V344" i="16" s="1"/>
  <c r="E344" i="16"/>
  <c r="W391" i="16"/>
  <c r="I391" i="16"/>
  <c r="U391" i="16" s="1"/>
  <c r="V391" i="16" s="1"/>
  <c r="E391" i="16"/>
  <c r="W386" i="16"/>
  <c r="I386" i="16"/>
  <c r="U386" i="16" s="1"/>
  <c r="V386" i="16" s="1"/>
  <c r="E386" i="16"/>
  <c r="W274" i="16"/>
  <c r="I274" i="16"/>
  <c r="U274" i="16" s="1"/>
  <c r="V274" i="16" s="1"/>
  <c r="E274" i="16"/>
  <c r="W298" i="16"/>
  <c r="I298" i="16"/>
  <c r="U298" i="16" s="1"/>
  <c r="V298" i="16" s="1"/>
  <c r="E298" i="16"/>
  <c r="W264" i="16"/>
  <c r="I264" i="16"/>
  <c r="U264" i="16" s="1"/>
  <c r="V264" i="16" s="1"/>
  <c r="E264" i="16"/>
  <c r="W474" i="16"/>
  <c r="I474" i="16"/>
  <c r="U474" i="16" s="1"/>
  <c r="V474" i="16" s="1"/>
  <c r="E474" i="16"/>
  <c r="W483" i="16"/>
  <c r="I483" i="16"/>
  <c r="U483" i="16" s="1"/>
  <c r="V483" i="16" s="1"/>
  <c r="E483" i="16"/>
  <c r="W432" i="16"/>
  <c r="I432" i="16"/>
  <c r="U432" i="16" s="1"/>
  <c r="V432" i="16" s="1"/>
  <c r="E432" i="16"/>
  <c r="W507" i="16"/>
  <c r="I507" i="16"/>
  <c r="U507" i="16" s="1"/>
  <c r="V507" i="16" s="1"/>
  <c r="E507" i="16"/>
  <c r="W371" i="16"/>
  <c r="I371" i="16"/>
  <c r="U371" i="16" s="1"/>
  <c r="V371" i="16" s="1"/>
  <c r="E371" i="16"/>
  <c r="W365" i="16"/>
  <c r="I365" i="16"/>
  <c r="U365" i="16" s="1"/>
  <c r="V365" i="16" s="1"/>
  <c r="E365" i="16"/>
  <c r="W621" i="16"/>
  <c r="I621" i="16"/>
  <c r="U621" i="16" s="1"/>
  <c r="V621" i="16" s="1"/>
  <c r="E621" i="16"/>
  <c r="W329" i="16"/>
  <c r="I329" i="16"/>
  <c r="U329" i="16" s="1"/>
  <c r="V329" i="16" s="1"/>
  <c r="E329" i="16"/>
  <c r="W427" i="16"/>
  <c r="I427" i="16"/>
  <c r="U427" i="16" s="1"/>
  <c r="V427" i="16" s="1"/>
  <c r="E427" i="16"/>
  <c r="W282" i="16"/>
  <c r="I282" i="16"/>
  <c r="U282" i="16" s="1"/>
  <c r="V282" i="16" s="1"/>
  <c r="E282" i="16"/>
  <c r="W370" i="16"/>
  <c r="I370" i="16"/>
  <c r="U370" i="16" s="1"/>
  <c r="V370" i="16" s="1"/>
  <c r="E370" i="16"/>
  <c r="W416" i="16"/>
  <c r="I416" i="16"/>
  <c r="U416" i="16" s="1"/>
  <c r="V416" i="16" s="1"/>
  <c r="E416" i="16"/>
  <c r="W530" i="16"/>
  <c r="I530" i="16"/>
  <c r="U530" i="16" s="1"/>
  <c r="V530" i="16" s="1"/>
  <c r="E530" i="16"/>
  <c r="W515" i="16"/>
  <c r="I515" i="16"/>
  <c r="U515" i="16" s="1"/>
  <c r="V515" i="16" s="1"/>
  <c r="E515" i="16"/>
  <c r="W496" i="16"/>
  <c r="I496" i="16"/>
  <c r="U496" i="16" s="1"/>
  <c r="V496" i="16" s="1"/>
  <c r="E496" i="16"/>
  <c r="W506" i="16"/>
  <c r="I506" i="16"/>
  <c r="U506" i="16" s="1"/>
  <c r="V506" i="16" s="1"/>
  <c r="E506" i="16"/>
  <c r="W590" i="16"/>
  <c r="I590" i="16"/>
  <c r="U590" i="16" s="1"/>
  <c r="V590" i="16" s="1"/>
  <c r="E590" i="16"/>
  <c r="W300" i="16"/>
  <c r="I300" i="16"/>
  <c r="U300" i="16" s="1"/>
  <c r="V300" i="16" s="1"/>
  <c r="E300" i="16"/>
  <c r="W340" i="16"/>
  <c r="I340" i="16"/>
  <c r="U340" i="16" s="1"/>
  <c r="V340" i="16" s="1"/>
  <c r="E340" i="16"/>
  <c r="W390" i="16"/>
  <c r="I390" i="16"/>
  <c r="U390" i="16" s="1"/>
  <c r="V390" i="16" s="1"/>
  <c r="E390" i="16"/>
  <c r="W406" i="16"/>
  <c r="I406" i="16"/>
  <c r="U406" i="16" s="1"/>
  <c r="V406" i="16" s="1"/>
  <c r="E406" i="16"/>
  <c r="W473" i="16"/>
  <c r="I473" i="16"/>
  <c r="U473" i="16" s="1"/>
  <c r="V473" i="16" s="1"/>
  <c r="E473" i="16"/>
  <c r="W482" i="16"/>
  <c r="I482" i="16"/>
  <c r="U482" i="16" s="1"/>
  <c r="V482" i="16" s="1"/>
  <c r="E482" i="16"/>
  <c r="W316" i="16"/>
  <c r="I316" i="16"/>
  <c r="U316" i="16" s="1"/>
  <c r="V316" i="16" s="1"/>
  <c r="E316" i="16"/>
  <c r="W529" i="16"/>
  <c r="I529" i="16"/>
  <c r="U529" i="16" s="1"/>
  <c r="V529" i="16" s="1"/>
  <c r="E529" i="16"/>
  <c r="W332" i="16"/>
  <c r="I332" i="16"/>
  <c r="U332" i="16" s="1"/>
  <c r="V332" i="16" s="1"/>
  <c r="E332" i="16"/>
  <c r="W441" i="16"/>
  <c r="I441" i="16"/>
  <c r="U441" i="16" s="1"/>
  <c r="V441" i="16" s="1"/>
  <c r="E441" i="16"/>
  <c r="W440" i="16"/>
  <c r="I440" i="16"/>
  <c r="U440" i="16" s="1"/>
  <c r="V440" i="16" s="1"/>
  <c r="E440" i="16"/>
  <c r="W369" i="16"/>
  <c r="I369" i="16"/>
  <c r="U369" i="16" s="1"/>
  <c r="V369" i="16" s="1"/>
  <c r="E369" i="16"/>
  <c r="W337" i="16"/>
  <c r="I337" i="16"/>
  <c r="U337" i="16" s="1"/>
  <c r="V337" i="16" s="1"/>
  <c r="E337" i="16"/>
  <c r="W351" i="16"/>
  <c r="I351" i="16"/>
  <c r="U351" i="16" s="1"/>
  <c r="V351" i="16" s="1"/>
  <c r="E351" i="16"/>
  <c r="W294" i="16"/>
  <c r="I294" i="16"/>
  <c r="U294" i="16" s="1"/>
  <c r="V294" i="16" s="1"/>
  <c r="E294" i="16"/>
  <c r="W284" i="16"/>
  <c r="I284" i="16"/>
  <c r="U284" i="16" s="1"/>
  <c r="V284" i="16" s="1"/>
  <c r="E284" i="16"/>
  <c r="W495" i="16"/>
  <c r="I495" i="16"/>
  <c r="U495" i="16" s="1"/>
  <c r="V495" i="16" s="1"/>
  <c r="E495" i="16"/>
  <c r="W270" i="16"/>
  <c r="I270" i="16"/>
  <c r="U270" i="16" s="1"/>
  <c r="V270" i="16" s="1"/>
  <c r="E270" i="16"/>
  <c r="W346" i="16"/>
  <c r="I346" i="16"/>
  <c r="U346" i="16" s="1"/>
  <c r="V346" i="16" s="1"/>
  <c r="E346" i="16"/>
  <c r="W589" i="16"/>
  <c r="I589" i="16"/>
  <c r="U589" i="16" s="1"/>
  <c r="V589" i="16" s="1"/>
  <c r="E589" i="16"/>
  <c r="W494" i="16"/>
  <c r="I494" i="16"/>
  <c r="U494" i="16" s="1"/>
  <c r="V494" i="16" s="1"/>
  <c r="E494" i="16"/>
  <c r="W463" i="16"/>
  <c r="I463" i="16"/>
  <c r="U463" i="16" s="1"/>
  <c r="V463" i="16" s="1"/>
  <c r="E463" i="16"/>
  <c r="W588" i="16"/>
  <c r="I588" i="16"/>
  <c r="U588" i="16" s="1"/>
  <c r="V588" i="16" s="1"/>
  <c r="E588" i="16"/>
  <c r="W385" i="16"/>
  <c r="I385" i="16"/>
  <c r="U385" i="16" s="1"/>
  <c r="V385" i="16" s="1"/>
  <c r="E385" i="16"/>
  <c r="W310" i="16"/>
  <c r="I310" i="16"/>
  <c r="U310" i="16" s="1"/>
  <c r="V310" i="16" s="1"/>
  <c r="E310" i="16"/>
  <c r="W291" i="16"/>
  <c r="I291" i="16"/>
  <c r="U291" i="16" s="1"/>
  <c r="V291" i="16" s="1"/>
  <c r="E291" i="16"/>
  <c r="W314" i="16"/>
  <c r="I314" i="16"/>
  <c r="U314" i="16" s="1"/>
  <c r="V314" i="16" s="1"/>
  <c r="E314" i="16"/>
  <c r="W272" i="16"/>
  <c r="I272" i="16"/>
  <c r="U272" i="16" s="1"/>
  <c r="V272" i="16" s="1"/>
  <c r="E272" i="16"/>
  <c r="W587" i="16"/>
  <c r="I587" i="16"/>
  <c r="U587" i="16" s="1"/>
  <c r="V587" i="16" s="1"/>
  <c r="E587" i="16"/>
  <c r="W550" i="16"/>
  <c r="I550" i="16"/>
  <c r="U550" i="16" s="1"/>
  <c r="V550" i="16" s="1"/>
  <c r="E550" i="16"/>
  <c r="W293" i="16"/>
  <c r="I293" i="16"/>
  <c r="U293" i="16" s="1"/>
  <c r="V293" i="16" s="1"/>
  <c r="E293" i="16"/>
  <c r="W265" i="16"/>
  <c r="I265" i="16"/>
  <c r="U265" i="16" s="1"/>
  <c r="V265" i="16" s="1"/>
  <c r="E265" i="16"/>
  <c r="W269" i="16"/>
  <c r="I269" i="16"/>
  <c r="U269" i="16" s="1"/>
  <c r="V269" i="16" s="1"/>
  <c r="E269" i="16"/>
  <c r="W289" i="16"/>
  <c r="I289" i="16"/>
  <c r="U289" i="16" s="1"/>
  <c r="V289" i="16" s="1"/>
  <c r="E289" i="16"/>
  <c r="W444" i="16"/>
  <c r="I444" i="16"/>
  <c r="U444" i="16" s="1"/>
  <c r="V444" i="16" s="1"/>
  <c r="E444" i="16"/>
  <c r="W493" i="16"/>
  <c r="I493" i="16"/>
  <c r="U493" i="16" s="1"/>
  <c r="V493" i="16" s="1"/>
  <c r="E493" i="16"/>
  <c r="W396" i="16"/>
  <c r="I396" i="16"/>
  <c r="U396" i="16" s="1"/>
  <c r="V396" i="16" s="1"/>
  <c r="E396" i="16"/>
  <c r="W312" i="16"/>
  <c r="I312" i="16"/>
  <c r="U312" i="16" s="1"/>
  <c r="V312" i="16" s="1"/>
  <c r="E312" i="16"/>
  <c r="W357" i="16"/>
  <c r="I357" i="16"/>
  <c r="U357" i="16" s="1"/>
  <c r="V357" i="16" s="1"/>
  <c r="E357" i="16"/>
  <c r="W384" i="16"/>
  <c r="I384" i="16"/>
  <c r="U384" i="16" s="1"/>
  <c r="V384" i="16" s="1"/>
  <c r="E384" i="16"/>
  <c r="W528" i="16"/>
  <c r="I528" i="16"/>
  <c r="U528" i="16" s="1"/>
  <c r="V528" i="16" s="1"/>
  <c r="E528" i="16"/>
  <c r="W290" i="16"/>
  <c r="I290" i="16"/>
  <c r="U290" i="16" s="1"/>
  <c r="V290" i="16" s="1"/>
  <c r="E290" i="16"/>
  <c r="W288" i="16"/>
  <c r="I288" i="16"/>
  <c r="U288" i="16" s="1"/>
  <c r="V288" i="16" s="1"/>
  <c r="E288" i="16"/>
  <c r="W403" i="16"/>
  <c r="I403" i="16"/>
  <c r="U403" i="16" s="1"/>
  <c r="V403" i="16" s="1"/>
  <c r="E403" i="16"/>
  <c r="W323" i="16"/>
  <c r="I323" i="16"/>
  <c r="U323" i="16" s="1"/>
  <c r="V323" i="16" s="1"/>
  <c r="E323" i="16"/>
  <c r="W336" i="16"/>
  <c r="I336" i="16"/>
  <c r="U336" i="16" s="1"/>
  <c r="V336" i="16" s="1"/>
  <c r="E336" i="16"/>
  <c r="W411" i="16"/>
  <c r="I411" i="16"/>
  <c r="U411" i="16" s="1"/>
  <c r="V411" i="16" s="1"/>
  <c r="E411" i="16"/>
  <c r="W449" i="16"/>
  <c r="I449" i="16"/>
  <c r="U449" i="16" s="1"/>
  <c r="V449" i="16" s="1"/>
  <c r="E449" i="16"/>
  <c r="W354" i="16"/>
  <c r="I354" i="16"/>
  <c r="U354" i="16" s="1"/>
  <c r="V354" i="16" s="1"/>
  <c r="E354" i="16"/>
  <c r="W324" i="16"/>
  <c r="I324" i="16"/>
  <c r="U324" i="16" s="1"/>
  <c r="V324" i="16" s="1"/>
  <c r="E324" i="16"/>
  <c r="W292" i="16"/>
  <c r="I292" i="16"/>
  <c r="U292" i="16" s="1"/>
  <c r="V292" i="16" s="1"/>
  <c r="E292" i="16"/>
  <c r="W410" i="16"/>
  <c r="I410" i="16"/>
  <c r="U410" i="16" s="1"/>
  <c r="V410" i="16" s="1"/>
  <c r="E410" i="16"/>
  <c r="W402" i="16"/>
  <c r="I402" i="16"/>
  <c r="U402" i="16" s="1"/>
  <c r="V402" i="16" s="1"/>
  <c r="E402" i="16"/>
  <c r="W322" i="16"/>
  <c r="I322" i="16"/>
  <c r="U322" i="16" s="1"/>
  <c r="V322" i="16" s="1"/>
  <c r="E322" i="16"/>
  <c r="W281" i="16"/>
  <c r="I281" i="16"/>
  <c r="U281" i="16" s="1"/>
  <c r="V281" i="16" s="1"/>
  <c r="E281" i="16"/>
  <c r="W358" i="16"/>
  <c r="I358" i="16"/>
  <c r="U358" i="16" s="1"/>
  <c r="V358" i="16" s="1"/>
  <c r="E358" i="16"/>
  <c r="W321" i="16"/>
  <c r="I321" i="16"/>
  <c r="U321" i="16" s="1"/>
  <c r="V321" i="16" s="1"/>
  <c r="E321" i="16"/>
  <c r="W320" i="16"/>
  <c r="I320" i="16"/>
  <c r="U320" i="16" s="1"/>
  <c r="V320" i="16" s="1"/>
  <c r="E320" i="16"/>
  <c r="W283" i="16"/>
  <c r="I283" i="16"/>
  <c r="U283" i="16" s="1"/>
  <c r="V283" i="16" s="1"/>
  <c r="E283" i="16"/>
  <c r="W389" i="16"/>
  <c r="I389" i="16"/>
  <c r="U389" i="16" s="1"/>
  <c r="V389" i="16" s="1"/>
  <c r="E389" i="16"/>
  <c r="W306" i="16"/>
  <c r="I306" i="16"/>
  <c r="U306" i="16" s="1"/>
  <c r="V306" i="16" s="1"/>
  <c r="E306" i="16"/>
  <c r="W415" i="16"/>
  <c r="I415" i="16"/>
  <c r="U415" i="16" s="1"/>
  <c r="V415" i="16" s="1"/>
  <c r="E415" i="16"/>
  <c r="W350" i="16"/>
  <c r="I350" i="16"/>
  <c r="U350" i="16" s="1"/>
  <c r="V350" i="16" s="1"/>
  <c r="E350" i="16"/>
  <c r="W379" i="16"/>
  <c r="I379" i="16"/>
  <c r="U379" i="16" s="1"/>
  <c r="V379" i="16" s="1"/>
  <c r="E379" i="16"/>
  <c r="W368" i="16"/>
  <c r="I368" i="16"/>
  <c r="U368" i="16" s="1"/>
  <c r="V368" i="16" s="1"/>
  <c r="E368" i="16"/>
  <c r="W462" i="16"/>
  <c r="I462" i="16"/>
  <c r="U462" i="16" s="1"/>
  <c r="V462" i="16" s="1"/>
  <c r="E462" i="16"/>
  <c r="W549" i="16"/>
  <c r="I549" i="16"/>
  <c r="U549" i="16" s="1"/>
  <c r="V549" i="16" s="1"/>
  <c r="E549" i="16"/>
  <c r="W395" i="16"/>
  <c r="I395" i="16"/>
  <c r="U395" i="16" s="1"/>
  <c r="V395" i="16" s="1"/>
  <c r="E395" i="16"/>
  <c r="W586" i="16"/>
  <c r="I586" i="16"/>
  <c r="U586" i="16" s="1"/>
  <c r="V586" i="16" s="1"/>
  <c r="E586" i="16"/>
  <c r="W585" i="16"/>
  <c r="I585" i="16"/>
  <c r="U585" i="16" s="1"/>
  <c r="V585" i="16" s="1"/>
  <c r="E585" i="16"/>
  <c r="W584" i="16"/>
  <c r="I584" i="16"/>
  <c r="U584" i="16" s="1"/>
  <c r="V584" i="16" s="1"/>
  <c r="E584" i="16"/>
  <c r="W583" i="16"/>
  <c r="I583" i="16"/>
  <c r="U583" i="16" s="1"/>
  <c r="V583" i="16" s="1"/>
  <c r="E583" i="16"/>
  <c r="W319" i="16"/>
  <c r="I319" i="16"/>
  <c r="U319" i="16" s="1"/>
  <c r="V319" i="16" s="1"/>
  <c r="E319" i="16"/>
  <c r="W548" i="16"/>
  <c r="I548" i="16"/>
  <c r="U548" i="16" s="1"/>
  <c r="V548" i="16" s="1"/>
  <c r="E548" i="16"/>
  <c r="W268" i="16"/>
  <c r="I268" i="16"/>
  <c r="U268" i="16" s="1"/>
  <c r="V268" i="16" s="1"/>
  <c r="E268" i="16"/>
  <c r="W461" i="16"/>
  <c r="I461" i="16"/>
  <c r="U461" i="16" s="1"/>
  <c r="V461" i="16" s="1"/>
  <c r="E461" i="16"/>
  <c r="W582" i="16"/>
  <c r="I582" i="16"/>
  <c r="U582" i="16" s="1"/>
  <c r="V582" i="16" s="1"/>
  <c r="E582" i="16"/>
  <c r="W472" i="16"/>
  <c r="I472" i="16"/>
  <c r="U472" i="16" s="1"/>
  <c r="V472" i="16" s="1"/>
  <c r="E472" i="16"/>
  <c r="W471" i="16"/>
  <c r="I471" i="16"/>
  <c r="U471" i="16" s="1"/>
  <c r="V471" i="16" s="1"/>
  <c r="E471" i="16"/>
  <c r="W547" i="16"/>
  <c r="I547" i="16"/>
  <c r="U547" i="16" s="1"/>
  <c r="V547" i="16" s="1"/>
  <c r="E547" i="16"/>
  <c r="W581" i="16"/>
  <c r="I581" i="16"/>
  <c r="U581" i="16" s="1"/>
  <c r="V581" i="16" s="1"/>
  <c r="E581" i="16"/>
  <c r="W514" i="16"/>
  <c r="I514" i="16"/>
  <c r="U514" i="16" s="1"/>
  <c r="V514" i="16" s="1"/>
  <c r="E514" i="16"/>
  <c r="W580" i="16"/>
  <c r="I580" i="16"/>
  <c r="U580" i="16" s="1"/>
  <c r="V580" i="16" s="1"/>
  <c r="E580" i="16"/>
  <c r="W579" i="16"/>
  <c r="I579" i="16"/>
  <c r="U579" i="16" s="1"/>
  <c r="V579" i="16" s="1"/>
  <c r="E579" i="16"/>
  <c r="W527" i="16"/>
  <c r="I527" i="16"/>
  <c r="U527" i="16" s="1"/>
  <c r="V527" i="16" s="1"/>
  <c r="E527" i="16"/>
  <c r="W460" i="16"/>
  <c r="I460" i="16"/>
  <c r="U460" i="16" s="1"/>
  <c r="V460" i="16" s="1"/>
  <c r="E460" i="16"/>
  <c r="W459" i="16"/>
  <c r="I459" i="16"/>
  <c r="U459" i="16" s="1"/>
  <c r="V459" i="16" s="1"/>
  <c r="E459" i="16"/>
  <c r="W492" i="16"/>
  <c r="I492" i="16"/>
  <c r="U492" i="16" s="1"/>
  <c r="V492" i="16" s="1"/>
  <c r="E492" i="16"/>
  <c r="W431" i="16"/>
  <c r="I431" i="16"/>
  <c r="U431" i="16" s="1"/>
  <c r="V431" i="16" s="1"/>
  <c r="E431" i="16"/>
  <c r="W394" i="16"/>
  <c r="I394" i="16"/>
  <c r="U394" i="16" s="1"/>
  <c r="V394" i="16" s="1"/>
  <c r="E394" i="16"/>
  <c r="W546" i="16"/>
  <c r="I546" i="16"/>
  <c r="U546" i="16" s="1"/>
  <c r="V546" i="16" s="1"/>
  <c r="E546" i="16"/>
  <c r="W505" i="16"/>
  <c r="I505" i="16"/>
  <c r="U505" i="16" s="1"/>
  <c r="V505" i="16" s="1"/>
  <c r="E505" i="16"/>
  <c r="W448" i="16"/>
  <c r="I448" i="16"/>
  <c r="U448" i="16" s="1"/>
  <c r="V448" i="16" s="1"/>
  <c r="E448" i="16"/>
  <c r="W335" i="16"/>
  <c r="I335" i="16"/>
  <c r="U335" i="16" s="1"/>
  <c r="V335" i="16" s="1"/>
  <c r="E335" i="16"/>
  <c r="W458" i="16"/>
  <c r="I458" i="16"/>
  <c r="U458" i="16" s="1"/>
  <c r="V458" i="16" s="1"/>
  <c r="E458" i="16"/>
  <c r="W430" i="16"/>
  <c r="I430" i="16"/>
  <c r="U430" i="16" s="1"/>
  <c r="V430" i="16" s="1"/>
  <c r="E430" i="16"/>
  <c r="W383" i="16"/>
  <c r="I383" i="16"/>
  <c r="U383" i="16" s="1"/>
  <c r="V383" i="16" s="1"/>
  <c r="E383" i="16"/>
  <c r="W578" i="16"/>
  <c r="I578" i="16"/>
  <c r="U578" i="16" s="1"/>
  <c r="V578" i="16" s="1"/>
  <c r="E578" i="16"/>
  <c r="W577" i="16"/>
  <c r="I577" i="16"/>
  <c r="U577" i="16" s="1"/>
  <c r="V577" i="16" s="1"/>
  <c r="E577" i="16"/>
  <c r="W526" i="16"/>
  <c r="I526" i="16"/>
  <c r="U526" i="16" s="1"/>
  <c r="V526" i="16" s="1"/>
  <c r="E526" i="16"/>
  <c r="W576" i="16"/>
  <c r="I576" i="16"/>
  <c r="U576" i="16" s="1"/>
  <c r="V576" i="16" s="1"/>
  <c r="E576" i="16"/>
  <c r="W575" i="16"/>
  <c r="I575" i="16"/>
  <c r="U575" i="16" s="1"/>
  <c r="V575" i="16" s="1"/>
  <c r="E575" i="16"/>
  <c r="W574" i="16"/>
  <c r="I574" i="16"/>
  <c r="U574" i="16" s="1"/>
  <c r="V574" i="16" s="1"/>
  <c r="E574" i="16"/>
  <c r="W304" i="16"/>
  <c r="I304" i="16"/>
  <c r="U304" i="16" s="1"/>
  <c r="V304" i="16" s="1"/>
  <c r="E304" i="16"/>
  <c r="W421" i="16"/>
  <c r="I421" i="16"/>
  <c r="U421" i="16" s="1"/>
  <c r="V421" i="16" s="1"/>
  <c r="E421" i="16"/>
  <c r="W367" i="16"/>
  <c r="I367" i="16"/>
  <c r="U367" i="16" s="1"/>
  <c r="V367" i="16" s="1"/>
  <c r="E367" i="16"/>
  <c r="W504" i="16"/>
  <c r="I504" i="16"/>
  <c r="U504" i="16" s="1"/>
  <c r="V504" i="16" s="1"/>
  <c r="E504" i="16"/>
  <c r="W525" i="16"/>
  <c r="I525" i="16"/>
  <c r="U525" i="16" s="1"/>
  <c r="V525" i="16" s="1"/>
  <c r="E525" i="16"/>
  <c r="W524" i="16"/>
  <c r="I524" i="16"/>
  <c r="U524" i="16" s="1"/>
  <c r="V524" i="16" s="1"/>
  <c r="E524" i="16"/>
  <c r="W573" i="16"/>
  <c r="I573" i="16"/>
  <c r="U573" i="16" s="1"/>
  <c r="V573" i="16" s="1"/>
  <c r="E573" i="16"/>
  <c r="W491" i="16"/>
  <c r="I491" i="16"/>
  <c r="U491" i="16" s="1"/>
  <c r="V491" i="16" s="1"/>
  <c r="E491" i="16"/>
  <c r="W470" i="16"/>
  <c r="I470" i="16"/>
  <c r="U470" i="16" s="1"/>
  <c r="V470" i="16" s="1"/>
  <c r="E470" i="16"/>
  <c r="W545" i="16"/>
  <c r="I545" i="16"/>
  <c r="U545" i="16" s="1"/>
  <c r="V545" i="16" s="1"/>
  <c r="E545" i="16"/>
  <c r="W513" i="16"/>
  <c r="I513" i="16"/>
  <c r="U513" i="16" s="1"/>
  <c r="V513" i="16" s="1"/>
  <c r="E513" i="16"/>
  <c r="W457" i="16"/>
  <c r="I457" i="16"/>
  <c r="U457" i="16" s="1"/>
  <c r="V457" i="16" s="1"/>
  <c r="E457" i="16"/>
  <c r="W523" i="16"/>
  <c r="I523" i="16"/>
  <c r="U523" i="16" s="1"/>
  <c r="V523" i="16" s="1"/>
  <c r="E523" i="16"/>
  <c r="W544" i="16"/>
  <c r="I544" i="16"/>
  <c r="U544" i="16" s="1"/>
  <c r="V544" i="16" s="1"/>
  <c r="E544" i="16"/>
  <c r="W543" i="16"/>
  <c r="I543" i="16"/>
  <c r="U543" i="16" s="1"/>
  <c r="V543" i="16" s="1"/>
  <c r="E543" i="16"/>
  <c r="W447" i="16"/>
  <c r="I447" i="16"/>
  <c r="U447" i="16" s="1"/>
  <c r="V447" i="16" s="1"/>
  <c r="E447" i="16"/>
  <c r="W542" i="16"/>
  <c r="I542" i="16"/>
  <c r="U542" i="16" s="1"/>
  <c r="V542" i="16" s="1"/>
  <c r="E542" i="16"/>
  <c r="W414" i="16"/>
  <c r="I414" i="16"/>
  <c r="U414" i="16" s="1"/>
  <c r="V414" i="16" s="1"/>
  <c r="E414" i="16"/>
  <c r="W437" i="16"/>
  <c r="I437" i="16"/>
  <c r="U437" i="16" s="1"/>
  <c r="V437" i="16" s="1"/>
  <c r="E437" i="16"/>
  <c r="W490" i="16"/>
  <c r="I490" i="16"/>
  <c r="U490" i="16" s="1"/>
  <c r="V490" i="16" s="1"/>
  <c r="E490" i="16"/>
  <c r="W446" i="16"/>
  <c r="I446" i="16"/>
  <c r="U446" i="16" s="1"/>
  <c r="V446" i="16" s="1"/>
  <c r="E446" i="16"/>
  <c r="W572" i="16"/>
  <c r="I572" i="16"/>
  <c r="U572" i="16" s="1"/>
  <c r="V572" i="16" s="1"/>
  <c r="E572" i="16"/>
  <c r="W413" i="16"/>
  <c r="I413" i="16"/>
  <c r="U413" i="16" s="1"/>
  <c r="V413" i="16" s="1"/>
  <c r="E413" i="16"/>
  <c r="W382" i="16"/>
  <c r="I382" i="16"/>
  <c r="U382" i="16" s="1"/>
  <c r="V382" i="16" s="1"/>
  <c r="E382" i="16"/>
  <c r="W363" i="16"/>
  <c r="I363" i="16"/>
  <c r="U363" i="16" s="1"/>
  <c r="V363" i="16" s="1"/>
  <c r="E363" i="16"/>
  <c r="W362" i="16"/>
  <c r="I362" i="16"/>
  <c r="U362" i="16" s="1"/>
  <c r="V362" i="16" s="1"/>
  <c r="E362" i="16"/>
  <c r="W571" i="16"/>
  <c r="I571" i="16"/>
  <c r="U571" i="16" s="1"/>
  <c r="V571" i="16" s="1"/>
  <c r="E571" i="16"/>
  <c r="W541" i="16"/>
  <c r="I541" i="16"/>
  <c r="U541" i="16" s="1"/>
  <c r="V541" i="16" s="1"/>
  <c r="E541" i="16"/>
  <c r="W522" i="16"/>
  <c r="I522" i="16"/>
  <c r="U522" i="16" s="1"/>
  <c r="V522" i="16" s="1"/>
  <c r="E522" i="16"/>
  <c r="W503" i="16"/>
  <c r="I503" i="16"/>
  <c r="U503" i="16" s="1"/>
  <c r="V503" i="16" s="1"/>
  <c r="E503" i="16"/>
  <c r="W570" i="16"/>
  <c r="I570" i="16"/>
  <c r="U570" i="16" s="1"/>
  <c r="V570" i="16" s="1"/>
  <c r="E570" i="16"/>
  <c r="W128" i="16"/>
  <c r="I128" i="16"/>
  <c r="U128" i="16" s="1"/>
  <c r="V128" i="16" s="1"/>
  <c r="E128" i="16"/>
  <c r="W71" i="16"/>
  <c r="I71" i="16"/>
  <c r="U71" i="16" s="1"/>
  <c r="V71" i="16" s="1"/>
  <c r="E71" i="16"/>
  <c r="W170" i="16"/>
  <c r="I170" i="16"/>
  <c r="U170" i="16" s="1"/>
  <c r="V170" i="16" s="1"/>
  <c r="E170" i="16"/>
  <c r="W226" i="16"/>
  <c r="I226" i="16"/>
  <c r="U226" i="16" s="1"/>
  <c r="V226" i="16" s="1"/>
  <c r="E226" i="16"/>
  <c r="W75" i="16"/>
  <c r="I75" i="16"/>
  <c r="U75" i="16" s="1"/>
  <c r="V75" i="16" s="1"/>
  <c r="E75" i="16"/>
  <c r="W47" i="16"/>
  <c r="I47" i="16"/>
  <c r="U47" i="16" s="1"/>
  <c r="V47" i="16" s="1"/>
  <c r="E47" i="16"/>
  <c r="W56" i="16"/>
  <c r="I56" i="16"/>
  <c r="U56" i="16" s="1"/>
  <c r="V56" i="16" s="1"/>
  <c r="E56" i="16"/>
  <c r="W112" i="16"/>
  <c r="I112" i="16"/>
  <c r="U112" i="16" s="1"/>
  <c r="V112" i="16" s="1"/>
  <c r="E112" i="16"/>
  <c r="W189" i="16"/>
  <c r="I189" i="16"/>
  <c r="U189" i="16" s="1"/>
  <c r="V189" i="16" s="1"/>
  <c r="E189" i="16"/>
  <c r="W127" i="16"/>
  <c r="I127" i="16"/>
  <c r="U127" i="16" s="1"/>
  <c r="V127" i="16" s="1"/>
  <c r="E127" i="16"/>
  <c r="W110" i="16"/>
  <c r="I110" i="16"/>
  <c r="U110" i="16" s="1"/>
  <c r="V110" i="16" s="1"/>
  <c r="E110" i="16"/>
  <c r="W92" i="16"/>
  <c r="I92" i="16"/>
  <c r="U92" i="16" s="1"/>
  <c r="V92" i="16" s="1"/>
  <c r="E92" i="16"/>
  <c r="W96" i="16"/>
  <c r="I96" i="16"/>
  <c r="U96" i="16" s="1"/>
  <c r="V96" i="16" s="1"/>
  <c r="E96" i="16"/>
  <c r="W86" i="16"/>
  <c r="I86" i="16"/>
  <c r="U86" i="16" s="1"/>
  <c r="V86" i="16" s="1"/>
  <c r="E86" i="16"/>
  <c r="W80" i="16"/>
  <c r="I80" i="16"/>
  <c r="U80" i="16" s="1"/>
  <c r="V80" i="16" s="1"/>
  <c r="E80" i="16"/>
  <c r="W162" i="16"/>
  <c r="I162" i="16"/>
  <c r="U162" i="16" s="1"/>
  <c r="V162" i="16" s="1"/>
  <c r="E162" i="16"/>
  <c r="W90" i="16"/>
  <c r="I90" i="16"/>
  <c r="U90" i="16" s="1"/>
  <c r="V90" i="16" s="1"/>
  <c r="E90" i="16"/>
  <c r="W142" i="16"/>
  <c r="I142" i="16"/>
  <c r="U142" i="16" s="1"/>
  <c r="V142" i="16" s="1"/>
  <c r="E142" i="16"/>
  <c r="W103" i="16"/>
  <c r="I103" i="16"/>
  <c r="U103" i="16" s="1"/>
  <c r="V103" i="16" s="1"/>
  <c r="E103" i="16"/>
  <c r="W255" i="16"/>
  <c r="I255" i="16"/>
  <c r="U255" i="16" s="1"/>
  <c r="V255" i="16" s="1"/>
  <c r="E255" i="16"/>
  <c r="W207" i="16"/>
  <c r="I207" i="16"/>
  <c r="U207" i="16" s="1"/>
  <c r="V207" i="16" s="1"/>
  <c r="E207" i="16"/>
  <c r="W199" i="16"/>
  <c r="I199" i="16"/>
  <c r="U199" i="16" s="1"/>
  <c r="V199" i="16" s="1"/>
  <c r="E199" i="16"/>
  <c r="W138" i="16"/>
  <c r="I138" i="16"/>
  <c r="U138" i="16" s="1"/>
  <c r="V138" i="16" s="1"/>
  <c r="E138" i="16"/>
  <c r="W167" i="16"/>
  <c r="I167" i="16"/>
  <c r="U167" i="16" s="1"/>
  <c r="V167" i="16" s="1"/>
  <c r="E167" i="16"/>
  <c r="W77" i="16"/>
  <c r="I77" i="16"/>
  <c r="U77" i="16" s="1"/>
  <c r="V77" i="16" s="1"/>
  <c r="E77" i="16"/>
  <c r="W61" i="16"/>
  <c r="I61" i="16"/>
  <c r="U61" i="16" s="1"/>
  <c r="V61" i="16" s="1"/>
  <c r="E61" i="16"/>
  <c r="W76" i="16"/>
  <c r="I76" i="16"/>
  <c r="U76" i="16" s="1"/>
  <c r="V76" i="16" s="1"/>
  <c r="E76" i="16"/>
  <c r="W109" i="16"/>
  <c r="I109" i="16"/>
  <c r="U109" i="16" s="1"/>
  <c r="V109" i="16" s="1"/>
  <c r="E109" i="16"/>
  <c r="W78" i="16"/>
  <c r="I78" i="16"/>
  <c r="U78" i="16" s="1"/>
  <c r="V78" i="16" s="1"/>
  <c r="E78" i="16"/>
  <c r="W136" i="16"/>
  <c r="I136" i="16"/>
  <c r="U136" i="16" s="1"/>
  <c r="V136" i="16" s="1"/>
  <c r="E136" i="16"/>
  <c r="W73" i="16"/>
  <c r="I73" i="16"/>
  <c r="U73" i="16" s="1"/>
  <c r="V73" i="16" s="1"/>
  <c r="E73" i="16"/>
  <c r="W125" i="16"/>
  <c r="I125" i="16"/>
  <c r="U125" i="16" s="1"/>
  <c r="V125" i="16" s="1"/>
  <c r="E125" i="16"/>
  <c r="W257" i="16"/>
  <c r="I257" i="16"/>
  <c r="U257" i="16" s="1"/>
  <c r="V257" i="16" s="1"/>
  <c r="E257" i="16"/>
  <c r="W187" i="16"/>
  <c r="I187" i="16"/>
  <c r="U187" i="16" s="1"/>
  <c r="V187" i="16" s="1"/>
  <c r="E187" i="16"/>
  <c r="W91" i="16"/>
  <c r="I91" i="16"/>
  <c r="U91" i="16" s="1"/>
  <c r="V91" i="16" s="1"/>
  <c r="E91" i="16"/>
  <c r="W206" i="16"/>
  <c r="I206" i="16"/>
  <c r="U206" i="16" s="1"/>
  <c r="V206" i="16" s="1"/>
  <c r="E206" i="16"/>
  <c r="W253" i="16"/>
  <c r="I253" i="16"/>
  <c r="U253" i="16" s="1"/>
  <c r="V253" i="16" s="1"/>
  <c r="E253" i="16"/>
  <c r="W252" i="16"/>
  <c r="I252" i="16"/>
  <c r="U252" i="16" s="1"/>
  <c r="V252" i="16" s="1"/>
  <c r="E252" i="16"/>
  <c r="W251" i="16"/>
  <c r="I251" i="16"/>
  <c r="U251" i="16" s="1"/>
  <c r="V251" i="16" s="1"/>
  <c r="E251" i="16"/>
  <c r="W250" i="16"/>
  <c r="I250" i="16"/>
  <c r="U250" i="16" s="1"/>
  <c r="V250" i="16" s="1"/>
  <c r="E250" i="16"/>
  <c r="W186" i="16"/>
  <c r="I186" i="16"/>
  <c r="U186" i="16" s="1"/>
  <c r="V186" i="16" s="1"/>
  <c r="E186" i="16"/>
  <c r="W98" i="16"/>
  <c r="I98" i="16"/>
  <c r="U98" i="16" s="1"/>
  <c r="V98" i="16" s="1"/>
  <c r="E98" i="16"/>
  <c r="W88" i="16"/>
  <c r="I88" i="16"/>
  <c r="U88" i="16" s="1"/>
  <c r="V88" i="16" s="1"/>
  <c r="E88" i="16"/>
  <c r="W12" i="16"/>
  <c r="I12" i="16"/>
  <c r="U12" i="16" s="1"/>
  <c r="V12" i="16" s="1"/>
  <c r="E12" i="16"/>
  <c r="W19" i="16"/>
  <c r="I19" i="16"/>
  <c r="U19" i="16" s="1"/>
  <c r="V19" i="16" s="1"/>
  <c r="E19" i="16"/>
  <c r="W7" i="16"/>
  <c r="I7" i="16"/>
  <c r="U7" i="16" s="1"/>
  <c r="V7" i="16" s="1"/>
  <c r="E7" i="16"/>
  <c r="W249" i="16"/>
  <c r="I249" i="16"/>
  <c r="U249" i="16" s="1"/>
  <c r="V249" i="16" s="1"/>
  <c r="E249" i="16"/>
  <c r="W117" i="16"/>
  <c r="I117" i="16"/>
  <c r="U117" i="16" s="1"/>
  <c r="V117" i="16" s="1"/>
  <c r="E117" i="16"/>
  <c r="W69" i="16"/>
  <c r="I69" i="16"/>
  <c r="U69" i="16" s="1"/>
  <c r="V69" i="16" s="1"/>
  <c r="E69" i="16"/>
  <c r="W58" i="16"/>
  <c r="I58" i="16"/>
  <c r="U58" i="16" s="1"/>
  <c r="V58" i="16" s="1"/>
  <c r="E58" i="16"/>
  <c r="W20" i="16"/>
  <c r="I20" i="16"/>
  <c r="U20" i="16" s="1"/>
  <c r="V20" i="16" s="1"/>
  <c r="E20" i="16"/>
  <c r="W36" i="16"/>
  <c r="I36" i="16"/>
  <c r="U36" i="16" s="1"/>
  <c r="V36" i="16" s="1"/>
  <c r="E36" i="16"/>
  <c r="W4" i="16"/>
  <c r="I4" i="16"/>
  <c r="U4" i="16" s="1"/>
  <c r="V4" i="16" s="1"/>
  <c r="E4" i="16"/>
  <c r="W50" i="16"/>
  <c r="I50" i="16"/>
  <c r="U50" i="16" s="1"/>
  <c r="V50" i="16" s="1"/>
  <c r="E50" i="16"/>
  <c r="W23" i="16"/>
  <c r="I23" i="16"/>
  <c r="U23" i="16" s="1"/>
  <c r="V23" i="16" s="1"/>
  <c r="E23" i="16"/>
  <c r="W3" i="16"/>
  <c r="I3" i="16"/>
  <c r="U3" i="16" s="1"/>
  <c r="V3" i="16" s="1"/>
  <c r="E3" i="16"/>
  <c r="W116" i="16"/>
  <c r="I116" i="16"/>
  <c r="U116" i="16" s="1"/>
  <c r="V116" i="16" s="1"/>
  <c r="E116" i="16"/>
  <c r="W87" i="16"/>
  <c r="I87" i="16"/>
  <c r="U87" i="16" s="1"/>
  <c r="V87" i="16" s="1"/>
  <c r="E87" i="16"/>
  <c r="W256" i="16"/>
  <c r="I256" i="16"/>
  <c r="U256" i="16" s="1"/>
  <c r="V256" i="16" s="1"/>
  <c r="E256" i="16"/>
  <c r="W247" i="16"/>
  <c r="I247" i="16"/>
  <c r="U247" i="16" s="1"/>
  <c r="V247" i="16" s="1"/>
  <c r="E247" i="16"/>
  <c r="W246" i="16"/>
  <c r="I246" i="16"/>
  <c r="U246" i="16" s="1"/>
  <c r="V246" i="16" s="1"/>
  <c r="E246" i="16"/>
  <c r="W245" i="16"/>
  <c r="I245" i="16"/>
  <c r="U245" i="16" s="1"/>
  <c r="V245" i="16" s="1"/>
  <c r="E245" i="16"/>
  <c r="W171" i="16"/>
  <c r="I171" i="16"/>
  <c r="U171" i="16" s="1"/>
  <c r="V171" i="16" s="1"/>
  <c r="E171" i="16"/>
  <c r="W66" i="16"/>
  <c r="I66" i="16"/>
  <c r="U66" i="16" s="1"/>
  <c r="V66" i="16" s="1"/>
  <c r="E66" i="16"/>
  <c r="W65" i="16"/>
  <c r="I65" i="16"/>
  <c r="U65" i="16" s="1"/>
  <c r="V65" i="16" s="1"/>
  <c r="E65" i="16"/>
  <c r="W95" i="16"/>
  <c r="I95" i="16"/>
  <c r="U95" i="16" s="1"/>
  <c r="V95" i="16" s="1"/>
  <c r="E95" i="16"/>
  <c r="W67" i="16"/>
  <c r="I67" i="16"/>
  <c r="U67" i="16" s="1"/>
  <c r="V67" i="16" s="1"/>
  <c r="E67" i="16"/>
  <c r="W85" i="16"/>
  <c r="I85" i="16"/>
  <c r="U85" i="16" s="1"/>
  <c r="V85" i="16" s="1"/>
  <c r="E85" i="16"/>
  <c r="W108" i="16"/>
  <c r="I108" i="16"/>
  <c r="U108" i="16" s="1"/>
  <c r="V108" i="16" s="1"/>
  <c r="E108" i="16"/>
  <c r="W8" i="16"/>
  <c r="I8" i="16"/>
  <c r="U8" i="16" s="1"/>
  <c r="V8" i="16" s="1"/>
  <c r="E8" i="16"/>
  <c r="W28" i="16"/>
  <c r="I28" i="16"/>
  <c r="U28" i="16" s="1"/>
  <c r="V28" i="16" s="1"/>
  <c r="E28" i="16"/>
  <c r="W13" i="16"/>
  <c r="I13" i="16"/>
  <c r="U13" i="16" s="1"/>
  <c r="V13" i="16" s="1"/>
  <c r="E13" i="16"/>
  <c r="W141" i="16"/>
  <c r="I141" i="16"/>
  <c r="U141" i="16" s="1"/>
  <c r="V141" i="16" s="1"/>
  <c r="E141" i="16"/>
  <c r="W35" i="16"/>
  <c r="I35" i="16"/>
  <c r="U35" i="16" s="1"/>
  <c r="V35" i="16" s="1"/>
  <c r="E35" i="16"/>
  <c r="W215" i="16"/>
  <c r="I215" i="16"/>
  <c r="U215" i="16" s="1"/>
  <c r="V215" i="16" s="1"/>
  <c r="E215" i="16"/>
  <c r="W104" i="16"/>
  <c r="I104" i="16"/>
  <c r="U104" i="16" s="1"/>
  <c r="V104" i="16" s="1"/>
  <c r="E104" i="16"/>
  <c r="W60" i="16"/>
  <c r="I60" i="16"/>
  <c r="U60" i="16" s="1"/>
  <c r="V60" i="16" s="1"/>
  <c r="E60" i="16"/>
  <c r="W254" i="16"/>
  <c r="I254" i="16"/>
  <c r="U254" i="16" s="1"/>
  <c r="V254" i="16" s="1"/>
  <c r="E254" i="16"/>
  <c r="W248" i="16"/>
  <c r="I248" i="16"/>
  <c r="U248" i="16" s="1"/>
  <c r="V248" i="16" s="1"/>
  <c r="E248" i="16"/>
  <c r="W242" i="16"/>
  <c r="I242" i="16"/>
  <c r="U242" i="16" s="1"/>
  <c r="V242" i="16" s="1"/>
  <c r="E242" i="16"/>
  <c r="W208" i="16"/>
  <c r="I208" i="16"/>
  <c r="U208" i="16" s="1"/>
  <c r="V208" i="16" s="1"/>
  <c r="E208" i="16"/>
  <c r="W163" i="16"/>
  <c r="I163" i="16"/>
  <c r="U163" i="16" s="1"/>
  <c r="V163" i="16" s="1"/>
  <c r="E163" i="16"/>
  <c r="W118" i="16"/>
  <c r="I118" i="16"/>
  <c r="U118" i="16" s="1"/>
  <c r="V118" i="16" s="1"/>
  <c r="E118" i="16"/>
  <c r="W126" i="16"/>
  <c r="I126" i="16"/>
  <c r="U126" i="16" s="1"/>
  <c r="V126" i="16" s="1"/>
  <c r="E126" i="16"/>
  <c r="W63" i="16"/>
  <c r="I63" i="16"/>
  <c r="U63" i="16" s="1"/>
  <c r="V63" i="16" s="1"/>
  <c r="E63" i="16"/>
  <c r="W38" i="16"/>
  <c r="I38" i="16"/>
  <c r="U38" i="16" s="1"/>
  <c r="V38" i="16" s="1"/>
  <c r="E38" i="16"/>
  <c r="W45" i="16"/>
  <c r="I45" i="16"/>
  <c r="U45" i="16" s="1"/>
  <c r="V45" i="16" s="1"/>
  <c r="E45" i="16"/>
  <c r="W21" i="16"/>
  <c r="I21" i="16"/>
  <c r="U21" i="16" s="1"/>
  <c r="V21" i="16" s="1"/>
  <c r="E21" i="16"/>
  <c r="W6" i="16"/>
  <c r="I6" i="16"/>
  <c r="U6" i="16" s="1"/>
  <c r="V6" i="16" s="1"/>
  <c r="E6" i="16"/>
  <c r="W27" i="16"/>
  <c r="I27" i="16"/>
  <c r="U27" i="16" s="1"/>
  <c r="V27" i="16" s="1"/>
  <c r="E27" i="16"/>
  <c r="W18" i="16"/>
  <c r="I18" i="16"/>
  <c r="U18" i="16" s="1"/>
  <c r="V18" i="16" s="1"/>
  <c r="E18" i="16"/>
  <c r="W151" i="16"/>
  <c r="I151" i="16"/>
  <c r="U151" i="16" s="1"/>
  <c r="V151" i="16" s="1"/>
  <c r="E151" i="16"/>
  <c r="W241" i="16"/>
  <c r="I241" i="16"/>
  <c r="U241" i="16" s="1"/>
  <c r="V241" i="16" s="1"/>
  <c r="E241" i="16"/>
  <c r="W160" i="16"/>
  <c r="I160" i="16"/>
  <c r="U160" i="16" s="1"/>
  <c r="V160" i="16" s="1"/>
  <c r="E160" i="16"/>
  <c r="W131" i="16"/>
  <c r="I131" i="16"/>
  <c r="U131" i="16" s="1"/>
  <c r="V131" i="16" s="1"/>
  <c r="E131" i="16"/>
  <c r="W244" i="16"/>
  <c r="I244" i="16"/>
  <c r="U244" i="16" s="1"/>
  <c r="V244" i="16" s="1"/>
  <c r="E244" i="16"/>
  <c r="W205" i="16"/>
  <c r="I205" i="16"/>
  <c r="U205" i="16" s="1"/>
  <c r="V205" i="16" s="1"/>
  <c r="E205" i="16"/>
  <c r="W52" i="16"/>
  <c r="I52" i="16"/>
  <c r="U52" i="16" s="1"/>
  <c r="V52" i="16" s="1"/>
  <c r="E52" i="16"/>
  <c r="W59" i="16"/>
  <c r="I59" i="16"/>
  <c r="U59" i="16" s="1"/>
  <c r="V59" i="16" s="1"/>
  <c r="E59" i="16"/>
  <c r="W89" i="16"/>
  <c r="I89" i="16"/>
  <c r="U89" i="16" s="1"/>
  <c r="V89" i="16" s="1"/>
  <c r="E89" i="16"/>
  <c r="W70" i="16"/>
  <c r="I70" i="16"/>
  <c r="U70" i="16" s="1"/>
  <c r="V70" i="16" s="1"/>
  <c r="E70" i="16"/>
  <c r="W43" i="16"/>
  <c r="I43" i="16"/>
  <c r="U43" i="16" s="1"/>
  <c r="V43" i="16" s="1"/>
  <c r="E43" i="16"/>
  <c r="W62" i="16"/>
  <c r="I62" i="16"/>
  <c r="U62" i="16" s="1"/>
  <c r="V62" i="16" s="1"/>
  <c r="E62" i="16"/>
  <c r="W44" i="16"/>
  <c r="I44" i="16"/>
  <c r="U44" i="16" s="1"/>
  <c r="V44" i="16" s="1"/>
  <c r="E44" i="16"/>
  <c r="W53" i="16"/>
  <c r="I53" i="16"/>
  <c r="U53" i="16" s="1"/>
  <c r="V53" i="16" s="1"/>
  <c r="E53" i="16"/>
  <c r="W122" i="16"/>
  <c r="I122" i="16"/>
  <c r="U122" i="16" s="1"/>
  <c r="V122" i="16" s="1"/>
  <c r="E122" i="16"/>
  <c r="W113" i="16"/>
  <c r="I113" i="16"/>
  <c r="U113" i="16" s="1"/>
  <c r="V113" i="16" s="1"/>
  <c r="E113" i="16"/>
  <c r="W129" i="16"/>
  <c r="I129" i="16"/>
  <c r="U129" i="16" s="1"/>
  <c r="V129" i="16" s="1"/>
  <c r="E129" i="16"/>
  <c r="W204" i="16"/>
  <c r="I204" i="16"/>
  <c r="U204" i="16" s="1"/>
  <c r="V204" i="16" s="1"/>
  <c r="E204" i="16"/>
  <c r="W185" i="16"/>
  <c r="I185" i="16"/>
  <c r="U185" i="16" s="1"/>
  <c r="V185" i="16" s="1"/>
  <c r="E185" i="16"/>
  <c r="W64" i="16"/>
  <c r="I64" i="16"/>
  <c r="U64" i="16" s="1"/>
  <c r="V64" i="16" s="1"/>
  <c r="E64" i="16"/>
  <c r="W201" i="16"/>
  <c r="I201" i="16"/>
  <c r="U201" i="16" s="1"/>
  <c r="V201" i="16" s="1"/>
  <c r="E201" i="16"/>
  <c r="W130" i="16"/>
  <c r="I130" i="16"/>
  <c r="U130" i="16" s="1"/>
  <c r="V130" i="16" s="1"/>
  <c r="E130" i="16"/>
  <c r="W140" i="16"/>
  <c r="I140" i="16"/>
  <c r="U140" i="16" s="1"/>
  <c r="V140" i="16" s="1"/>
  <c r="E140" i="16"/>
  <c r="W124" i="16"/>
  <c r="I124" i="16"/>
  <c r="U124" i="16" s="1"/>
  <c r="V124" i="16" s="1"/>
  <c r="E124" i="16"/>
  <c r="W184" i="16"/>
  <c r="I184" i="16"/>
  <c r="U184" i="16" s="1"/>
  <c r="V184" i="16" s="1"/>
  <c r="E184" i="16"/>
  <c r="W183" i="16"/>
  <c r="I183" i="16"/>
  <c r="U183" i="16" s="1"/>
  <c r="V183" i="16" s="1"/>
  <c r="E183" i="16"/>
  <c r="W239" i="16"/>
  <c r="I239" i="16"/>
  <c r="U239" i="16" s="1"/>
  <c r="V239" i="16" s="1"/>
  <c r="E239" i="16"/>
  <c r="W238" i="16"/>
  <c r="I238" i="16"/>
  <c r="U238" i="16" s="1"/>
  <c r="V238" i="16" s="1"/>
  <c r="E238" i="16"/>
  <c r="W84" i="16"/>
  <c r="I84" i="16"/>
  <c r="U84" i="16" s="1"/>
  <c r="V84" i="16" s="1"/>
  <c r="E84" i="16"/>
  <c r="W159" i="16"/>
  <c r="I159" i="16"/>
  <c r="U159" i="16" s="1"/>
  <c r="V159" i="16" s="1"/>
  <c r="E159" i="16"/>
  <c r="W139" i="16"/>
  <c r="I139" i="16"/>
  <c r="U139" i="16" s="1"/>
  <c r="V139" i="16" s="1"/>
  <c r="E139" i="16"/>
  <c r="W152" i="16"/>
  <c r="I152" i="16"/>
  <c r="U152" i="16" s="1"/>
  <c r="V152" i="16" s="1"/>
  <c r="E152" i="16"/>
  <c r="W134" i="16"/>
  <c r="I134" i="16"/>
  <c r="U134" i="16" s="1"/>
  <c r="V134" i="16" s="1"/>
  <c r="E134" i="16"/>
  <c r="W133" i="16"/>
  <c r="I133" i="16"/>
  <c r="U133" i="16" s="1"/>
  <c r="V133" i="16" s="1"/>
  <c r="E133" i="16"/>
  <c r="W237" i="16"/>
  <c r="I237" i="16"/>
  <c r="U237" i="16" s="1"/>
  <c r="V237" i="16" s="1"/>
  <c r="E237" i="16"/>
  <c r="W236" i="16"/>
  <c r="I236" i="16"/>
  <c r="U236" i="16" s="1"/>
  <c r="V236" i="16" s="1"/>
  <c r="E236" i="16"/>
  <c r="W182" i="16"/>
  <c r="I182" i="16"/>
  <c r="U182" i="16" s="1"/>
  <c r="V182" i="16" s="1"/>
  <c r="E182" i="16"/>
  <c r="W235" i="16"/>
  <c r="I235" i="16"/>
  <c r="U235" i="16" s="1"/>
  <c r="V235" i="16" s="1"/>
  <c r="E235" i="16"/>
  <c r="W197" i="16"/>
  <c r="I197" i="16"/>
  <c r="U197" i="16" s="1"/>
  <c r="V197" i="16" s="1"/>
  <c r="E197" i="16"/>
  <c r="W74" i="16"/>
  <c r="I74" i="16"/>
  <c r="U74" i="16" s="1"/>
  <c r="V74" i="16" s="1"/>
  <c r="E74" i="16"/>
  <c r="W147" i="16"/>
  <c r="I147" i="16"/>
  <c r="U147" i="16" s="1"/>
  <c r="V147" i="16" s="1"/>
  <c r="E147" i="16"/>
  <c r="W200" i="16"/>
  <c r="I200" i="16"/>
  <c r="U200" i="16" s="1"/>
  <c r="V200" i="16" s="1"/>
  <c r="E200" i="16"/>
  <c r="W120" i="16"/>
  <c r="I120" i="16"/>
  <c r="U120" i="16" s="1"/>
  <c r="V120" i="16" s="1"/>
  <c r="E120" i="16"/>
  <c r="W243" i="16"/>
  <c r="I243" i="16"/>
  <c r="U243" i="16" s="1"/>
  <c r="V243" i="16" s="1"/>
  <c r="E243" i="16"/>
  <c r="W115" i="16"/>
  <c r="I115" i="16"/>
  <c r="U115" i="16" s="1"/>
  <c r="V115" i="16" s="1"/>
  <c r="E115" i="16"/>
  <c r="W158" i="16"/>
  <c r="I158" i="16"/>
  <c r="U158" i="16" s="1"/>
  <c r="V158" i="16" s="1"/>
  <c r="E158" i="16"/>
  <c r="W46" i="16"/>
  <c r="I46" i="16"/>
  <c r="U46" i="16" s="1"/>
  <c r="V46" i="16" s="1"/>
  <c r="E46" i="16"/>
  <c r="W106" i="16"/>
  <c r="I106" i="16"/>
  <c r="U106" i="16" s="1"/>
  <c r="V106" i="16" s="1"/>
  <c r="E106" i="16"/>
  <c r="W148" i="16"/>
  <c r="I148" i="16"/>
  <c r="U148" i="16" s="1"/>
  <c r="V148" i="16" s="1"/>
  <c r="E148" i="16"/>
  <c r="W93" i="16"/>
  <c r="I93" i="16"/>
  <c r="U93" i="16" s="1"/>
  <c r="V93" i="16" s="1"/>
  <c r="E93" i="16"/>
  <c r="W102" i="16"/>
  <c r="I102" i="16"/>
  <c r="U102" i="16" s="1"/>
  <c r="V102" i="16" s="1"/>
  <c r="E102" i="16"/>
  <c r="W72" i="16"/>
  <c r="I72" i="16"/>
  <c r="U72" i="16" s="1"/>
  <c r="V72" i="16" s="1"/>
  <c r="E72" i="16"/>
  <c r="I48" i="16"/>
  <c r="U48" i="16" s="1"/>
  <c r="V48" i="16" s="1"/>
  <c r="E48" i="16"/>
  <c r="W81" i="16"/>
  <c r="I81" i="16"/>
  <c r="U81" i="16" s="1"/>
  <c r="V81" i="16" s="1"/>
  <c r="E81" i="16"/>
  <c r="W49" i="16"/>
  <c r="I49" i="16"/>
  <c r="U49" i="16" s="1"/>
  <c r="V49" i="16" s="1"/>
  <c r="E49" i="16"/>
  <c r="W15" i="16"/>
  <c r="I15" i="16"/>
  <c r="U15" i="16" s="1"/>
  <c r="V15" i="16" s="1"/>
  <c r="E15" i="16"/>
  <c r="W40" i="16"/>
  <c r="I40" i="16"/>
  <c r="U40" i="16" s="1"/>
  <c r="V40" i="16" s="1"/>
  <c r="E40" i="16"/>
  <c r="W9" i="16"/>
  <c r="I9" i="16"/>
  <c r="U9" i="16" s="1"/>
  <c r="V9" i="16" s="1"/>
  <c r="E9" i="16"/>
  <c r="W11" i="16"/>
  <c r="I11" i="16"/>
  <c r="U11" i="16" s="1"/>
  <c r="V11" i="16" s="1"/>
  <c r="E11" i="16"/>
  <c r="W39" i="16"/>
  <c r="I39" i="16"/>
  <c r="U39" i="16" s="1"/>
  <c r="V39" i="16" s="1"/>
  <c r="E39" i="16"/>
  <c r="W203" i="16"/>
  <c r="I203" i="16"/>
  <c r="U203" i="16" s="1"/>
  <c r="V203" i="16" s="1"/>
  <c r="E203" i="16"/>
  <c r="W180" i="16"/>
  <c r="I180" i="16"/>
  <c r="U180" i="16" s="1"/>
  <c r="V180" i="16" s="1"/>
  <c r="E180" i="16"/>
  <c r="W114" i="16"/>
  <c r="I114" i="16"/>
  <c r="U114" i="16" s="1"/>
  <c r="V114" i="16" s="1"/>
  <c r="E114" i="16"/>
  <c r="W233" i="16"/>
  <c r="I233" i="16"/>
  <c r="U233" i="16" s="1"/>
  <c r="V233" i="16" s="1"/>
  <c r="E233" i="16"/>
  <c r="W198" i="16"/>
  <c r="I198" i="16"/>
  <c r="U198" i="16" s="1"/>
  <c r="V198" i="16" s="1"/>
  <c r="E198" i="16"/>
  <c r="W123" i="16"/>
  <c r="I123" i="16"/>
  <c r="U123" i="16" s="1"/>
  <c r="V123" i="16" s="1"/>
  <c r="E123" i="16"/>
  <c r="W179" i="16"/>
  <c r="I179" i="16"/>
  <c r="U179" i="16" s="1"/>
  <c r="V179" i="16" s="1"/>
  <c r="E179" i="16"/>
  <c r="W232" i="16"/>
  <c r="I232" i="16"/>
  <c r="U232" i="16" s="1"/>
  <c r="V232" i="16" s="1"/>
  <c r="E232" i="16"/>
  <c r="W57" i="16"/>
  <c r="I57" i="16"/>
  <c r="U57" i="16" s="1"/>
  <c r="V57" i="16" s="1"/>
  <c r="E57" i="16"/>
  <c r="W178" i="16"/>
  <c r="I178" i="16"/>
  <c r="U178" i="16" s="1"/>
  <c r="V178" i="16" s="1"/>
  <c r="E178" i="16"/>
  <c r="W202" i="16"/>
  <c r="I202" i="16"/>
  <c r="U202" i="16" s="1"/>
  <c r="V202" i="16" s="1"/>
  <c r="E202" i="16"/>
  <c r="W153" i="16"/>
  <c r="I153" i="16"/>
  <c r="U153" i="16" s="1"/>
  <c r="V153" i="16" s="1"/>
  <c r="E153" i="16"/>
  <c r="W99" i="16"/>
  <c r="I99" i="16"/>
  <c r="U99" i="16" s="1"/>
  <c r="V99" i="16" s="1"/>
  <c r="E99" i="16"/>
  <c r="W258" i="16"/>
  <c r="I258" i="16"/>
  <c r="U258" i="16" s="1"/>
  <c r="V258" i="16" s="1"/>
  <c r="E258" i="16"/>
  <c r="W146" i="16"/>
  <c r="I146" i="16"/>
  <c r="U146" i="16" s="1"/>
  <c r="V146" i="16" s="1"/>
  <c r="E146" i="16"/>
  <c r="W196" i="16"/>
  <c r="I196" i="16"/>
  <c r="U196" i="16" s="1"/>
  <c r="V196" i="16" s="1"/>
  <c r="E196" i="16"/>
  <c r="W31" i="16"/>
  <c r="I31" i="16"/>
  <c r="U31" i="16" s="1"/>
  <c r="V31" i="16" s="1"/>
  <c r="E31" i="16"/>
  <c r="W83" i="16"/>
  <c r="I83" i="16"/>
  <c r="U83" i="16" s="1"/>
  <c r="V83" i="16" s="1"/>
  <c r="E83" i="16"/>
  <c r="W14" i="16"/>
  <c r="I14" i="16"/>
  <c r="U14" i="16" s="1"/>
  <c r="V14" i="16" s="1"/>
  <c r="E14" i="16"/>
  <c r="W145" i="16"/>
  <c r="I145" i="16"/>
  <c r="U145" i="16" s="1"/>
  <c r="V145" i="16" s="1"/>
  <c r="E145" i="16"/>
  <c r="W240" i="16"/>
  <c r="I240" i="16"/>
  <c r="U240" i="16" s="1"/>
  <c r="V240" i="16" s="1"/>
  <c r="E240" i="16"/>
  <c r="W97" i="16"/>
  <c r="I97" i="16"/>
  <c r="U97" i="16" s="1"/>
  <c r="V97" i="16" s="1"/>
  <c r="E97" i="16"/>
  <c r="W16" i="16"/>
  <c r="I16" i="16"/>
  <c r="U16" i="16" s="1"/>
  <c r="V16" i="16" s="1"/>
  <c r="E16" i="16"/>
  <c r="W34" i="16"/>
  <c r="I34" i="16"/>
  <c r="U34" i="16" s="1"/>
  <c r="V34" i="16" s="1"/>
  <c r="E34" i="16"/>
  <c r="W54" i="16"/>
  <c r="I54" i="16"/>
  <c r="U54" i="16" s="1"/>
  <c r="V54" i="16" s="1"/>
  <c r="E54" i="16"/>
  <c r="W10" i="16"/>
  <c r="I10" i="16"/>
  <c r="U10" i="16" s="1"/>
  <c r="V10" i="16" s="1"/>
  <c r="E10" i="16"/>
  <c r="W17" i="16"/>
  <c r="I17" i="16"/>
  <c r="U17" i="16" s="1"/>
  <c r="V17" i="16" s="1"/>
  <c r="E17" i="16"/>
  <c r="W177" i="16"/>
  <c r="I177" i="16"/>
  <c r="U177" i="16" s="1"/>
  <c r="V177" i="16" s="1"/>
  <c r="E177" i="16"/>
  <c r="W24" i="16"/>
  <c r="I24" i="16"/>
  <c r="U24" i="16" s="1"/>
  <c r="V24" i="16" s="1"/>
  <c r="E24" i="16"/>
  <c r="W230" i="16"/>
  <c r="I230" i="16"/>
  <c r="U230" i="16" s="1"/>
  <c r="V230" i="16" s="1"/>
  <c r="E230" i="16"/>
  <c r="W229" i="16"/>
  <c r="I229" i="16"/>
  <c r="U229" i="16" s="1"/>
  <c r="V229" i="16" s="1"/>
  <c r="E229" i="16"/>
  <c r="W41" i="16"/>
  <c r="I41" i="16"/>
  <c r="U41" i="16" s="1"/>
  <c r="V41" i="16" s="1"/>
  <c r="E41" i="16"/>
  <c r="W55" i="16"/>
  <c r="I55" i="16"/>
  <c r="U55" i="16" s="1"/>
  <c r="V55" i="16" s="1"/>
  <c r="E55" i="16"/>
  <c r="W37" i="16"/>
  <c r="I37" i="16"/>
  <c r="U37" i="16" s="1"/>
  <c r="V37" i="16" s="1"/>
  <c r="E37" i="16"/>
  <c r="W33" i="16"/>
  <c r="I33" i="16"/>
  <c r="U33" i="16" s="1"/>
  <c r="V33" i="16" s="1"/>
  <c r="E33" i="16"/>
  <c r="W32" i="16"/>
  <c r="I32" i="16"/>
  <c r="U32" i="16" s="1"/>
  <c r="V32" i="16" s="1"/>
  <c r="E32" i="16"/>
  <c r="W30" i="16"/>
  <c r="I30" i="16"/>
  <c r="U30" i="16" s="1"/>
  <c r="V30" i="16" s="1"/>
  <c r="E30" i="16"/>
  <c r="W42" i="16"/>
  <c r="I42" i="16"/>
  <c r="U42" i="16" s="1"/>
  <c r="V42" i="16" s="1"/>
  <c r="E42" i="16"/>
  <c r="W51" i="16"/>
  <c r="I51" i="16"/>
  <c r="U51" i="16" s="1"/>
  <c r="V51" i="16" s="1"/>
  <c r="E51" i="16"/>
  <c r="W29" i="16"/>
  <c r="I29" i="16"/>
  <c r="U29" i="16" s="1"/>
  <c r="V29" i="16" s="1"/>
  <c r="E29" i="16"/>
  <c r="W26" i="16"/>
  <c r="I26" i="16"/>
  <c r="U26" i="16" s="1"/>
  <c r="V26" i="16" s="1"/>
  <c r="E26" i="16"/>
  <c r="W25" i="16"/>
  <c r="I25" i="16"/>
  <c r="U25" i="16" s="1"/>
  <c r="V25" i="16" s="1"/>
  <c r="E25" i="16"/>
  <c r="W5" i="16"/>
  <c r="I5" i="16"/>
  <c r="U5" i="16" s="1"/>
  <c r="V5" i="16" s="1"/>
  <c r="E5" i="16"/>
  <c r="W2" i="16"/>
  <c r="E2" i="16"/>
  <c r="W68" i="16"/>
  <c r="I68" i="16"/>
  <c r="U68" i="16" s="1"/>
  <c r="V68" i="16" s="1"/>
  <c r="E68" i="16"/>
  <c r="W94" i="16"/>
  <c r="I94" i="16"/>
  <c r="U94" i="16" s="1"/>
  <c r="V94" i="16" s="1"/>
  <c r="E94" i="16"/>
  <c r="W144" i="16"/>
  <c r="I144" i="16"/>
  <c r="U144" i="16" s="1"/>
  <c r="V144" i="16" s="1"/>
  <c r="E144" i="16"/>
  <c r="W119" i="16"/>
  <c r="I119" i="16"/>
  <c r="U119" i="16" s="1"/>
  <c r="V119" i="16" s="1"/>
  <c r="E119" i="16"/>
  <c r="W79" i="16"/>
  <c r="I79" i="16"/>
  <c r="U79" i="16" s="1"/>
  <c r="V79" i="16" s="1"/>
  <c r="E79" i="16"/>
  <c r="W121" i="16"/>
  <c r="I121" i="16"/>
  <c r="U121" i="16" s="1"/>
  <c r="V121" i="16" s="1"/>
  <c r="E121" i="16"/>
  <c r="I135" i="16"/>
  <c r="U135" i="16" s="1"/>
  <c r="V135" i="16" s="1"/>
  <c r="E135" i="16"/>
  <c r="W234" i="16"/>
  <c r="I234" i="16"/>
  <c r="U234" i="16" s="1"/>
  <c r="V234" i="16" s="1"/>
  <c r="E234" i="16"/>
  <c r="W107" i="16"/>
  <c r="I107" i="16"/>
  <c r="U107" i="16" s="1"/>
  <c r="V107" i="16" s="1"/>
  <c r="E107" i="16"/>
  <c r="W22" i="16"/>
  <c r="I22" i="16"/>
  <c r="U22" i="16" s="1"/>
  <c r="V22" i="16" s="1"/>
  <c r="E22" i="16"/>
  <c r="W188" i="16"/>
  <c r="I188" i="16"/>
  <c r="U188" i="16" s="1"/>
  <c r="V188" i="16" s="1"/>
  <c r="E188" i="16"/>
  <c r="W161" i="16"/>
  <c r="I161" i="16"/>
  <c r="U161" i="16" s="1"/>
  <c r="V161" i="16" s="1"/>
  <c r="E161" i="16"/>
  <c r="W231" i="16"/>
  <c r="I231" i="16"/>
  <c r="U231" i="16" s="1"/>
  <c r="V231" i="16" s="1"/>
  <c r="E231" i="16"/>
  <c r="W228" i="16"/>
  <c r="I228" i="16"/>
  <c r="U228" i="16" s="1"/>
  <c r="V228" i="16" s="1"/>
  <c r="E228" i="16"/>
  <c r="W82" i="16"/>
  <c r="I82" i="16"/>
  <c r="U82" i="16" s="1"/>
  <c r="V82" i="16" s="1"/>
  <c r="E82" i="16"/>
  <c r="W225" i="16"/>
  <c r="I225" i="16"/>
  <c r="U225" i="16" s="1"/>
  <c r="V225" i="16" s="1"/>
  <c r="E225" i="16"/>
  <c r="W195" i="16"/>
  <c r="I195" i="16"/>
  <c r="U195" i="16" s="1"/>
  <c r="V195" i="16" s="1"/>
  <c r="E195" i="16"/>
  <c r="W224" i="16"/>
  <c r="I224" i="16"/>
  <c r="U224" i="16" s="1"/>
  <c r="V224" i="16" s="1"/>
  <c r="E224" i="16"/>
  <c r="W176" i="16"/>
  <c r="I176" i="16"/>
  <c r="U176" i="16" s="1"/>
  <c r="V176" i="16" s="1"/>
  <c r="E176" i="16"/>
  <c r="W175" i="16"/>
  <c r="I175" i="16"/>
  <c r="U175" i="16" s="1"/>
  <c r="V175" i="16" s="1"/>
  <c r="E175" i="16"/>
  <c r="W223" i="16"/>
  <c r="I223" i="16"/>
  <c r="U223" i="16" s="1"/>
  <c r="V223" i="16" s="1"/>
  <c r="E223" i="16"/>
  <c r="W157" i="16"/>
  <c r="I157" i="16"/>
  <c r="U157" i="16" s="1"/>
  <c r="V157" i="16" s="1"/>
  <c r="E157" i="16"/>
  <c r="W222" i="16"/>
  <c r="I222" i="16"/>
  <c r="U222" i="16" s="1"/>
  <c r="V222" i="16" s="1"/>
  <c r="E222" i="16"/>
  <c r="W221" i="16"/>
  <c r="I221" i="16"/>
  <c r="U221" i="16" s="1"/>
  <c r="V221" i="16" s="1"/>
  <c r="E221" i="16"/>
  <c r="W174" i="16"/>
  <c r="I174" i="16"/>
  <c r="U174" i="16" s="1"/>
  <c r="V174" i="16" s="1"/>
  <c r="E174" i="16"/>
  <c r="W156" i="16"/>
  <c r="I156" i="16"/>
  <c r="U156" i="16" s="1"/>
  <c r="V156" i="16" s="1"/>
  <c r="E156" i="16"/>
  <c r="W220" i="16"/>
  <c r="I220" i="16"/>
  <c r="U220" i="16" s="1"/>
  <c r="V220" i="16" s="1"/>
  <c r="E220" i="16"/>
  <c r="W219" i="16"/>
  <c r="I219" i="16"/>
  <c r="U219" i="16" s="1"/>
  <c r="V219" i="16" s="1"/>
  <c r="E219" i="16"/>
  <c r="W155" i="16"/>
  <c r="I155" i="16"/>
  <c r="U155" i="16" s="1"/>
  <c r="V155" i="16" s="1"/>
  <c r="E155" i="16"/>
  <c r="W173" i="16"/>
  <c r="I173" i="16"/>
  <c r="U173" i="16" s="1"/>
  <c r="V173" i="16" s="1"/>
  <c r="E173" i="16"/>
  <c r="W194" i="16"/>
  <c r="I194" i="16"/>
  <c r="U194" i="16" s="1"/>
  <c r="V194" i="16" s="1"/>
  <c r="E194" i="16"/>
  <c r="W101" i="16"/>
  <c r="I101" i="16"/>
  <c r="U101" i="16" s="1"/>
  <c r="V101" i="16" s="1"/>
  <c r="E101" i="16"/>
  <c r="W105" i="16"/>
  <c r="I105" i="16"/>
  <c r="U105" i="16" s="1"/>
  <c r="V105" i="16" s="1"/>
  <c r="E105" i="16"/>
  <c r="W100" i="16"/>
  <c r="I100" i="16"/>
  <c r="U100" i="16" s="1"/>
  <c r="V100" i="16" s="1"/>
  <c r="E100" i="16"/>
  <c r="W218" i="16"/>
  <c r="I218" i="16"/>
  <c r="U218" i="16" s="1"/>
  <c r="V218" i="16" s="1"/>
  <c r="E218" i="16"/>
  <c r="W150" i="16"/>
  <c r="I150" i="16"/>
  <c r="U150" i="16" s="1"/>
  <c r="V150" i="16" s="1"/>
  <c r="E150" i="16"/>
  <c r="W149" i="16"/>
  <c r="I149" i="16"/>
  <c r="U149" i="16" s="1"/>
  <c r="V149" i="16" s="1"/>
  <c r="E149" i="16"/>
  <c r="W193" i="16"/>
  <c r="I193" i="16"/>
  <c r="U193" i="16" s="1"/>
  <c r="V193" i="16" s="1"/>
  <c r="E193" i="16"/>
  <c r="W169" i="16"/>
  <c r="I169" i="16"/>
  <c r="U169" i="16" s="1"/>
  <c r="V169" i="16" s="1"/>
  <c r="E169" i="16"/>
  <c r="W192" i="16"/>
  <c r="I192" i="16"/>
  <c r="U192" i="16" s="1"/>
  <c r="V192" i="16" s="1"/>
  <c r="E192" i="16"/>
  <c r="W132" i="16"/>
  <c r="I132" i="16"/>
  <c r="U132" i="16" s="1"/>
  <c r="V132" i="16" s="1"/>
  <c r="E132" i="16"/>
  <c r="W217" i="16"/>
  <c r="I217" i="16"/>
  <c r="U217" i="16" s="1"/>
  <c r="V217" i="16" s="1"/>
  <c r="E217" i="16"/>
  <c r="W168" i="16"/>
  <c r="I168" i="16"/>
  <c r="U168" i="16" s="1"/>
  <c r="V168" i="16" s="1"/>
  <c r="E168" i="16"/>
  <c r="W216" i="16"/>
  <c r="I216" i="16"/>
  <c r="U216" i="16" s="1"/>
  <c r="V216" i="16" s="1"/>
  <c r="E216" i="16"/>
  <c r="W191" i="16"/>
  <c r="I191" i="16"/>
  <c r="U191" i="16" s="1"/>
  <c r="V191" i="16" s="1"/>
  <c r="E191" i="16"/>
  <c r="W111" i="16"/>
  <c r="I111" i="16"/>
  <c r="U111" i="16" s="1"/>
  <c r="V111" i="16" s="1"/>
  <c r="E111" i="16"/>
  <c r="W181" i="16"/>
  <c r="I181" i="16"/>
  <c r="U181" i="16" s="1"/>
  <c r="V181" i="16" s="1"/>
  <c r="E181" i="16"/>
  <c r="W227" i="16"/>
  <c r="I227" i="16"/>
  <c r="U227" i="16" s="1"/>
  <c r="V227" i="16" s="1"/>
  <c r="E227" i="16"/>
  <c r="W214" i="16"/>
  <c r="I214" i="16"/>
  <c r="U214" i="16" s="1"/>
  <c r="V214" i="16" s="1"/>
  <c r="E214" i="16"/>
  <c r="W213" i="16"/>
  <c r="I213" i="16"/>
  <c r="U213" i="16" s="1"/>
  <c r="V213" i="16" s="1"/>
  <c r="E213" i="16"/>
  <c r="W166" i="16"/>
  <c r="I166" i="16"/>
  <c r="U166" i="16" s="1"/>
  <c r="V166" i="16" s="1"/>
  <c r="E166" i="16"/>
  <c r="W212" i="16"/>
  <c r="I212" i="16"/>
  <c r="U212" i="16" s="1"/>
  <c r="V212" i="16" s="1"/>
  <c r="E212" i="16"/>
  <c r="W165" i="16"/>
  <c r="I165" i="16"/>
  <c r="U165" i="16" s="1"/>
  <c r="V165" i="16" s="1"/>
  <c r="E165" i="16"/>
  <c r="W211" i="16"/>
  <c r="I211" i="16"/>
  <c r="U211" i="16" s="1"/>
  <c r="V211" i="16" s="1"/>
  <c r="E211" i="16"/>
  <c r="W172" i="16"/>
  <c r="I172" i="16"/>
  <c r="U172" i="16" s="1"/>
  <c r="V172" i="16" s="1"/>
  <c r="E172" i="16"/>
  <c r="W210" i="16"/>
  <c r="I210" i="16"/>
  <c r="U210" i="16" s="1"/>
  <c r="V210" i="16" s="1"/>
  <c r="E210" i="16"/>
  <c r="W190" i="16"/>
  <c r="I190" i="16"/>
  <c r="U190" i="16" s="1"/>
  <c r="V190" i="16" s="1"/>
  <c r="E190" i="16"/>
  <c r="W143" i="16"/>
  <c r="I143" i="16"/>
  <c r="U143" i="16" s="1"/>
  <c r="V143" i="16" s="1"/>
  <c r="E143" i="16"/>
  <c r="W164" i="16"/>
  <c r="I164" i="16"/>
  <c r="U164" i="16" s="1"/>
  <c r="V164" i="16" s="1"/>
  <c r="E164" i="16"/>
  <c r="W137" i="16"/>
  <c r="I137" i="16"/>
  <c r="U137" i="16" s="1"/>
  <c r="V137" i="16" s="1"/>
  <c r="E137" i="16"/>
  <c r="W154" i="16"/>
  <c r="I154" i="16"/>
  <c r="U154" i="16" s="1"/>
  <c r="V154" i="16" s="1"/>
  <c r="E154" i="16"/>
  <c r="W209" i="16"/>
  <c r="I209" i="16"/>
  <c r="U209" i="16" s="1"/>
  <c r="V209" i="16" s="1"/>
  <c r="E209" i="16"/>
  <c r="X2" i="16" l="1"/>
  <c r="V2" i="16"/>
  <c r="E8" i="17"/>
  <c r="E9" i="17"/>
  <c r="E10" i="17"/>
  <c r="X304" i="16"/>
  <c r="X427" i="16"/>
  <c r="X238" i="16"/>
  <c r="X251" i="16"/>
  <c r="X138" i="16"/>
  <c r="X572" i="16"/>
  <c r="X524" i="16"/>
  <c r="X448" i="16"/>
  <c r="X582" i="16"/>
  <c r="X306" i="16"/>
  <c r="X323" i="16"/>
  <c r="X587" i="16"/>
  <c r="X337" i="16"/>
  <c r="X515" i="16"/>
  <c r="X274" i="16"/>
  <c r="X592" i="16"/>
  <c r="X285" i="16"/>
  <c r="X509" i="16"/>
  <c r="X311" i="16"/>
  <c r="X330" i="16"/>
  <c r="X518" i="16"/>
  <c r="X378" i="16"/>
  <c r="X420" i="16"/>
  <c r="X568" i="16"/>
  <c r="X615" i="16"/>
  <c r="X480" i="16"/>
  <c r="X266" i="16"/>
  <c r="X456" i="16"/>
  <c r="X644" i="16"/>
  <c r="X784" i="16"/>
  <c r="X835" i="16"/>
  <c r="X682" i="16"/>
  <c r="X738" i="16"/>
  <c r="X856" i="16"/>
  <c r="X747" i="16"/>
  <c r="X864" i="16"/>
  <c r="X800" i="16"/>
  <c r="X660" i="16"/>
  <c r="X813" i="16"/>
  <c r="X657" i="16"/>
  <c r="X672" i="16"/>
  <c r="X692" i="16"/>
  <c r="X815" i="16"/>
  <c r="X79" i="16"/>
  <c r="X163" i="16"/>
  <c r="X450" i="16"/>
  <c r="X434" i="16"/>
  <c r="X217" i="16"/>
  <c r="X156" i="16"/>
  <c r="X22" i="16"/>
  <c r="X5" i="16"/>
  <c r="X17" i="16"/>
  <c r="X202" i="16"/>
  <c r="X243" i="16"/>
  <c r="X181" i="16"/>
  <c r="X194" i="16"/>
  <c r="X82" i="16"/>
  <c r="X196" i="16"/>
  <c r="X148" i="16"/>
  <c r="X134" i="16"/>
  <c r="X129" i="16"/>
  <c r="X151" i="16"/>
  <c r="X104" i="16"/>
  <c r="X247" i="16"/>
  <c r="X109" i="16"/>
  <c r="X571" i="16"/>
  <c r="X513" i="16"/>
  <c r="X578" i="16"/>
  <c r="X514" i="16"/>
  <c r="X462" i="16"/>
  <c r="X324" i="16"/>
  <c r="X289" i="16"/>
  <c r="X270" i="16"/>
  <c r="X340" i="16"/>
  <c r="X432" i="16"/>
  <c r="X372" i="16"/>
  <c r="X347" i="16"/>
  <c r="X433" i="16"/>
  <c r="X476" i="16"/>
  <c r="X438" i="16"/>
  <c r="X605" i="16"/>
  <c r="X534" i="16"/>
  <c r="X565" i="16"/>
  <c r="X610" i="16"/>
  <c r="X500" i="16"/>
  <c r="X443" i="16"/>
  <c r="X261" i="16"/>
  <c r="X374" i="16"/>
  <c r="X713" i="16"/>
  <c r="X642" i="16"/>
  <c r="X677" i="16"/>
  <c r="X748" i="16"/>
  <c r="X770" i="16"/>
  <c r="X674" i="16"/>
  <c r="X858" i="16"/>
  <c r="X863" i="16"/>
  <c r="X752" i="16"/>
  <c r="X715" i="16"/>
  <c r="X812" i="16"/>
  <c r="X831" i="16"/>
  <c r="X652" i="16"/>
  <c r="X681" i="16"/>
  <c r="X641" i="16"/>
  <c r="X851" i="16"/>
  <c r="X140" i="16"/>
  <c r="X384" i="16"/>
  <c r="X804" i="16"/>
  <c r="X755" i="16"/>
  <c r="X205" i="16"/>
  <c r="X128" i="16"/>
  <c r="X447" i="16"/>
  <c r="X574" i="16"/>
  <c r="X459" i="16"/>
  <c r="X584" i="16"/>
  <c r="X281" i="16"/>
  <c r="X357" i="16"/>
  <c r="X588" i="16"/>
  <c r="X316" i="16"/>
  <c r="X329" i="16"/>
  <c r="X361" i="16"/>
  <c r="X593" i="16"/>
  <c r="X554" i="16"/>
  <c r="X557" i="16"/>
  <c r="X360" i="16"/>
  <c r="X560" i="16"/>
  <c r="X333" i="16"/>
  <c r="X429" i="16"/>
  <c r="X356" i="16"/>
  <c r="X439" i="16"/>
  <c r="X540" i="16"/>
  <c r="X405" i="16"/>
  <c r="X364" i="16"/>
  <c r="X808" i="16"/>
  <c r="X638" i="16"/>
  <c r="X832" i="16"/>
  <c r="X622" i="16"/>
  <c r="X854" i="16"/>
  <c r="X763" i="16"/>
  <c r="X837" i="16"/>
  <c r="X743" i="16"/>
  <c r="X842" i="16"/>
  <c r="X724" i="16"/>
  <c r="X728" i="16"/>
  <c r="X697" i="16"/>
  <c r="X847" i="16"/>
  <c r="X683" i="16"/>
  <c r="X756" i="16"/>
  <c r="X630" i="16"/>
  <c r="X539" i="16"/>
  <c r="X143" i="16"/>
  <c r="X212" i="16"/>
  <c r="X119" i="16"/>
  <c r="X198" i="16"/>
  <c r="X208" i="16"/>
  <c r="X190" i="16"/>
  <c r="X132" i="16"/>
  <c r="X174" i="16"/>
  <c r="X107" i="16"/>
  <c r="X178" i="16"/>
  <c r="X120" i="16"/>
  <c r="X239" i="16"/>
  <c r="X38" i="16"/>
  <c r="X50" i="16"/>
  <c r="X252" i="16"/>
  <c r="X199" i="16"/>
  <c r="X446" i="16"/>
  <c r="X525" i="16"/>
  <c r="X505" i="16"/>
  <c r="X461" i="16"/>
  <c r="X389" i="16"/>
  <c r="X403" i="16"/>
  <c r="X272" i="16"/>
  <c r="X369" i="16"/>
  <c r="X530" i="16"/>
  <c r="X386" i="16"/>
  <c r="X422" i="16"/>
  <c r="X277" i="16"/>
  <c r="X556" i="16"/>
  <c r="X408" i="16"/>
  <c r="X399" i="16"/>
  <c r="X375" i="16"/>
  <c r="X303" i="16"/>
  <c r="X327" i="16"/>
  <c r="X512" i="16"/>
  <c r="X537" i="16"/>
  <c r="X334" i="16"/>
  <c r="X295" i="16"/>
  <c r="X445" i="16"/>
  <c r="X667" i="16"/>
  <c r="X762" i="16"/>
  <c r="X826" i="16"/>
  <c r="X797" i="16"/>
  <c r="X659" i="16"/>
  <c r="X779" i="16"/>
  <c r="X819" i="16"/>
  <c r="X820" i="16"/>
  <c r="X741" i="16"/>
  <c r="X830" i="16"/>
  <c r="X698" i="16"/>
  <c r="X807" i="16"/>
  <c r="X693" i="16"/>
  <c r="X735" i="16"/>
  <c r="X165" i="16"/>
  <c r="X142" i="16"/>
  <c r="X594" i="16"/>
  <c r="X776" i="16"/>
  <c r="X626" i="16"/>
  <c r="X150" i="16"/>
  <c r="X175" i="16"/>
  <c r="X30" i="16"/>
  <c r="X240" i="16"/>
  <c r="X235" i="16"/>
  <c r="X130" i="16"/>
  <c r="X209" i="16"/>
  <c r="X111" i="16"/>
  <c r="X173" i="16"/>
  <c r="X228" i="16"/>
  <c r="X229" i="16"/>
  <c r="X146" i="16"/>
  <c r="X106" i="16"/>
  <c r="X152" i="16"/>
  <c r="X113" i="16"/>
  <c r="X215" i="16"/>
  <c r="X256" i="16"/>
  <c r="X110" i="16"/>
  <c r="X362" i="16"/>
  <c r="X545" i="16"/>
  <c r="X383" i="16"/>
  <c r="X581" i="16"/>
  <c r="X368" i="16"/>
  <c r="X354" i="16"/>
  <c r="X269" i="16"/>
  <c r="X495" i="16"/>
  <c r="X300" i="16"/>
  <c r="X483" i="16"/>
  <c r="X376" i="16"/>
  <c r="X313" i="16"/>
  <c r="X309" i="16"/>
  <c r="X559" i="16"/>
  <c r="X532" i="16"/>
  <c r="X417" i="16"/>
  <c r="X271" i="16"/>
  <c r="X608" i="16"/>
  <c r="X611" i="16"/>
  <c r="X424" i="16"/>
  <c r="X618" i="16"/>
  <c r="X488" i="16"/>
  <c r="X393" i="16"/>
  <c r="X631" i="16"/>
  <c r="X699" i="16"/>
  <c r="X691" i="16"/>
  <c r="X712" i="16"/>
  <c r="X749" i="16"/>
  <c r="X730" i="16"/>
  <c r="X765" i="16"/>
  <c r="X716" i="16"/>
  <c r="X809" i="16"/>
  <c r="X689" i="16"/>
  <c r="X760" i="16"/>
  <c r="X788" i="16"/>
  <c r="X640" i="16"/>
  <c r="X849" i="16"/>
  <c r="X767" i="16"/>
  <c r="X852" i="16"/>
  <c r="X720" i="16"/>
  <c r="X727" i="16"/>
  <c r="X182" i="16"/>
  <c r="X201" i="16"/>
  <c r="X244" i="16"/>
  <c r="X242" i="16"/>
  <c r="X117" i="16"/>
  <c r="X125" i="16"/>
  <c r="X162" i="16"/>
  <c r="X570" i="16"/>
  <c r="X543" i="16"/>
  <c r="X575" i="16"/>
  <c r="X460" i="16"/>
  <c r="X585" i="16"/>
  <c r="X322" i="16"/>
  <c r="X312" i="16"/>
  <c r="X463" i="16"/>
  <c r="X482" i="16"/>
  <c r="X621" i="16"/>
  <c r="X551" i="16"/>
  <c r="X484" i="16"/>
  <c r="X412" i="16"/>
  <c r="X558" i="16"/>
  <c r="X442" i="16"/>
  <c r="X453" i="16"/>
  <c r="X511" i="16"/>
  <c r="X519" i="16"/>
  <c r="X315" i="16"/>
  <c r="X520" i="16"/>
  <c r="X616" i="16"/>
  <c r="X349" i="16"/>
  <c r="X308" i="16"/>
  <c r="X761" i="16"/>
  <c r="X704" i="16"/>
  <c r="X816" i="16"/>
  <c r="X628" i="16"/>
  <c r="X745" i="16"/>
  <c r="X836" i="16"/>
  <c r="X726" i="16"/>
  <c r="X708" i="16"/>
  <c r="X794" i="16"/>
  <c r="X787" i="16"/>
  <c r="X766" i="16"/>
  <c r="X866" i="16"/>
  <c r="X648" i="16"/>
  <c r="X664" i="16"/>
  <c r="X751" i="16"/>
  <c r="X637" i="16"/>
  <c r="X757" i="16"/>
  <c r="X690" i="16"/>
  <c r="X192" i="16"/>
  <c r="X200" i="16"/>
  <c r="X183" i="16"/>
  <c r="X108" i="16"/>
  <c r="X253" i="16"/>
  <c r="X207" i="16"/>
  <c r="X490" i="16"/>
  <c r="X504" i="16"/>
  <c r="X546" i="16"/>
  <c r="X268" i="16"/>
  <c r="X283" i="16"/>
  <c r="X288" i="16"/>
  <c r="X314" i="16"/>
  <c r="X440" i="16"/>
  <c r="X416" i="16"/>
  <c r="X391" i="16"/>
  <c r="X341" i="16"/>
  <c r="X423" i="16"/>
  <c r="X596" i="16"/>
  <c r="X485" i="16"/>
  <c r="X604" i="16"/>
  <c r="X468" i="16"/>
  <c r="X419" i="16"/>
  <c r="X328" i="16"/>
  <c r="X535" i="16"/>
  <c r="X501" i="16"/>
  <c r="X425" i="16"/>
  <c r="X353" i="16"/>
  <c r="X643" i="16"/>
  <c r="X722" i="16"/>
  <c r="X744" i="16"/>
  <c r="X817" i="16"/>
  <c r="X696" i="16"/>
  <c r="X818" i="16"/>
  <c r="X798" i="16"/>
  <c r="X799" i="16"/>
  <c r="X821" i="16"/>
  <c r="X782" i="16"/>
  <c r="X823" i="16"/>
  <c r="X709" i="16"/>
  <c r="X678" i="16"/>
  <c r="X673" i="16"/>
  <c r="X780" i="16"/>
  <c r="X223" i="16"/>
  <c r="X52" i="16"/>
  <c r="X397" i="16"/>
  <c r="X796" i="16"/>
  <c r="X218" i="16"/>
  <c r="X191" i="16"/>
  <c r="X258" i="16"/>
  <c r="X139" i="16"/>
  <c r="X122" i="16"/>
  <c r="X35" i="16"/>
  <c r="X127" i="16"/>
  <c r="X363" i="16"/>
  <c r="X470" i="16"/>
  <c r="X430" i="16"/>
  <c r="X547" i="16"/>
  <c r="X379" i="16"/>
  <c r="X449" i="16"/>
  <c r="X265" i="16"/>
  <c r="X284" i="16"/>
  <c r="X590" i="16"/>
  <c r="X474" i="16"/>
  <c r="X591" i="16"/>
  <c r="X377" i="16"/>
  <c r="X464" i="16"/>
  <c r="X531" i="16"/>
  <c r="X342" i="16"/>
  <c r="X418" i="16"/>
  <c r="X302" i="16"/>
  <c r="X325" i="16"/>
  <c r="X567" i="16"/>
  <c r="X435" i="16"/>
  <c r="X619" i="16"/>
  <c r="X307" i="16"/>
  <c r="X345" i="16"/>
  <c r="X629" i="16"/>
  <c r="X775" i="16"/>
  <c r="X853" i="16"/>
  <c r="X791" i="16"/>
  <c r="X778" i="16"/>
  <c r="X702" i="16"/>
  <c r="X859" i="16"/>
  <c r="X754" i="16"/>
  <c r="X810" i="16"/>
  <c r="X635" i="16"/>
  <c r="X734" i="16"/>
  <c r="X846" i="16"/>
  <c r="X647" i="16"/>
  <c r="X789" i="16"/>
  <c r="X742" i="16"/>
  <c r="X542" i="16"/>
  <c r="X385" i="16"/>
  <c r="X305" i="16"/>
  <c r="X144" i="16"/>
  <c r="X221" i="16"/>
  <c r="X48" i="16"/>
  <c r="X230" i="16"/>
  <c r="X213" i="16"/>
  <c r="X100" i="16"/>
  <c r="X224" i="16"/>
  <c r="X33" i="16"/>
  <c r="X14" i="16"/>
  <c r="X114" i="16"/>
  <c r="X236" i="16"/>
  <c r="X131" i="16"/>
  <c r="X248" i="16"/>
  <c r="X171" i="16"/>
  <c r="X249" i="16"/>
  <c r="X503" i="16"/>
  <c r="X544" i="16"/>
  <c r="X576" i="16"/>
  <c r="X527" i="16"/>
  <c r="X586" i="16"/>
  <c r="X402" i="16"/>
  <c r="X396" i="16"/>
  <c r="X494" i="16"/>
  <c r="X473" i="16"/>
  <c r="X365" i="16"/>
  <c r="X552" i="16"/>
  <c r="X299" i="16"/>
  <c r="X451" i="16"/>
  <c r="X599" i="16"/>
  <c r="X497" i="16"/>
  <c r="X561" i="16"/>
  <c r="X401" i="16"/>
  <c r="X563" i="16"/>
  <c r="X296" i="16"/>
  <c r="X454" i="16"/>
  <c r="X617" i="16"/>
  <c r="X620" i="16"/>
  <c r="X481" i="16"/>
  <c r="X758" i="16"/>
  <c r="X759" i="16"/>
  <c r="X790" i="16"/>
  <c r="X646" i="16"/>
  <c r="X721" i="16"/>
  <c r="X746" i="16"/>
  <c r="X764" i="16"/>
  <c r="X654" i="16"/>
  <c r="X711" i="16"/>
  <c r="X737" i="16"/>
  <c r="X655" i="16"/>
  <c r="X867" i="16"/>
  <c r="X686" i="16"/>
  <c r="X669" i="16"/>
  <c r="X703" i="16"/>
  <c r="X739" i="16"/>
  <c r="X95" i="16"/>
  <c r="X71" i="16"/>
  <c r="X318" i="16"/>
  <c r="X772" i="16"/>
  <c r="X145" i="16"/>
  <c r="X234" i="16"/>
  <c r="X172" i="16"/>
  <c r="X169" i="16"/>
  <c r="X222" i="16"/>
  <c r="X135" i="16"/>
  <c r="X232" i="16"/>
  <c r="X147" i="16"/>
  <c r="X184" i="16"/>
  <c r="X89" i="16"/>
  <c r="X126" i="16"/>
  <c r="X36" i="16"/>
  <c r="X206" i="16"/>
  <c r="X255" i="16"/>
  <c r="X226" i="16"/>
  <c r="X437" i="16"/>
  <c r="X367" i="16"/>
  <c r="X394" i="16"/>
  <c r="X548" i="16"/>
  <c r="X320" i="16"/>
  <c r="X290" i="16"/>
  <c r="X291" i="16"/>
  <c r="X441" i="16"/>
  <c r="X370" i="16"/>
  <c r="X344" i="16"/>
  <c r="X475" i="16"/>
  <c r="X516" i="16"/>
  <c r="X597" i="16"/>
  <c r="X465" i="16"/>
  <c r="X486" i="16"/>
  <c r="X286" i="16"/>
  <c r="X478" i="16"/>
  <c r="X487" i="16"/>
  <c r="X373" i="16"/>
  <c r="X538" i="16"/>
  <c r="X392" i="16"/>
  <c r="X287" i="16"/>
  <c r="X768" i="16"/>
  <c r="X663" i="16"/>
  <c r="X736" i="16"/>
  <c r="X634" i="16"/>
  <c r="X658" i="16"/>
  <c r="X802" i="16"/>
  <c r="X857" i="16"/>
  <c r="X785" i="16"/>
  <c r="X841" i="16"/>
  <c r="X783" i="16"/>
  <c r="X844" i="16"/>
  <c r="X806" i="16"/>
  <c r="X675" i="16"/>
  <c r="X684" i="16"/>
  <c r="X685" i="16"/>
  <c r="X149" i="16"/>
  <c r="X197" i="16"/>
  <c r="X187" i="16"/>
  <c r="X492" i="16"/>
  <c r="X400" i="16"/>
  <c r="X317" i="16"/>
  <c r="X803" i="16"/>
  <c r="X166" i="16"/>
  <c r="X54" i="16"/>
  <c r="X231" i="16"/>
  <c r="X46" i="16"/>
  <c r="X137" i="16"/>
  <c r="X216" i="16"/>
  <c r="X219" i="16"/>
  <c r="X161" i="16"/>
  <c r="X24" i="16"/>
  <c r="X99" i="16"/>
  <c r="X40" i="16"/>
  <c r="X158" i="16"/>
  <c r="X159" i="16"/>
  <c r="X141" i="16"/>
  <c r="X116" i="16"/>
  <c r="X186" i="16"/>
  <c r="X189" i="16"/>
  <c r="X382" i="16"/>
  <c r="X491" i="16"/>
  <c r="X458" i="16"/>
  <c r="X471" i="16"/>
  <c r="X350" i="16"/>
  <c r="X411" i="16"/>
  <c r="X293" i="16"/>
  <c r="X294" i="16"/>
  <c r="X506" i="16"/>
  <c r="X264" i="16"/>
  <c r="X366" i="16"/>
  <c r="X275" i="16"/>
  <c r="X407" i="16"/>
  <c r="X510" i="16"/>
  <c r="X428" i="16"/>
  <c r="X562" i="16"/>
  <c r="X280" i="16"/>
  <c r="X409" i="16"/>
  <c r="X499" i="16"/>
  <c r="X297" i="16"/>
  <c r="X569" i="16"/>
  <c r="X279" i="16"/>
  <c r="X455" i="16"/>
  <c r="X627" i="16"/>
  <c r="X723" i="16"/>
  <c r="X833" i="16"/>
  <c r="X827" i="16"/>
  <c r="X855" i="16"/>
  <c r="X771" i="16"/>
  <c r="X838" i="16"/>
  <c r="X773" i="16"/>
  <c r="X805" i="16"/>
  <c r="X750" i="16"/>
  <c r="X795" i="16"/>
  <c r="X777" i="16"/>
  <c r="X632" i="16"/>
  <c r="X814" i="16"/>
  <c r="X850" i="16"/>
  <c r="X123" i="16"/>
  <c r="X583" i="16"/>
  <c r="X262" i="16"/>
  <c r="X653" i="16"/>
  <c r="X176" i="16"/>
  <c r="X233" i="16"/>
  <c r="X210" i="16"/>
  <c r="X26" i="16"/>
  <c r="X154" i="16"/>
  <c r="X155" i="16"/>
  <c r="X214" i="16"/>
  <c r="X105" i="16"/>
  <c r="X195" i="16"/>
  <c r="X68" i="16"/>
  <c r="X180" i="16"/>
  <c r="X102" i="16"/>
  <c r="X237" i="16"/>
  <c r="X185" i="16"/>
  <c r="X160" i="16"/>
  <c r="X254" i="16"/>
  <c r="X245" i="16"/>
  <c r="X7" i="16"/>
  <c r="X136" i="16"/>
  <c r="X522" i="16"/>
  <c r="X523" i="16"/>
  <c r="X526" i="16"/>
  <c r="X579" i="16"/>
  <c r="X395" i="16"/>
  <c r="X410" i="16"/>
  <c r="X493" i="16"/>
  <c r="X589" i="16"/>
  <c r="X406" i="16"/>
  <c r="X371" i="16"/>
  <c r="X553" i="16"/>
  <c r="X352" i="16"/>
  <c r="X555" i="16"/>
  <c r="X600" i="16"/>
  <c r="X601" i="16"/>
  <c r="X498" i="16"/>
  <c r="X301" i="16"/>
  <c r="X564" i="16"/>
  <c r="X348" i="16"/>
  <c r="X613" i="16"/>
  <c r="X259" i="16"/>
  <c r="X263" i="16"/>
  <c r="X502" i="16"/>
  <c r="X719" i="16"/>
  <c r="X651" i="16"/>
  <c r="X666" i="16"/>
  <c r="X636" i="16"/>
  <c r="X792" i="16"/>
  <c r="X661" i="16"/>
  <c r="X740" i="16"/>
  <c r="X662" i="16"/>
  <c r="X786" i="16"/>
  <c r="X717" i="16"/>
  <c r="X811" i="16"/>
  <c r="X845" i="16"/>
  <c r="X639" i="16"/>
  <c r="X710" i="16"/>
  <c r="X656" i="16"/>
  <c r="X649" i="16"/>
  <c r="X358" i="16"/>
  <c r="X51" i="16"/>
  <c r="X16" i="16"/>
  <c r="X179" i="16"/>
  <c r="X74" i="16"/>
  <c r="X124" i="16"/>
  <c r="X118" i="16"/>
  <c r="X91" i="16"/>
  <c r="X103" i="16"/>
  <c r="X170" i="16"/>
  <c r="X414" i="16"/>
  <c r="X421" i="16"/>
  <c r="X431" i="16"/>
  <c r="X319" i="16"/>
  <c r="X321" i="16"/>
  <c r="X528" i="16"/>
  <c r="X310" i="16"/>
  <c r="X332" i="16"/>
  <c r="X282" i="16"/>
  <c r="X359" i="16"/>
  <c r="X343" i="16"/>
  <c r="X508" i="16"/>
  <c r="X452" i="16"/>
  <c r="X477" i="16"/>
  <c r="X533" i="16"/>
  <c r="X273" i="16"/>
  <c r="X387" i="16"/>
  <c r="X339" i="16"/>
  <c r="X388" i="16"/>
  <c r="X521" i="16"/>
  <c r="X326" i="16"/>
  <c r="X276" i="16"/>
  <c r="X769" i="16"/>
  <c r="X671" i="16"/>
  <c r="X733" i="16"/>
  <c r="X625" i="16"/>
  <c r="X695" i="16"/>
  <c r="X828" i="16"/>
  <c r="X793" i="16"/>
  <c r="X839" i="16"/>
  <c r="X829" i="16"/>
  <c r="X714" i="16"/>
  <c r="X731" i="16"/>
  <c r="X824" i="16"/>
  <c r="X687" i="16"/>
  <c r="X706" i="16"/>
  <c r="X680" i="16"/>
  <c r="X479" i="16"/>
  <c r="X623" i="16"/>
  <c r="X732" i="16"/>
  <c r="X121" i="16"/>
  <c r="X115" i="16"/>
  <c r="X3" i="16"/>
  <c r="X250" i="16"/>
  <c r="X167" i="16"/>
  <c r="X112" i="16"/>
  <c r="X413" i="16"/>
  <c r="X573" i="16"/>
  <c r="X335" i="16"/>
  <c r="X472" i="16"/>
  <c r="X415" i="16"/>
  <c r="X336" i="16"/>
  <c r="X550" i="16"/>
  <c r="X351" i="16"/>
  <c r="X496" i="16"/>
  <c r="X298" i="16"/>
  <c r="X398" i="16"/>
  <c r="X278" i="16"/>
  <c r="X595" i="16"/>
  <c r="X404" i="16"/>
  <c r="X603" i="16"/>
  <c r="X467" i="16"/>
  <c r="X338" i="16"/>
  <c r="X566" i="16"/>
  <c r="X612" i="16"/>
  <c r="X536" i="16"/>
  <c r="X469" i="16"/>
  <c r="X436" i="16"/>
  <c r="X489" i="16"/>
  <c r="X624" i="16"/>
  <c r="X700" i="16"/>
  <c r="X834" i="16"/>
  <c r="X718" i="16"/>
  <c r="X694" i="16"/>
  <c r="X781" i="16"/>
  <c r="X860" i="16"/>
  <c r="X840" i="16"/>
  <c r="X822" i="16"/>
  <c r="X843" i="16"/>
  <c r="X705" i="16"/>
  <c r="X645" i="16"/>
  <c r="X848" i="16"/>
  <c r="X670" i="16"/>
  <c r="X801" i="16"/>
  <c r="X529" i="16"/>
  <c r="X598" i="16"/>
  <c r="X381" i="16"/>
  <c r="X861" i="16"/>
  <c r="X211" i="16"/>
  <c r="X193" i="16"/>
  <c r="X157" i="16"/>
  <c r="X164" i="16"/>
  <c r="X168" i="16"/>
  <c r="X220" i="16"/>
  <c r="X188" i="16"/>
  <c r="X177" i="16"/>
  <c r="X153" i="16"/>
  <c r="X227" i="16"/>
  <c r="X101" i="16"/>
  <c r="X225" i="16"/>
  <c r="X55" i="16"/>
  <c r="X203" i="16"/>
  <c r="X133" i="16"/>
  <c r="X204" i="16"/>
  <c r="X241" i="16"/>
  <c r="X246" i="16"/>
  <c r="X541" i="16"/>
  <c r="X457" i="16"/>
  <c r="X577" i="16"/>
  <c r="X580" i="16"/>
  <c r="X549" i="16"/>
  <c r="X292" i="16"/>
  <c r="X444" i="16"/>
  <c r="X346" i="16"/>
  <c r="X390" i="16"/>
  <c r="X507" i="16"/>
  <c r="X355" i="16"/>
  <c r="X380" i="16"/>
  <c r="X331" i="16"/>
  <c r="X517" i="16"/>
  <c r="X602" i="16"/>
  <c r="X466" i="16"/>
  <c r="X606" i="16"/>
  <c r="X607" i="16"/>
  <c r="X609" i="16"/>
  <c r="X614" i="16"/>
  <c r="X267" i="16"/>
  <c r="X260" i="16"/>
  <c r="X426" i="16"/>
  <c r="X707" i="16"/>
  <c r="X825" i="16"/>
  <c r="X668" i="16"/>
  <c r="X725" i="16"/>
  <c r="X701" i="16"/>
  <c r="X729" i="16"/>
  <c r="X688" i="16"/>
  <c r="X862" i="16"/>
  <c r="X865" i="16"/>
  <c r="X650" i="16"/>
  <c r="X753" i="16"/>
  <c r="X774" i="16"/>
  <c r="X633" i="16"/>
  <c r="X679" i="16"/>
  <c r="X676" i="16"/>
  <c r="X665" i="16"/>
  <c r="C22" i="17"/>
  <c r="C15" i="17"/>
  <c r="C18" i="17"/>
  <c r="C19" i="17"/>
  <c r="C26" i="17"/>
  <c r="C25" i="17"/>
  <c r="C24" i="17"/>
  <c r="C21" i="17"/>
  <c r="C23" i="17"/>
  <c r="E5" i="17"/>
  <c r="E3" i="17"/>
  <c r="D3" i="17"/>
  <c r="D8" i="17"/>
  <c r="E4" i="17"/>
  <c r="D4" i="17"/>
  <c r="D5" i="17"/>
  <c r="C17" i="17"/>
  <c r="D10" i="17"/>
  <c r="D9" i="17"/>
  <c r="C16" i="17"/>
  <c r="C20" i="17"/>
  <c r="E11" i="17" l="1"/>
  <c r="F3" i="17"/>
  <c r="F4" i="17"/>
  <c r="F5" i="17"/>
  <c r="V15" i="17"/>
  <c r="W15" i="17" s="1"/>
  <c r="V14" i="17"/>
  <c r="W14" i="17" s="1"/>
  <c r="V17" i="17"/>
  <c r="W17" i="17" s="1"/>
  <c r="W6" i="17"/>
  <c r="V16" i="17"/>
  <c r="W16" i="17" s="1"/>
  <c r="V18" i="17"/>
  <c r="W18" i="17" s="1"/>
  <c r="W5" i="17"/>
  <c r="X23" i="16"/>
  <c r="X61" i="16"/>
  <c r="X47" i="16"/>
  <c r="X41" i="16"/>
  <c r="X13" i="16"/>
  <c r="X42" i="16"/>
  <c r="X98" i="16"/>
  <c r="X8" i="16"/>
  <c r="X28" i="16"/>
  <c r="X93" i="16"/>
  <c r="X44" i="16"/>
  <c r="X77" i="16"/>
  <c r="V13" i="17" s="1"/>
  <c r="W13" i="17" s="1"/>
  <c r="X27" i="16"/>
  <c r="X81" i="16"/>
  <c r="X96" i="16"/>
  <c r="X84" i="16"/>
  <c r="X6" i="16"/>
  <c r="X75" i="16"/>
  <c r="X10" i="16"/>
  <c r="X15" i="16"/>
  <c r="X53" i="16"/>
  <c r="X4" i="16"/>
  <c r="X25" i="16"/>
  <c r="X21" i="16"/>
  <c r="X43" i="16"/>
  <c r="X56" i="16"/>
  <c r="X57" i="16"/>
  <c r="X63" i="16"/>
  <c r="X90" i="16"/>
  <c r="X62" i="16"/>
  <c r="X85" i="16"/>
  <c r="X70" i="16"/>
  <c r="X257" i="16"/>
  <c r="X20" i="16"/>
  <c r="X80" i="16"/>
  <c r="X66" i="16"/>
  <c r="X65" i="16"/>
  <c r="X67" i="16"/>
  <c r="X73" i="16"/>
  <c r="X32" i="16"/>
  <c r="X45" i="16"/>
  <c r="X59" i="16"/>
  <c r="X64" i="16"/>
  <c r="X19" i="16"/>
  <c r="X49" i="16"/>
  <c r="X87" i="16"/>
  <c r="X58" i="16"/>
  <c r="X86" i="16"/>
  <c r="X72" i="16"/>
  <c r="X76" i="16"/>
  <c r="X78" i="16"/>
  <c r="X83" i="16"/>
  <c r="X94" i="16"/>
  <c r="X88" i="16"/>
  <c r="X69" i="16"/>
  <c r="X37" i="16"/>
  <c r="X9" i="16"/>
  <c r="X18" i="16"/>
  <c r="X92" i="16"/>
  <c r="X34" i="16"/>
  <c r="X97" i="16"/>
  <c r="X11" i="16"/>
  <c r="X12" i="16"/>
  <c r="X29" i="16"/>
  <c r="X60" i="16"/>
  <c r="X31" i="16"/>
  <c r="X39" i="16"/>
  <c r="D6" i="17"/>
  <c r="J16" i="17" s="1"/>
  <c r="E6" i="17"/>
  <c r="D11" i="17"/>
  <c r="F6" i="17" l="1"/>
  <c r="V11" i="17"/>
  <c r="W11" i="17" s="1"/>
  <c r="V5" i="17"/>
  <c r="V10" i="17"/>
  <c r="W10" i="17" s="1"/>
  <c r="V12" i="17"/>
  <c r="W12" i="17" s="1"/>
  <c r="V6" i="17"/>
  <c r="V4" i="17"/>
  <c r="W4" i="17"/>
  <c r="K1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RO</author>
  </authors>
  <commentList>
    <comment ref="R21" authorId="0" shapeId="0" xr:uid="{5FE06C8B-590C-4C55-AF0C-788656D67C6D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PBT de Ursea no puede estar bien. Se toma el de argentina 
</t>
        </r>
      </text>
    </comment>
    <comment ref="R38" authorId="0" shapeId="0" xr:uid="{74A88D0D-440F-4EBA-889F-16EEA3D95E94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PBT de Ursea no puede estar bien. Se toma el de argentina 
</t>
        </r>
      </text>
    </comment>
    <comment ref="R45" authorId="0" shapeId="0" xr:uid="{BEC791A0-AFF1-4D56-96E8-42567FFB981E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PBT de Ursea no puede estar bien. Se toma el de argentina 
</t>
        </r>
      </text>
    </comment>
    <comment ref="R63" authorId="0" shapeId="0" xr:uid="{3DB6327E-8B88-4822-A5FD-9BCE2B30641B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PBT de Ursea no puede estar bien. Se toma el de argentina 
</t>
        </r>
      </text>
    </comment>
    <comment ref="R271" authorId="0" shapeId="0" xr:uid="{0A216F77-E6AC-45D6-8202-098E817A0B79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Dato de PBT de Chile, dato de 1108 kg muy baj
</t>
        </r>
      </text>
    </comment>
    <comment ref="R280" authorId="0" shapeId="0" xr:uid="{02312C75-1138-49B6-8852-3C1587986AEA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Dato de PBT de Chile, dato de 1108 kg muy baj
</t>
        </r>
      </text>
    </comment>
    <comment ref="R302" authorId="0" shapeId="0" xr:uid="{2ABF14E6-7383-4F1A-9169-B3A8B52F3D1B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Dato de PBT de Chile, dato de 1108 kg muy baj
</t>
        </r>
      </text>
    </comment>
    <comment ref="R303" authorId="0" shapeId="0" xr:uid="{6E08DF81-7676-4563-9911-6910E71D2F3C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Peso de Ursea de 3500 kg demasiado elevado. Se toma el de Chile</t>
        </r>
      </text>
    </comment>
    <comment ref="Q327" authorId="0" shapeId="0" xr:uid="{9AAE5BB4-EAE6-4CF3-AE53-F787F4BE60C1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En la base de Chile esta con Euro 6
</t>
        </r>
      </text>
    </comment>
    <comment ref="R327" authorId="0" shapeId="0" xr:uid="{7F4FD24F-CAA7-45CF-A6F5-448AF8016EFC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Se usa PBT de Chile ya que el de Ursea es bajo (1275)</t>
        </r>
      </text>
    </comment>
    <comment ref="T334" authorId="0" shapeId="0" xr:uid="{1AA195A0-F858-4D3B-AE5D-D2B03AD8698E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Se estima en base al 1,2. No hay info del 1,0 en ninguna base.
</t>
        </r>
      </text>
    </comment>
    <comment ref="Q337" authorId="0" shapeId="0" xr:uid="{D9CD0062-C1DD-4319-95AC-2E53C984A59A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Dato de Ursea indica Euro 5. Se toma el de Chile que se considera correcto dada la procedencia. </t>
        </r>
      </text>
    </comment>
    <comment ref="R338" authorId="0" shapeId="0" xr:uid="{70CC0F22-34AD-4575-91E1-2DB718FC2793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Dato de PBT de Chile, dato de 1108 kg muy baj
</t>
        </r>
      </text>
    </comment>
    <comment ref="Q356" authorId="0" shapeId="0" xr:uid="{B2CCB570-79CA-459D-8F99-488B7C55EA86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En la base de Chile esta con Euro 6
</t>
        </r>
      </text>
    </comment>
    <comment ref="R356" authorId="0" shapeId="0" xr:uid="{FBD79989-B8D7-4D5C-A935-155FEDE218E3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Se usa PBT de Chile ya que el de Ursea es bajo (1275)</t>
        </r>
      </text>
    </comment>
    <comment ref="Q369" authorId="0" shapeId="0" xr:uid="{8E0BD8E3-CD39-4032-B248-148608CE7CA8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Dato de Ursea indica Euro 5. Se toma el de Chile que se considera correcto dada la procedencia. </t>
        </r>
      </text>
    </comment>
    <comment ref="R378" authorId="0" shapeId="0" xr:uid="{7E28BF54-9106-4CC9-AE20-AC309D55C3CD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Peso de Ursea de 3500 kg demasiado elevado. Se toma el de Chile</t>
        </r>
      </text>
    </comment>
    <comment ref="R420" authorId="0" shapeId="0" xr:uid="{3A76B698-4D27-4921-83A4-C509CBC2BDF5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Elevado </t>
        </r>
      </text>
    </comment>
    <comment ref="Q440" authorId="0" shapeId="0" xr:uid="{9E5967B0-1BB7-434E-9346-0B705B31FAD4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Poco probable que sea Euro viniendo de USA
</t>
        </r>
      </text>
    </comment>
    <comment ref="R478" authorId="0" shapeId="0" xr:uid="{3BCDA008-59EA-4FA6-87FF-4383735FBCF1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Peso de Ursea de 3500 kg demasiado elevado. Se toma el de Chile</t>
        </r>
      </text>
    </comment>
    <comment ref="T480" authorId="0" shapeId="0" xr:uid="{F45C9A52-FF96-47EE-AC91-56705D255C1F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Se estima en base al 1,2. No hay info del 1,0 en ninguna base.
</t>
        </r>
      </text>
    </comment>
    <comment ref="Q635" authorId="0" shapeId="0" xr:uid="{85B06EA4-90BD-4C32-95E3-ADD94BAF08BA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R680" authorId="0" shapeId="0" xr:uid="{E310C2B1-8B1A-48EE-B33E-9129E2223F25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PBT de Ursea 2248 kg </t>
        </r>
      </text>
    </comment>
    <comment ref="Q682" authorId="0" shapeId="0" xr:uid="{B40A2894-7FD8-438D-8CDC-DA0D6B30C7A1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Dato a revisar 
</t>
        </r>
      </text>
    </comment>
    <comment ref="R685" authorId="0" shapeId="0" xr:uid="{0CC0345B-0127-44FE-AA88-4B932D3A5F4B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PBT Ursea 2078 kg</t>
        </r>
      </text>
    </comment>
    <comment ref="Q689" authorId="0" shapeId="0" xr:uid="{C3219891-7359-4855-ADB3-8949641AFC27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Q715" authorId="0" shapeId="0" xr:uid="{5AAF2A27-D110-4385-A83B-82EE022ADDB9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R715" authorId="0" shapeId="0" xr:uid="{DFC2717C-E112-4302-9378-E8D1533307BD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Se usa el PBT de la manual. El valor cargado en ursea debe ser el peso en vacío = 2150</t>
        </r>
      </text>
    </comment>
    <comment ref="Q717" authorId="0" shapeId="0" xr:uid="{A4CE434F-8EF9-42ED-9821-EBF838BFD062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R717" authorId="0" shapeId="0" xr:uid="{FE4E1D59-437B-45ED-B22C-6C393A91E917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Se usa el PBT de la manual. El valor cargado en ursea debe ser el peso en vacío = 2150</t>
        </r>
      </text>
    </comment>
    <comment ref="Q718" authorId="0" shapeId="0" xr:uid="{698DF6B1-285D-4ECA-93D4-F8E384243614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Dato a revisar 
</t>
        </r>
      </text>
    </comment>
    <comment ref="Q734" authorId="0" shapeId="0" xr:uid="{F3E665E9-81CD-4F81-A782-5FFA06E9E4BA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R735" authorId="0" shapeId="0" xr:uid="{9F10F202-B9E3-4070-8B68-11CDD49CA79D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PBT Ursea 2078 kg</t>
        </r>
      </text>
    </comment>
    <comment ref="Q737" authorId="0" shapeId="0" xr:uid="{E7B8D107-2431-41A3-8345-C838C7745B63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Q750" authorId="0" shapeId="0" xr:uid="{86418ECE-034B-423B-8AB9-B455D42390D7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Q753" authorId="0" shapeId="0" xr:uid="{164E49B1-3F0B-4159-9AF4-199F30C751D9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Q760" authorId="0" shapeId="0" xr:uid="{2357C9FC-68F8-4B23-8952-8B5EA5B36855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R760" authorId="0" shapeId="0" xr:uid="{7A90864C-CE59-40A0-8BEB-9D86879BC610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Se usa el PBT de la manual. El valor cargado en ursea debe ser el peso en vacío = 2150</t>
        </r>
      </text>
    </comment>
    <comment ref="Q766" authorId="0" shapeId="0" xr:uid="{0FAE0734-5CB7-45C2-9ABA-0E9FEDE5354B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R780" authorId="0" shapeId="0" xr:uid="{5AAFC934-1AD5-4CD0-BD22-B9CC5AABB617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PBT Ursea 2078 kg</t>
        </r>
      </text>
    </comment>
    <comment ref="Q787" authorId="0" shapeId="0" xr:uid="{15A55FA9-0BCC-4FB2-9FA1-2C82B1C950A3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Q795" authorId="0" shapeId="0" xr:uid="{5D9D4198-236E-40F1-8ACF-85826C503058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Q797" authorId="0" shapeId="0" xr:uid="{DE4E69AB-9F39-4B4A-B693-DDD47976D7EF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Dato Ursea a revisar</t>
        </r>
      </text>
    </comment>
    <comment ref="Q811" authorId="0" shapeId="0" xr:uid="{098398C0-F99F-4A8A-8FB2-DE050551C779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R811" authorId="0" shapeId="0" xr:uid="{440125EB-6906-46F9-825A-84A20BDC88DE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Se usa el PBT de la manual. El valor cargado en ursea debe ser el peso en vacío = 2150</t>
        </r>
      </text>
    </comment>
    <comment ref="R815" authorId="0" shapeId="0" xr:uid="{417A893A-15BC-41D2-93B6-0041B2B1FBFF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PBT Ursea 2078 kg</t>
        </r>
      </text>
    </comment>
    <comment ref="Q843" authorId="0" shapeId="0" xr:uid="{EFFBC404-A369-4D84-AEF5-37D7BAAD49E2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Lo dejo cargado asi para que se note el error. Tiene que ser Euro 5 por reglamentación 
</t>
        </r>
      </text>
    </comment>
    <comment ref="R843" authorId="0" shapeId="0" xr:uid="{5F33EDD9-9225-4690-8BCD-D737A41DACFA}">
      <text>
        <r>
          <rPr>
            <b/>
            <sz val="9"/>
            <color indexed="81"/>
            <rFont val="Tahoma"/>
            <family val="2"/>
          </rPr>
          <t>Emiliano RO:</t>
        </r>
        <r>
          <rPr>
            <sz val="9"/>
            <color indexed="81"/>
            <rFont val="Tahoma"/>
            <family val="2"/>
          </rPr>
          <t xml:space="preserve">
Se usa el PBT de la manual. El valor cargado en ursea debe ser el peso en vacío = 2150</t>
        </r>
      </text>
    </comment>
  </commentList>
</comments>
</file>

<file path=xl/sharedStrings.xml><?xml version="1.0" encoding="utf-8"?>
<sst xmlns="http://schemas.openxmlformats.org/spreadsheetml/2006/main" count="7803" uniqueCount="1381">
  <si>
    <t>Marca</t>
  </si>
  <si>
    <t>Modelos</t>
  </si>
  <si>
    <t>Origen</t>
  </si>
  <si>
    <t>Cilindrada</t>
  </si>
  <si>
    <t>Ventas</t>
  </si>
  <si>
    <t>Procesado</t>
  </si>
  <si>
    <t>CO2 NEDC (g/km)</t>
  </si>
  <si>
    <t>ALFA ROMEO</t>
  </si>
  <si>
    <t>ITA</t>
  </si>
  <si>
    <t>N</t>
  </si>
  <si>
    <t>AUDI</t>
  </si>
  <si>
    <t>ALE</t>
  </si>
  <si>
    <t>SUV</t>
  </si>
  <si>
    <t>BAIC</t>
  </si>
  <si>
    <t>CHI</t>
  </si>
  <si>
    <t>BMW</t>
  </si>
  <si>
    <t>USA</t>
  </si>
  <si>
    <t>BYD</t>
  </si>
  <si>
    <t>CHERY</t>
  </si>
  <si>
    <t>CHEVROLET</t>
  </si>
  <si>
    <t>COR</t>
  </si>
  <si>
    <t>BRA</t>
  </si>
  <si>
    <t>D</t>
  </si>
  <si>
    <t>ARG</t>
  </si>
  <si>
    <t>MEX</t>
  </si>
  <si>
    <t>TAI</t>
  </si>
  <si>
    <t>FRA</t>
  </si>
  <si>
    <t>DFSK</t>
  </si>
  <si>
    <t>DODGE</t>
  </si>
  <si>
    <t>FIAT</t>
  </si>
  <si>
    <t>FORD</t>
  </si>
  <si>
    <t>FOTON</t>
  </si>
  <si>
    <t>GEELY</t>
  </si>
  <si>
    <t>HONDA</t>
  </si>
  <si>
    <t>HYUNDAI</t>
  </si>
  <si>
    <t>IND</t>
  </si>
  <si>
    <t>JAC</t>
  </si>
  <si>
    <t>JEEP</t>
  </si>
  <si>
    <t>JMC</t>
  </si>
  <si>
    <t>KIA</t>
  </si>
  <si>
    <t>LAND ROVER</t>
  </si>
  <si>
    <t>MAZDA</t>
  </si>
  <si>
    <t>MERCEDES BENZ</t>
  </si>
  <si>
    <t>MINI</t>
  </si>
  <si>
    <t>MITSUBISHI</t>
  </si>
  <si>
    <t>JAP</t>
  </si>
  <si>
    <t>NISSAN</t>
  </si>
  <si>
    <t>RAM</t>
  </si>
  <si>
    <t>RENAULT</t>
  </si>
  <si>
    <t>SUBARU</t>
  </si>
  <si>
    <t>SUZUKI</t>
  </si>
  <si>
    <t>HUN</t>
  </si>
  <si>
    <t>TOYOTA</t>
  </si>
  <si>
    <t>VOLKSWAGEN</t>
  </si>
  <si>
    <t>VOLVO</t>
  </si>
  <si>
    <t>SUE</t>
  </si>
  <si>
    <t>ZX AUTO</t>
  </si>
  <si>
    <t>ESP</t>
  </si>
  <si>
    <t>HAVAL</t>
  </si>
  <si>
    <t>IVECO</t>
  </si>
  <si>
    <t>MASERATI</t>
  </si>
  <si>
    <t>MB7012E60717S01-2</t>
  </si>
  <si>
    <t>PEUGEOT</t>
  </si>
  <si>
    <t>Procesados</t>
  </si>
  <si>
    <t>INDO</t>
  </si>
  <si>
    <t>PORSCHE</t>
  </si>
  <si>
    <t>UTILITARIOS LIVIANOS</t>
  </si>
  <si>
    <t>GWM</t>
  </si>
  <si>
    <t>UK</t>
  </si>
  <si>
    <t>TOTAL</t>
  </si>
  <si>
    <t>Promedio</t>
  </si>
  <si>
    <t>CHANGAN</t>
  </si>
  <si>
    <t>AUTOMOVIL</t>
  </si>
  <si>
    <t>PG6717E60816S00-K</t>
  </si>
  <si>
    <t>SZ6551T250316S00-7</t>
  </si>
  <si>
    <t>VW6097E50115S00-0</t>
  </si>
  <si>
    <t>CH7010E50717S01-5</t>
  </si>
  <si>
    <t>MB7012E60717S00-9</t>
  </si>
  <si>
    <t>UTILITARIO</t>
  </si>
  <si>
    <t>DS5472E51213S01-3</t>
  </si>
  <si>
    <t>BESTUNE</t>
  </si>
  <si>
    <t>CITROËN</t>
  </si>
  <si>
    <t>DONGFENG</t>
  </si>
  <si>
    <t>FURINKA</t>
  </si>
  <si>
    <t>HOZON</t>
  </si>
  <si>
    <t>JETOUR</t>
  </si>
  <si>
    <t>KARRY</t>
  </si>
  <si>
    <t>LMI</t>
  </si>
  <si>
    <t>MAPLE</t>
  </si>
  <si>
    <t>MOBILITY</t>
  </si>
  <si>
    <t>OPEL</t>
  </si>
  <si>
    <t>SEAT</t>
  </si>
  <si>
    <t>TESLA</t>
  </si>
  <si>
    <t>TODAY SUNSHINE</t>
  </si>
  <si>
    <t>VICTORY</t>
  </si>
  <si>
    <t>Giulia 2.0T Extra Full, cuero, techo pan. 4p. Aut.</t>
  </si>
  <si>
    <t>A3 G4 SB Advanced 1.4 TFSi 150 HP Extra Full Tiptronic 5p.</t>
  </si>
  <si>
    <t>A3 G4 SB SLine 1.4 TFSi Extra Full Tiptronic 5p.</t>
  </si>
  <si>
    <t>New A4 SLine Plus 2.0 TFSi 252 HP MHEV Quattro S-Tronic 4p.</t>
  </si>
  <si>
    <t>New Q7 2.0TFSi 252 HP Quattro MHEV Extra Full Tiptronic (ESL</t>
  </si>
  <si>
    <t>New Q7 3.0 TFSi 340 HP Quattro MHEV Extra Full Tiptronic(ESL</t>
  </si>
  <si>
    <t>Nuevo Q3 Advanced 1.4 TFSi Extra Full S-Tronic 5p. (HUN)</t>
  </si>
  <si>
    <t>Nuevo Q3 Advanced Plus 1.4 TFSi Ex. Full S-Tronic 5p. (HUN)</t>
  </si>
  <si>
    <t>Nuevo Q3 SB SLine 1.4 TFSi Extra Full S-Tronic (HUN)</t>
  </si>
  <si>
    <t>Nuevo Q3 SB SLine 2.0 TFSi Quattro Extra Full S-Tronic (HUN</t>
  </si>
  <si>
    <t>Nuevo Q5 2.0 TFSi MHEV S-Tronic Quattro 5p.(MEX)</t>
  </si>
  <si>
    <t>Nuevo Q5 Advanced 2.0 TFSi MHEV S-Tronic Quattro 5p.(MEX)</t>
  </si>
  <si>
    <t>Nuevo Q5 Advanced Plus 2.0TFSi MHEV S-Tronic Quattro 5p.(MEX</t>
  </si>
  <si>
    <t>Nuevo Q5 SB SLine Plus 2.0TFSi MHEV Quattro 5p. S-Tronic(MEX</t>
  </si>
  <si>
    <t>Nuevo Q5 SLine Plus 2.0TFSi MHEV S-Tronic Quattro 5p. (MEX)</t>
  </si>
  <si>
    <t>Nuevo SQ5 3.0 TFSI 354 HP Tiptronic Quattro Extra Full (MEX)</t>
  </si>
  <si>
    <t>T77 Pro 1.5T Premium Extra Full, 6Abag 5p. Aut.</t>
  </si>
  <si>
    <t>128ti 2.0T 245 HP Extra Full 5p. Aut. (F40)</t>
  </si>
  <si>
    <t>135i xDrive M 2.0T Extra Full 5p. Aut. (F40)</t>
  </si>
  <si>
    <t>218i 1.5T 140HP GCP Urban Steptronic 4p. (F44)</t>
  </si>
  <si>
    <t>M X4 xDrive Competition 3.0T Ex.Full Aut.(F98)(USA)</t>
  </si>
  <si>
    <t>M3 Competition 3.0T Extra Full 4p. Aut. (G80)</t>
  </si>
  <si>
    <t>M4 Competition 3.0T Coupe Extra Full Aut. (G82)</t>
  </si>
  <si>
    <t>New M X3 xDrive Competition 3.0T 510HP Ex.Full Aut.(F97)(USA</t>
  </si>
  <si>
    <t>Nuevo X4 xDrive 20i Sport 2.0T M Ex.Full Aut. (G02)(USA)</t>
  </si>
  <si>
    <t>Z4 40i M 3.0T Roadster Extra Full Aut. (G29)</t>
  </si>
  <si>
    <t>New E2 GS 70 KW Ex.Full,6Abag,cue,CTR,Ay.Est. 5p. Aut.</t>
  </si>
  <si>
    <t>Song 1.5T GL Extra Full,2Abag,cue,techo,Ay. Est. 5p.</t>
  </si>
  <si>
    <t>Song 1.5T GL Extra Full,4Abag,cue,techo,Ay.Est. 5p. Aut.</t>
  </si>
  <si>
    <t>Song 1.5T Pro DM GS PHEV Extra Full,6Abag 5p. 4x4 Aut.</t>
  </si>
  <si>
    <t>Song Pro EV GS 135 KW Ex. Full,cue,techo, Ay.Est. 5p. Aut.</t>
  </si>
  <si>
    <t>T3 GL Furgon 100 KW Extra Full, cuero, Ay. Est. 5p. Aut.</t>
  </si>
  <si>
    <t>CS35 Super Luxury 1.6 Extra Full,techo,cuero,Ay.Est. 5p.Aut.</t>
  </si>
  <si>
    <t>Star Box 1.2 2Abag, ABS</t>
  </si>
  <si>
    <t>Star Box 1.2 a/a, faros, 2Abag, ABS</t>
  </si>
  <si>
    <t>Star Box Refrigerado 1.2 faros,2Abag,ABS c/eq. frio -5</t>
  </si>
  <si>
    <t>Star Cargo Furgon 1.2 2Abag, ABS, 2 Ptas. Laterales</t>
  </si>
  <si>
    <t>Star Doble Cabina 1.2 2Abag, ABS</t>
  </si>
  <si>
    <t>Star Doble Cabina 1.2 a/a, faros, 2Abag, ABS</t>
  </si>
  <si>
    <t>Star Pick Up 1.2 a/a, faros, 2Abag, ABS</t>
  </si>
  <si>
    <t>New Tiggo 2 Pro 1.5 Ex.Full,CES,CTR,HSA,Ay.Est. 5p. Aut.(CHI</t>
  </si>
  <si>
    <t>New Tiggo 2 Pro 1.5 Extra Full,CES,CTR,Ay.Est. 5p.(CHI)</t>
  </si>
  <si>
    <t>New Tiggo 4 1.5 Comfort Ex. Full, CES, CTR, Ay. Est. (CHI)</t>
  </si>
  <si>
    <t>New Tiggo 4 1.5 Comfort Ex. Full, CES, CTR, Ay. Est. Aut. ()</t>
  </si>
  <si>
    <t>New Tiggo 7 1.5T Pro Luxury Extra Full, techo 5p. Aut.</t>
  </si>
  <si>
    <t>New Captiva 1.5T LTZ Extra Full,cuero,Ay.Estac. 5p. (CHI)</t>
  </si>
  <si>
    <t>New Captiva 1.5T LTZ Extra Full,cuero,Ay.Estac. 5p.Aut.(CHI)</t>
  </si>
  <si>
    <t>New Captiva 1.5T Premier E.Full,cuero,Ay.Est.7 pax. 5p.Aut.(</t>
  </si>
  <si>
    <t>New Onix 1.0T LTZ Full,6Abag,ABS,CES,CTR,keyless,Ay.Est. 5p.</t>
  </si>
  <si>
    <t>New Onix 1.0T Premier Extra Full 5p. Aut.</t>
  </si>
  <si>
    <t>New Onix 1.0T RS Full, 6Abag,ABS,CES,CTR,llan16,Ay.Est.5p.</t>
  </si>
  <si>
    <t>New Onix 1.2 LS Full, 6Abag, ABS, CES, CTR, espejos 5p.</t>
  </si>
  <si>
    <t>New Onix 1.2 LT Full,6Abag,ABS,CES,CTR,Multim.,Ay. Est. 5p.</t>
  </si>
  <si>
    <t>New Onix Plus 1.0T LTZ Extra Full, Ay. Est. 4p.</t>
  </si>
  <si>
    <t>New Onix Plus 1.0T Premier Extra Full 4p. Aut.</t>
  </si>
  <si>
    <t>New Onix Plus 1.2 LS Full, 6Abag, ABS, CES, CTR, espejos 4p.</t>
  </si>
  <si>
    <t>New Onix Plus 1.2 LT Full,6Abag,ABS,CES,CTR,Multim.,A.Est.4p</t>
  </si>
  <si>
    <t>Nueva S10 2.8 HC TDsl DC Ex.Full,climaut,led,cuero 4x4 Aut.</t>
  </si>
  <si>
    <t>Nueva S10 2.8 LS TDsl DC Full,6Abag,ABS,CES,CTR 4x4</t>
  </si>
  <si>
    <t>Nueva S10 2.8 LT TDsl DC Full,6Abag,ABS,CES,CTR,A.Est4x4 Aut</t>
  </si>
  <si>
    <t>Nueva S10 2.8 LT TDsl DC Full,6Abag,ABS,CES,CTR,Ay.Est 4x4</t>
  </si>
  <si>
    <t>Nueva S10 2.8 LTZ TDsl DC Ex.Full,climaut,led,cuero 4x4 Aut.</t>
  </si>
  <si>
    <t>Nuevo Joy 1.0 Full, 2Abag, ABS, radio, Btooth 5p.</t>
  </si>
  <si>
    <t>Nuevo Joy Plus 1.0 Full, 2Abag, ABS, radio, Btooth 4p.</t>
  </si>
  <si>
    <t>Tracker 1.2T LS Extra Full, Ay. Est. 5p.</t>
  </si>
  <si>
    <t>Tracker 1.2T LTZ Extra Full, cuero, Ay. Est. 5p. Aut.</t>
  </si>
  <si>
    <t>Tracker 1.2T Premier Ex. Full,techo,cue,Ay. Est. 5p. Aut.</t>
  </si>
  <si>
    <t>Berlingo 1.6 K9 Furgon Full,2Abag,ABS, Ay.Est. (ESP)</t>
  </si>
  <si>
    <t>Berlingo 1.6 M69 Essence Furgon dir,a/a,2Abag,ABS,P.Lat(ARG</t>
  </si>
  <si>
    <t>Berlingo 1.6 M69 HDi Dsl Essence Furgon dir,a/a,2Abag,ABS,PL</t>
  </si>
  <si>
    <t>Berlingo K9 1.6T HDi Dsl Furgon Full,2Abag,ABS,A.Est 2PL(ESP</t>
  </si>
  <si>
    <t>Berlingo K9 1.6T HDi Dsl Furgon Full,2Abag,ABS,Ay.Est (ESP)</t>
  </si>
  <si>
    <t>Jumpy 1.6T HDI Diesel Furgon Full,2Abag,ABS,c.est,P.Lat.(ROU</t>
  </si>
  <si>
    <t>New C Elysee 1.6 Feel Pack Full,4Abag,ABS,esp,llan 4p</t>
  </si>
  <si>
    <t>New C4 Cactus 1.6 Feel Pack 115 HP Extra Full 5p. (BRA)</t>
  </si>
  <si>
    <t>New C4 Cactus 1.6 Feel Pack 115 HP Extra Full 5p. Aut. (BRA)</t>
  </si>
  <si>
    <t>C31 1.5 Box dir, a/a, 2Abag, ABS, Pta. Lateral</t>
  </si>
  <si>
    <t>C31 1.5 Pick Up dir, a/a, 2Abag, ABS</t>
  </si>
  <si>
    <t>C32 1.5 Doble Cabina dir, a/a, 2Abag, ABS</t>
  </si>
  <si>
    <t>C35 Furgon 1.5 dir, a/a, 2Abag, ABS, Pta. Lateral</t>
  </si>
  <si>
    <t>K01S Pick Up 1.1 2.7 mts. dir, 2Abag, ABS</t>
  </si>
  <si>
    <t>K05S Furgon 1.1 dir, 2Abag, ABS, faros, 2Ptas. Lat.</t>
  </si>
  <si>
    <t>Durango SXT 3.6 V6 Rural Extra Full 4x4 7 pax Aut.</t>
  </si>
  <si>
    <t>Nueva Strada Dob. Cab. 1.3 Volcano Extra Full,4Abag,Ay.Est.</t>
  </si>
  <si>
    <t>Nueva Strada Dob. Cab. 1.4 Freedom Full, 4Abag, ABS, Led</t>
  </si>
  <si>
    <t>Nueva Strada Pick Up 1.4 Endurance Plus Full, 2Abag, ABS</t>
  </si>
  <si>
    <t>Nueva Toro 1.3T Volcano DC Ex. Full, 7Abag, cuero, Aut.</t>
  </si>
  <si>
    <t>Bronco Sport Big Bend 1.5T Ex.Full,Ay.Estac. 4x4 Aut. (MEX)</t>
  </si>
  <si>
    <t>New F 150 Lariat 3.5T V6 DC Extra Full 4x4 Aut. (USA)</t>
  </si>
  <si>
    <t>New Ranger XLT 3.2 Dob.Cab T.Diesel 4x4 Extra Full (ARG)</t>
  </si>
  <si>
    <t>Nueva F150 XLT 3.5T Dob. Cab. Extra Full 4x4 Aut. (USA)</t>
  </si>
  <si>
    <t>Ranger LTD 3.2 TDsl DC E.Full,7Abag,cue,Ay.Est. 4x4 Aut.(ARG</t>
  </si>
  <si>
    <t>Ranger XL 2.5 D.Cab. Full, 3Abag, ABS, CES, CTR (ARG)</t>
  </si>
  <si>
    <t>Ranger XL Plus 2.2 TDsl DC Full,3Abag,ABS,CES,CTR 4x4 (ARG)</t>
  </si>
  <si>
    <t>Ranger XL Plus 2.5 P.Up Full, 3Abag, ABS, CES, CTR (ARG)</t>
  </si>
  <si>
    <t>Ranger XLS 3.2 TDiesel DC Ex.Full,climaut,Ay.Est. 4x4(ARG)</t>
  </si>
  <si>
    <t>Ranger XLS 3.2 TDiesel DC Ex.Full,climaut,CES,Ay.Est.Aut.(AR</t>
  </si>
  <si>
    <t>Ranger XLT 2.5 DC Extra Full,climaut,3Abag,CES,Ay.Est.(ARG)</t>
  </si>
  <si>
    <t>Ranger XLT 3.2 TDsl DC Ex.Full,climaut,7Abag,Ay.Est.4x4 Aut.</t>
  </si>
  <si>
    <t>Territory 1.5T Titanium Extra Full,cuero,techo,Ay.Est. (CHI)</t>
  </si>
  <si>
    <t>Coolray 1.5T GF Plus E.Full,cue,techo pan,led,cam360 5p.Aut.</t>
  </si>
  <si>
    <t>New X3 1.5 GC Ex.Full,cue,techo,CES,CTR,HSA,Ay. Est. 5p.</t>
  </si>
  <si>
    <t>New X3 1.5 GF E.Full,cue,tech,HSA,DAC,keyless,Ay.Est.5p.Aut.</t>
  </si>
  <si>
    <t>New Wingle 5 DC 2.4 Dignity Ex.Full,CES,CTR,cue,Ay.Est. 4x4</t>
  </si>
  <si>
    <t>New Wingle 5 DC 2.4 Dignity Extra Full,CES,CTR,cue,Ay.Est.</t>
  </si>
  <si>
    <t>New Wingle 5 PUp 2.4 Luxury Full,2Abag,CES,CTR,cue,Ay.Est</t>
  </si>
  <si>
    <t>Poer Family 2.0T D.Cab. Super Luxury Ex.Full,Ay.Est. 4x4 Aut</t>
  </si>
  <si>
    <t>Poer Tool Pilot 2.0T Dob.Cab. Extra Full,4Abag,CTR,Ay.Est.</t>
  </si>
  <si>
    <t>Wingle 7 D.Cab. 2.0 TDi Dsl Luxury Ex.Full,cue, Ay.Est.</t>
  </si>
  <si>
    <t>Wingle 7 D.Cab. 2.0 TDi Dsl Luxury Ex.Full,cue, Ay.Est. 4x4</t>
  </si>
  <si>
    <t>New H6 2.0T High Ex.Full,6Abag,cue,techo,cam360. 5p. Aut.</t>
  </si>
  <si>
    <t>New WR-V 1.5 LX Ex.Full,2Abag,CES,CTR,HSA,Ay.Est.5p. (BRA)</t>
  </si>
  <si>
    <t>H350 Solati 2.5 TDi Furgon Full,2Abag,ABS,c.est.faros (TUR)</t>
  </si>
  <si>
    <t>New HB20 1.0 Comfort Full,4Abag,ABS,CES,CTR 4p. (BRA)</t>
  </si>
  <si>
    <t>New HB20 1.0 Comfort Full,4Abag,ABS,CES,CTR 5p. (BRA)</t>
  </si>
  <si>
    <t>New HB20 1.0 Premium Ex.Full, alarma, Ay. Est. 5p. (BRA)</t>
  </si>
  <si>
    <t>New HB20 1.6 Premium E.Full, 4Abag,CES,CTR,Ay.Est. 4p.(BRA</t>
  </si>
  <si>
    <t>New HB20 1.6 Premium E.Full,4Abag,CES,CTR,Ay.Est. 5p.(BRA)</t>
  </si>
  <si>
    <t>New HB20 1.6 Premium E.Full,4Abag,CES,CTR,Ay.Est.4p.Aut.(BRA</t>
  </si>
  <si>
    <t>New HB20 1.6 Premium E.Full,4Abag,CES,CTR,cruc. 5p.Aut.(BRA)</t>
  </si>
  <si>
    <t>New HB20 1.6 Unique E.Full,climaut,CES,CTR,Ay.Est. 5p.(BRA)</t>
  </si>
  <si>
    <t>New HB20 1.6 Unique E.Full,climaut,CES,CTR,cruc.4p.Aut.(BRA)</t>
  </si>
  <si>
    <t>New HB20X Cross 1.6 Premium, 4Abag,CES,CTR,Ay.Est. 5p (BRA)</t>
  </si>
  <si>
    <t>New HB20X Cross 1.6 Premium,4Abag,CES,CTR,Ay.Est. 5p Aut.(BR</t>
  </si>
  <si>
    <t>New Ioniq 1.6 HEV GLS Extra Full, 7Abags 5p. Aut.</t>
  </si>
  <si>
    <t>New Kona 1.6 Safe HEV Extra Full, 6Abag, Ayud. Estac. Aut.</t>
  </si>
  <si>
    <t>Nueva Santa Fe 2.5 Limited Ex.Full,cue,techo 7 pax. 4x4 Aut.</t>
  </si>
  <si>
    <t>Nueva Santa Fe 2.5 Premium Extra Full, cuero 7 pax. Aut.</t>
  </si>
  <si>
    <t>Nueva Santa Fe 3.5 Limited Ex.Full,cue,techo 7 pax. 4x4 Aut.</t>
  </si>
  <si>
    <t>Nuevo Sonata 2.0 HEV GLS Ex.Full,cue,techo,Ay.Est. 4p. Aut.</t>
  </si>
  <si>
    <t>Tucson NX4 1.6T Limited Ex.Full,cue,techo pan,cam360 5p.Aut.</t>
  </si>
  <si>
    <t>Tucson NX4 1.6T Safe Ex. Full, cuero, Ay. Estac. 5p. Aut.</t>
  </si>
  <si>
    <t>Sunray 120 KW Furgon 12m3 Full,Abag,ABS Ayud. Est. Aut.</t>
  </si>
  <si>
    <t>Sunray 2.8 T.Diesel Furgon 7,5m3 Full,Abag,ABS Ay. Est.</t>
  </si>
  <si>
    <t>Sunray 2.8 Turbo Diesel Furgon Full,Abag,ABS Ayuda.est.</t>
  </si>
  <si>
    <t>Sunray 2.8T Minibus Full,Abag,ABS Ayuda.est. 15 pax.</t>
  </si>
  <si>
    <t>T6 2.0 Dob. Cab. Full,2Abag,ABS,cuero,Ay. Estac.,prot. caja</t>
  </si>
  <si>
    <t>T6 2.0 Doble Cabina Full,2Abag,ABS,Ay. Estac.,prot. Caja</t>
  </si>
  <si>
    <t>Gladiator Rubicon 3.6 Dob. Cab. Extra Full, cuero 4x4 Aut.</t>
  </si>
  <si>
    <t>New Wrangler Unlimited Rubicon 3.6 E.Full,Ay.Est. 4x4 4p.Aut</t>
  </si>
  <si>
    <t>Nuevo Compass 1.3T Limited Ex.Full,7Abag,cue,P.Ass. Aut(BRA)</t>
  </si>
  <si>
    <t>X70 1.5T Luxury Ex.Full,CES,CTR,cue,techo,Ay.Est.7 pax. Aut.</t>
  </si>
  <si>
    <t>X70 1.5T Luxury Extra Full, 4Abags, CES, CTR,cue,techo, 7 p.</t>
  </si>
  <si>
    <t>N520 Touring Cargo Furgon 2.8 T.Dsl Full,2Abag,ABS,Pta.Lat.</t>
  </si>
  <si>
    <t>N520 Touring Cargo Furgon Largo 2.8 T.Dsl Full,2Abag,ABS,P.L</t>
  </si>
  <si>
    <t>Q22 1.1 Pick Up a/a, dir, faros, 2Abag, ABS</t>
  </si>
  <si>
    <t>Q22 1.2 Furgon a/a, dir, faros, 2Abag, ABS, 2Ptas. Lat.</t>
  </si>
  <si>
    <t>Q22 1.3 Doble Cabina  a/a, dir, faros, 2Abag, ABS</t>
  </si>
  <si>
    <t>New Carnival 3.5 V6 EX Ex.Full,cue,techo,Ay.Est. 8 pax. Aut.</t>
  </si>
  <si>
    <t>TUTU YM2000DP 2 KW Full, techo 2p. Aut.</t>
  </si>
  <si>
    <t>CX30 2.0 Core Skyactiv Full,7Abag,Ay.Est. 5p. Aut.(MEX)</t>
  </si>
  <si>
    <t>CX30 2.0 High Skyactiv Ex.Full,cue,Ay.Est. 5p. Aut.(MEX)</t>
  </si>
  <si>
    <t>MX-5 Miata iSport 2.0 Roadster Extra Full 2p.</t>
  </si>
  <si>
    <t>C 300 AMG Line 2.0T MHEV Extra Full Aut. (W 206)</t>
  </si>
  <si>
    <t>GLA 35 AMG 2.0T 4x4 Aut. (H 247)</t>
  </si>
  <si>
    <t>GLC 300 e 2.0T Coupe AMG Line PHEV 4x4 Aut. (C253)</t>
  </si>
  <si>
    <t>GLE 350 2.0T Plus Diesel PHEV 4x4 Aut. (V167)(USA)</t>
  </si>
  <si>
    <t>GLS 450 3.0T MHEV E.Full,as.cal. 4x4 Aut.7pax.(X 167)(USA)</t>
  </si>
  <si>
    <t>Nueva Sprinter 311 CDi Dsl 3250 Furgon Compacto Full (VS30)(</t>
  </si>
  <si>
    <t>Nueva Sprinter 415 CDi Dsl 4325 Furgon Full (VS30)(ARG)</t>
  </si>
  <si>
    <t>Nueva Sprinter 515 CDi Dsl 4325 Furgon Ex.Largo Full(VS30)(A</t>
  </si>
  <si>
    <t>Nuevo C 200 Avantgarde 1.5T MHEV Extra Full Aut. (W 206)</t>
  </si>
  <si>
    <t>Nuevo John Cooper Works Cabrio 2.0T Spitfire Aut. (F57)(HOL)</t>
  </si>
  <si>
    <t>Nueva L200 DC 2.4 T.Dsl GLS HP 4x4 E.Full,cue,Ay.Est.Aut.(TA</t>
  </si>
  <si>
    <t>Nueva L200 DC 2.4 T.Dsl GLX HR Full,2Abag,ABS,prot.caja (TAI</t>
  </si>
  <si>
    <t>Nueva L200 DC 2.4 TDsl GLS 4x4 Full,climaut,7Abag,ABS,Ay.E(T</t>
  </si>
  <si>
    <t>Nueva L200 Dob. Cab. 2.4 GL 4x4 Full,2Abag,ABS,prot.caja(TAI</t>
  </si>
  <si>
    <t>Leaf Tekna 110 KW Extra Full, cuero, Ay.Estac. 5p. Aut. (UK)</t>
  </si>
  <si>
    <t>New Frontier 2.5 LE 187HP TDsl DC E.Full,clim,cue,Ay.Est.4x4</t>
  </si>
  <si>
    <t>New Frontier 2.5 LE 187HP TDsl DC Ex.Full,clim,cue,Ay.Est.</t>
  </si>
  <si>
    <t>New Frontier 2.5 LE TDsl DC E.Full,clim,cue,Ay.Est.4x4 Aut.</t>
  </si>
  <si>
    <t>New Frontier 2.5 Pro-4X 160HP DC Ex.Full,cue,Ay.Est.4x4 Aut.</t>
  </si>
  <si>
    <t>New Frontier 2.5 Pro-4X TDsl DC Ex.Full,cue,Ay.Est.4x4 Aut.</t>
  </si>
  <si>
    <t>New Frontier 2.5 S 160HP Pick Up TDsl Full,2Abag,CES,CTR</t>
  </si>
  <si>
    <t>New Frontier 2.5 S 160HP TDsl DC Full,6Abag,CES,CTR</t>
  </si>
  <si>
    <t>New Frontier 2.5 S 160HP TDsl DC Full,6Abag,CES,CTR 4x4</t>
  </si>
  <si>
    <t>New Frontier 2.5 S Dob. Cab. 158HP Full,6Abag,CES,CTR</t>
  </si>
  <si>
    <t>New Frontier 2.5 S Pick Up 158HP Full,2Abag,ABS,CES,CTR</t>
  </si>
  <si>
    <t>New Frontier 2.5 SE 160HP TDsl DC Full,6Abag,CES,CTR,llan17</t>
  </si>
  <si>
    <t>New Frontier 2.5 SE DC 158HP Full,6Abag,CES,CTR,llan17</t>
  </si>
  <si>
    <t>New Frontier 2.5 SE TDsl DC Full,6Abag,CES,CTR,llan17 4x4</t>
  </si>
  <si>
    <t>New Frontier 2.5 XE 187HP TDsl DC E.Full,clim,Ay.Est.4x4 Aut</t>
  </si>
  <si>
    <t>New Frontier 2.5 XE 187HP TDsl DC Extra Full,clim,Ay.Est.</t>
  </si>
  <si>
    <t>New Frontier 2.5 XE 187HP TDsl DC Extra Full,clim,Ay.Est.4x4</t>
  </si>
  <si>
    <t>New Kicks 1.6 Advance Full,6Abag,CES,CTR,HSA,Ay.Est. 5p.</t>
  </si>
  <si>
    <t>New Kicks 1.6 Advance Full,6Abag,CES,CTR,HSA,Ay.Est. 5p. Aut</t>
  </si>
  <si>
    <t>New Kicks 1.6 Exclusive E.Full,cue,CES,CTR,HSA,Ay.Est.5p.Aut</t>
  </si>
  <si>
    <t>New Versa 1.6 Advance Full,6Abag,ABS,CES,Ay.Est. 4p.</t>
  </si>
  <si>
    <t>New Versa 1.6 Exclusive Ex.Full,cuero,CES,Ay.Est. Aut. 4p.</t>
  </si>
  <si>
    <t>New Versa 1.6 Sense Full,6Abag,ABS,CES,Ay.Est. 4p.</t>
  </si>
  <si>
    <t>Sentra B18 2.0 Advance Extra Full 4p. Aut.</t>
  </si>
  <si>
    <t>Sentra B18 2.0 Exclusive Extra Full, techo, cuero 4p. Aut.</t>
  </si>
  <si>
    <t>Sentra B18 2.0 SR Extra Full, techo, cuero 4p. Aut.</t>
  </si>
  <si>
    <t>Versa Drive 1.6 Full, 6Abag, ABS, CES 4p.</t>
  </si>
  <si>
    <t>Versa Drive 1.6 Full, 6Abag, ABS, CES 4p. Aut.</t>
  </si>
  <si>
    <t>Corsa Elegance 1.2T Extra Full,CES,Ay.Est. 5p. (ESP)</t>
  </si>
  <si>
    <t>Crossland X Elegance 1.2T E.Full,cue,tech,Ay.Est.5p.Aut.(ESP</t>
  </si>
  <si>
    <t>Boxer L1H1 2.2 HDi Diesel Furgon Full,2Abag,ABS,c.est,P.Late</t>
  </si>
  <si>
    <t>Boxer L2H2 2.2 HDi Dsl Furgon Full,2Abag,ABS,c.est,P.Lat,Ay.</t>
  </si>
  <si>
    <t>Boxer L4H2 2.2 HDi Dsl Furgon Full,2Abag,ABS,c.est,P.Lat,Ay.</t>
  </si>
  <si>
    <t>Expert 1.6T Furgon Diesel Full,2Abag,ABS,espejos,faros (ROU)</t>
  </si>
  <si>
    <t>Landtrek 1.9T Action Dsl DC Ex.Full,clim,cue,GPS,Ay.Est.4x4(</t>
  </si>
  <si>
    <t>Landtrek 1.9T Active Dsl DC Ex.Full,6Abag,ABS,CES,Ay.Est.(CH</t>
  </si>
  <si>
    <t>Landtrek 2.4T Active DC Ex.Full,6Abag,ABS,CES,Ay.Est.(CHI)</t>
  </si>
  <si>
    <t>Nueva 2008 Active 1.2T 130HP Ex.Full,6Abag,Ay.Est. Aut.(ESP)</t>
  </si>
  <si>
    <t>Nueva 2008 Allure 1.2T 130HP E.Full,cue,techo,llan17 Aut.(ES</t>
  </si>
  <si>
    <t>Nueva 2008 GT 100 KW Ex.Full,6Abag,cuero,t.cie. 5p. Aut.(ESP</t>
  </si>
  <si>
    <t>Nueva 2008 GTLine 1.2T 155HP E.Full,cue,techo,led,llan18 Aut</t>
  </si>
  <si>
    <t>Nueva 3008 Active 1.2T Ex.Full,CES,HSA,cuero,Ay.Est. 5p. Aut</t>
  </si>
  <si>
    <t>Nueva 3008 GT 1.6T PHEV Ex.Full,cue,techo,Ay.Est.4x4 5p.Aut.</t>
  </si>
  <si>
    <t>Nuevo 208 1.2 Active Extra Full,techo,Ayud.Est. 5p. (ARG)</t>
  </si>
  <si>
    <t>Nuevo 208 1.6 Allure Ex.Full,t.cielo,Ay.Est.5p.Aut.(ARG)</t>
  </si>
  <si>
    <t>Nuevo 208 1.6 Allure Extra Full,t.cielo,Ay.Est.5p.(ARG)</t>
  </si>
  <si>
    <t>Nuevo 208 1.6 Feline Ex.Full,led,t.cielo,Ay.Est.5p.Aut.(ARG</t>
  </si>
  <si>
    <t>Partner 1.6 Furgon Full, 2Abag, ABS Pta. Lat. M69 (ARG)</t>
  </si>
  <si>
    <t>Partner 1.6 HDi Furgon Diesel M69 dir,a/a,2Abag,ABS,P.Lat.(A</t>
  </si>
  <si>
    <t>Rifter 1.2T Allure Rural Ex. Full,6Abag,CES. 7pax. Aut.(ESP</t>
  </si>
  <si>
    <t>Nuevo Macan 2.0T Extra Full AWD 5p. Aut.</t>
  </si>
  <si>
    <t>Kangoo 3 1.6 Confort Furgon Full,2Abag,ABS,Ay.Estac,c.est.(A</t>
  </si>
  <si>
    <t>Kangoo 3 1.6 Profesional Furgon dir,a/a,bloq,2Abag,ABS,c.est</t>
  </si>
  <si>
    <t>Kangoo Maxi ZE 44KW Rural Full, 2Abag, ABS, Pta. Lat. (FRA)</t>
  </si>
  <si>
    <t>New Duster Intens 1.6 Full,clim,2Abag,ABS,CES 5p. (BRA)</t>
  </si>
  <si>
    <t>New Duster Intens 1.6 Full,clim,2Abag,ABS,CES 5p.Aut (BRA)</t>
  </si>
  <si>
    <t>New Duster Intens Outsider 1.6 E.Full,cam360,llan17 5p.Aut(B</t>
  </si>
  <si>
    <t>New Duster Intens Vision 1.3T E.Full,cam360,llan17 5p.Aut.(B</t>
  </si>
  <si>
    <t>New Duster Intens Vision 1.6 E.Full,cam360,llan17 5p.Aut(BRA</t>
  </si>
  <si>
    <t>New Duster Zen 1.6 Full,2Abag,ABS,CES 5p. (BRA)</t>
  </si>
  <si>
    <t>New Logan Life 1.0 Full, 4Abag, ABS 4p. (BRA)</t>
  </si>
  <si>
    <t>New Logan Zen 1.0 Full, 4Abag, ABS, Ay. Est. 4p. (BRA)</t>
  </si>
  <si>
    <t>New Stepway Intense 1.6 Ex.Full,c.est.,Ay.Est. 5p. Aut.(BRA)</t>
  </si>
  <si>
    <t>Arona 1.6 FR Extra Full, climaut, led, Ay. Estac. 5p. Aut.</t>
  </si>
  <si>
    <t>Arona 1.6 Style Extra Full, Ay. Estac. 5p. Aut.</t>
  </si>
  <si>
    <t>New Alto 800 GA dir, a/a, 2Abag, ABS, c/Multimedia 5p. (IND)</t>
  </si>
  <si>
    <t>New Alto 800 GL Full, 2Abag, ABS, c/Multimedia 5p. (IND)</t>
  </si>
  <si>
    <t>New Dzire 1.2 GL Extra Full,CES,CTR,Ay.Est. 4p. (IND)</t>
  </si>
  <si>
    <t>New Dzire 1.2 GL Extra Full,CES,CTR,Ay.Est. 4p. Aut. (IND)</t>
  </si>
  <si>
    <t>New Dzire 1.2 GLX Ex.Full,climaut,CES,CTR,Ay.Est.4p.(IND)</t>
  </si>
  <si>
    <t>New Dzire 1.2 GLX Ex.Full,climaut,CES,CTR,Ay.Est.4p.Aut.(IND</t>
  </si>
  <si>
    <t>S-Presso 1.0 GL Full, 2Abag, ABS, Ayud. Estac. 5p. (IND)</t>
  </si>
  <si>
    <t>Swift 1.2 GL Full, 2Abag, ABS, CES, Ay. Estac. 5p. (IND)</t>
  </si>
  <si>
    <t>Swift 1.2 GL Full,2Abag,ABS,CES,HSA,Ay. Estac. 5p. Aut. (IND</t>
  </si>
  <si>
    <t>Swift 1.4T Sport Extra Full, climaut, 6Abag, ABS 5p.</t>
  </si>
  <si>
    <t>Swift 1.4T Sport Extra Full, climaut, 6Abag, ABS 5p. Aut.</t>
  </si>
  <si>
    <t>3 Long Range AWD Performance Extra Full 4p. Aut</t>
  </si>
  <si>
    <t>3 Standard Plus Extra Full 4p. Aut</t>
  </si>
  <si>
    <t>Y Long Range AWD 5p. Aut.</t>
  </si>
  <si>
    <t>Y Long Range AWD 7 pax 5p. Aut.</t>
  </si>
  <si>
    <t>Y Long Range AWD Performance 5p. Aut.</t>
  </si>
  <si>
    <t>M1 4,5 KW Full 3p.</t>
  </si>
  <si>
    <t>4Runner 4.0 V6 Limited Extra Full 7 pax. 4x4 Aut. 5p.</t>
  </si>
  <si>
    <t>Corolla Cross 1.8 SE-G HEV Ex.Full,cue,techo,Ay.Est.5p.Aut.(</t>
  </si>
  <si>
    <t>Corolla Cross 1.8 XEi HEV Ex.Full,Ayud.Estac. 5p. Aut. (BRA)</t>
  </si>
  <si>
    <t>Hilux DC SR 2.4T Diesel Extra Full, llantas 4x4 Aut. (ARG)</t>
  </si>
  <si>
    <t>Hilux DC SRV 2.8T Dsl Ex.Full,clim,led,ala,Ay.Est (ARG)</t>
  </si>
  <si>
    <t>Hilux DC SRV 2.8T Dsl Ex.Full,clim,led,ala,Ay.Est 4x4 Aut.(A</t>
  </si>
  <si>
    <t>Hilux DC SRV 2.8T Dsl Ex.Full,clim,led,ala,Ay.Est 4x4(ARG)</t>
  </si>
  <si>
    <t>Hilux DC SRV Plus 2.8T Dsl Ex.Full,clim,cue,Ay.Est 4x4 Aut.(</t>
  </si>
  <si>
    <t>Hilux DC SRV Plus TSS 2.8 TDsl Extra Full, cue 4x4 Aut.(ARG)</t>
  </si>
  <si>
    <t>Hilux Dob. Cab 4.0 V6 SRX Ex.Full,cue,but.ele 4x4 Aut. (ARG)</t>
  </si>
  <si>
    <t>Hilux Dob. Cab. 2.7 DX Extra Full (ARG)</t>
  </si>
  <si>
    <t>Hilux Dob. Cab. 2.7 DX Extra Full, alarma 4x4 (ARG)</t>
  </si>
  <si>
    <t>Hilux Dob. Cab. 2.7 SR Extra Full, llantas, Ay. Estac. (ARG)</t>
  </si>
  <si>
    <t>Hilux Dob. Cab. 2.7 SRV Ex.Full,clim,cuero,led,Ay.Est. (ARG)</t>
  </si>
  <si>
    <t>Hilux Dob. Cab. 2.7 SRV Ex.Full,clim,led,Ay.Est. 4x4 (ARG)</t>
  </si>
  <si>
    <t>Hilux Dob. Cab. DX 2.4T Diesel Extra Full (ARG)</t>
  </si>
  <si>
    <t>Hilux Dob. Cab. DX 2.4T Diesel Extra Full 4x4 (ARG)</t>
  </si>
  <si>
    <t>Hilux Dob. Cab. SR 2.4T Diesel Extra Full, llantas (ARG)</t>
  </si>
  <si>
    <t>Hilux Dob. Cab. SR 2.4T Diesel Extra Full, llantas 4x4 (ARG)</t>
  </si>
  <si>
    <t>Hilux P.Up DX 2.4T Diesel Extra Full (ARG)</t>
  </si>
  <si>
    <t>Hilux P.Up DX 2.4T Diesel Extra Full 4x4 (ARG)</t>
  </si>
  <si>
    <t>New Land Cruiser Prado 4.0 4x4 Extra Full Aut. (VX)</t>
  </si>
  <si>
    <t>Nuevo C-HR Dynamic 1.8 HEV Extra Full 5p. Aut.(TUR)</t>
  </si>
  <si>
    <t>Nuevo C-HR Luxury 1.8 HEV Extra Full, cuero 5p. Aut.(TUR)</t>
  </si>
  <si>
    <t>Nuevo Corolla 1.8 SE-G HEV E.Full,cue,led,A.Est.4p.Aut.(BRA)</t>
  </si>
  <si>
    <t>Nuevo Corolla 1.8 XEi HEV E.Full, Ayud.Estac. 4p. Aut. (BRA)</t>
  </si>
  <si>
    <t>Nuevo Corolla 2.0 SE-G Extra Full Aut. (BRA)</t>
  </si>
  <si>
    <t>Nuevo Corolla 2.0 XLi Extra Full 4p. (BRA)</t>
  </si>
  <si>
    <t>Rav4 2.5 Limited Hybrid Plus E.Full,techo,cue,llan18 4x4 Aut</t>
  </si>
  <si>
    <t>Rav4 2.5 Limited Hybrid Plus Ex.Full,techo,cuero,llan18 Aut.</t>
  </si>
  <si>
    <t>Rav4 2.5 S Hybrid Full, 7Abags, ABS, Ay. Estac. Aut.</t>
  </si>
  <si>
    <t>Rav4 2.5 S Hybrid Plus Full, 7Abags, ABS, Ay.Estac. Aut.</t>
  </si>
  <si>
    <t>SCH1025S Doble Cabina 1.2 a/a, 2Abag, ABS</t>
  </si>
  <si>
    <t>SCH5020XXYD Furgon 1.2 a/a,2Abag,ABS,2Ptas. Lat., Ay.Estac.</t>
  </si>
  <si>
    <t>SCH6430 Minibus 1.2 11 pax. a/a, 2Abag, ABS+EBD</t>
  </si>
  <si>
    <t>Gol VIII 1.6 Highline Full,2Abag,ABS,dock stat. Ay.Est. 5p.</t>
  </si>
  <si>
    <t>Gol VIII 1.6 Trendline Full,2Abag,ABS,dock station,llan15 4p</t>
  </si>
  <si>
    <t>Gol VIII 1.6 Trendline Full,2Abag,ABS,dock station,llan15 5p</t>
  </si>
  <si>
    <t>New Amarok 2.0 TDi 180 HP D.Cab. Highline E.Full 4x4 (ARG)</t>
  </si>
  <si>
    <t>New Amarok 2.0 TDi 180 HP D.Cab. Highline E.Full Aut. (ARG)</t>
  </si>
  <si>
    <t>New Amarok 2.0 TDi 180 HP D.Cab. Highline Extra Full (ARG)</t>
  </si>
  <si>
    <t>New Amarok 2.0 TDi 180HP D.Cab. Highline E.Full 4x4 Aut.(ARG</t>
  </si>
  <si>
    <t>New Amarok 3.0 TDi D.Cab. Highline E.Full,cuero,led 4x4 Aut </t>
  </si>
  <si>
    <t>Nivus 1.0T Comfortline Ex. Full,6Abag,CES,Ay.Est. 5p. Aut.</t>
  </si>
  <si>
    <t>Nivus 1.0T Highline Ex.Full,climaut,keyless,led,CES 5p. Aut.</t>
  </si>
  <si>
    <t>Polo VI 1.6 Highline Extra Full 5p.</t>
  </si>
  <si>
    <t>Polo VI 1.6 Highline Extra Full 5p. Aut.</t>
  </si>
  <si>
    <t>Polo VI 1.6 Trendline Full, 4Abag, ABS, c.est. 5p.</t>
  </si>
  <si>
    <t>Saveiro VII 1.6 Dob.Cab Cross Ex.Full,cam.rev,cue,dock stat.</t>
  </si>
  <si>
    <t>T-Cross 1.0T Trendline Extra Full, Ay.Est. 5p. Aut.</t>
  </si>
  <si>
    <t>Virtus 1.6 Highline Extra Full 4p. Aut.</t>
  </si>
  <si>
    <t>Virtus 1.6 Trendline Full, 4Abag, ABS, c.est. 4p.</t>
  </si>
  <si>
    <t>XC40 T5 R-Design 1.5T PHEV Extra Full Aut. (BEL)</t>
  </si>
  <si>
    <t>XC60 T8 R-Design 2.0T 400 HP PHEV AWD Extra Full Aut.</t>
  </si>
  <si>
    <t>XC90 T8 Inscription 2.0T 400 HP PHEV AWD Extra Full Aut.</t>
  </si>
  <si>
    <t>COMERCIAL</t>
  </si>
  <si>
    <t>ALTA GAMA, DEPORT. y CONVERT.</t>
  </si>
  <si>
    <t>SUV y CROSSOVER</t>
  </si>
  <si>
    <t>UTILITARIOS MEDIANOS y GRANDES</t>
  </si>
  <si>
    <t>MEDIANOS</t>
  </si>
  <si>
    <t>GRANDES</t>
  </si>
  <si>
    <t>UTILITARIOS COMPACTOS</t>
  </si>
  <si>
    <t>P.UP/ DC COMPACTOS</t>
  </si>
  <si>
    <t>MEDIANOS COMPACTOS</t>
  </si>
  <si>
    <t>MONOVOLUMEN</t>
  </si>
  <si>
    <t>P.UP / DC MEDIANOS Y GRANDES</t>
  </si>
  <si>
    <t>P.UP/ DC LIVIANOS</t>
  </si>
  <si>
    <t>CHICOS</t>
  </si>
  <si>
    <t>ESL</t>
  </si>
  <si>
    <t>ROU</t>
  </si>
  <si>
    <t>TUR</t>
  </si>
  <si>
    <t>GB</t>
  </si>
  <si>
    <t>HOL</t>
  </si>
  <si>
    <t>BEL</t>
  </si>
  <si>
    <t>BEV</t>
  </si>
  <si>
    <t>MHEV</t>
  </si>
  <si>
    <t>PHEV</t>
  </si>
  <si>
    <t>HEV</t>
  </si>
  <si>
    <t>Euro 6</t>
  </si>
  <si>
    <t>Tier 2 B5</t>
  </si>
  <si>
    <t>Euro 6 b</t>
  </si>
  <si>
    <t>CH7890E61119S00-K</t>
  </si>
  <si>
    <t xml:space="preserve">Fuente de datos </t>
  </si>
  <si>
    <t>RN8159E51120S00-4</t>
  </si>
  <si>
    <t>Euro 4</t>
  </si>
  <si>
    <t>Euro 5</t>
  </si>
  <si>
    <t>VW7204E50118S00-6</t>
  </si>
  <si>
    <t>CH8008E60320S00-8</t>
  </si>
  <si>
    <t>Total N</t>
  </si>
  <si>
    <t>Total D</t>
  </si>
  <si>
    <t>Utilitario N</t>
  </si>
  <si>
    <t>Utilitario D</t>
  </si>
  <si>
    <t>SUV D</t>
  </si>
  <si>
    <t>Automovil N (incluye HEV y MHEV)</t>
  </si>
  <si>
    <t xml:space="preserve">Automovil D </t>
  </si>
  <si>
    <t>No hay HEV o MHEV Diesel</t>
  </si>
  <si>
    <t>Automovil N (solo HEV y MHEV)</t>
  </si>
  <si>
    <t>Lge/100km</t>
  </si>
  <si>
    <t xml:space="preserve">Unidades </t>
  </si>
  <si>
    <t>Tier 3 B160</t>
  </si>
  <si>
    <t>Euro 6 c</t>
  </si>
  <si>
    <t>CH7999E60320S00-4</t>
  </si>
  <si>
    <t>CH7990E60320S00-5</t>
  </si>
  <si>
    <t>CY7159E50419S01-2</t>
  </si>
  <si>
    <t>CY7158E50419S01-7</t>
  </si>
  <si>
    <t>CY8147E61020S01-0</t>
  </si>
  <si>
    <t>MZ7928E51219S00-1</t>
  </si>
  <si>
    <t>CH8334E60521S01-3</t>
  </si>
  <si>
    <t>MB8450E61021S00-2</t>
  </si>
  <si>
    <t>Tier 3 B30</t>
  </si>
  <si>
    <t>BM7867E61019S00-5</t>
  </si>
  <si>
    <t>BM7874E61019S00-3</t>
  </si>
  <si>
    <t>Euro 6 d</t>
  </si>
  <si>
    <t>BM8031E60420S00-2</t>
  </si>
  <si>
    <t>CH7010E50717S00-1</t>
  </si>
  <si>
    <t>BM7885E61119S01-6</t>
  </si>
  <si>
    <t>MB8400E60821S01-8</t>
  </si>
  <si>
    <t>PG8337E60621S00-7</t>
  </si>
  <si>
    <t>PG8183E61220S00-1</t>
  </si>
  <si>
    <t>PG8056E60620S00-9</t>
  </si>
  <si>
    <t>VL8473E61121S00-K</t>
  </si>
  <si>
    <t>MN8431E60921S00-4</t>
  </si>
  <si>
    <t>MZ7342E50518S01-8</t>
  </si>
  <si>
    <t>SUV N (incluye hibridos)</t>
  </si>
  <si>
    <t>km/L</t>
  </si>
  <si>
    <t xml:space="preserve">Procesado </t>
  </si>
  <si>
    <t>Total con datos</t>
  </si>
  <si>
    <t>Sin datos relevados</t>
  </si>
  <si>
    <t>Procesados N</t>
  </si>
  <si>
    <t>Procesados D</t>
  </si>
  <si>
    <t>JINMA</t>
  </si>
  <si>
    <t>JINPENG</t>
  </si>
  <si>
    <t>KAIYI</t>
  </si>
  <si>
    <t>KAIYUN</t>
  </si>
  <si>
    <t>LEAP MOTOR</t>
  </si>
  <si>
    <t>LETIN</t>
  </si>
  <si>
    <t>MAXUS</t>
  </si>
  <si>
    <t>OMODA</t>
  </si>
  <si>
    <t>ORA</t>
  </si>
  <si>
    <t>SINOGOLD</t>
  </si>
  <si>
    <t>XEV</t>
  </si>
  <si>
    <t>Stelvio QV 2.9 V6 Biturbo Extra Full, cuero 4x4 5p. Aut.</t>
  </si>
  <si>
    <t>A3 G4 SB 1.4 TFSi Extra Full Tiptronic 5p.</t>
  </si>
  <si>
    <t>A3 G4 SB Advanced Plus 1.4 TFSi Extra Full Tiptronic 5p.</t>
  </si>
  <si>
    <t>A3 G4 SB SLine Plus 1.4 TFSi Extra Full Tiptronic 5p.</t>
  </si>
  <si>
    <t>A3 G4 SE 1.4 TFSi Extra Full Tiptronic 4p.</t>
  </si>
  <si>
    <t>A3 G4 SE Advanced 1.4 TFSi Extra Full Tiptronic 4p.</t>
  </si>
  <si>
    <t>A3 G4 SE SLine 1.4 TFSi Extra Full Tiptronic 4p.</t>
  </si>
  <si>
    <t>E-Tron Advanced Plus 55 Quattro 300 KW E.Full 5p. Aut.(BEL)</t>
  </si>
  <si>
    <t>E-Tron SB S Line Plus 55 Quattro 300 KW E.Full 5p. Aut.(BEL)</t>
  </si>
  <si>
    <t>New A6 2.0 TFSi 190 HP MHEV Extra Full S-Tronic 4p.</t>
  </si>
  <si>
    <t>Nuevo Q2 Advanced 1.4 TFSi 150 HP Extra Full Tiptronic 5p.</t>
  </si>
  <si>
    <t>Nuevo Q5 Sline 2.0TFSi PHEV S-Tronic Quattro 5p. (MEX)</t>
  </si>
  <si>
    <t>Nuevo SQ5 SB 3.0 TFSI Quattro Extra Full Tiptronic (MEX)</t>
  </si>
  <si>
    <t>Q8 E-Tron Advanced Plus 55 300KW Quattro E.Full 5p.Aut.(BEL)</t>
  </si>
  <si>
    <t>Q8 E-Tron SB Sline 55 300KW Quattro Extra Full 5p.Aut.(BEL)</t>
  </si>
  <si>
    <t>RS E-Tron GT 440 KW Extra Full 4p. Aut.</t>
  </si>
  <si>
    <t>RS3 G4 SE 2.5 TFSi Extra Full Quattro S-Tronic 4p.</t>
  </si>
  <si>
    <t>S3 G4 SE 2.0 TFSi Extra Full Quattro S-Tronic 4p. (HUN)</t>
  </si>
  <si>
    <t>EC3 45KW Full, 2Abag, ABS, CES, CTR 5p. Aut.</t>
  </si>
  <si>
    <t>EU5 120 KW Extra Full, techo, Ay. Est.  4p. Aut.</t>
  </si>
  <si>
    <t>EU5 120 KW Full, 2Abag, ABS, CES, CTR 4p. Aut.</t>
  </si>
  <si>
    <t>EX3 160KW Fashion Ex.Full,4bag,CES,CTR,techo,Ay.Est.5p.Aut.</t>
  </si>
  <si>
    <t>EX3 160KW Wind Extra Full, CES, CTR, Ay. Est. 5p. Aut.</t>
  </si>
  <si>
    <t>Nat 100KW Full,2Abag,ABS,CES,CTR,cuero,Ay. Est.  5p. Aut.</t>
  </si>
  <si>
    <t>T33 1.2T Luxury Ex.Full,cue,techo,CES,CTR, Ay.Est. 5p. Aut.</t>
  </si>
  <si>
    <t>T77 Pro 1.5T Honorable Extra Full, 6Abag, cam360 5p. Aut.</t>
  </si>
  <si>
    <t>118i 1.5T City Extra Full 5p. Aut. (F40)</t>
  </si>
  <si>
    <t>118i 1.5T M Sport Ex. Full 5p. Aut. (F40)</t>
  </si>
  <si>
    <t>118i 1.5T Sport Extra Full 5p. Aut. (F40)</t>
  </si>
  <si>
    <t>118i 1.5T Street Extra Full 5p. (F40)</t>
  </si>
  <si>
    <t>220i GCP M Sport 2.0T Extra Full 4p. Aut. (F44)</t>
  </si>
  <si>
    <t>240i M 3.0T sDrive Coupe Extra Full 2p. Aut. (G42)(MEX)</t>
  </si>
  <si>
    <t>320i 2.0T Business 2.0T Extra Full 4p. Aut.(G20)(ALE)(MEX)</t>
  </si>
  <si>
    <t>330e 2.0T City PHEV Extra Full 4p. Aut. (G20)(MEX)(ALE)</t>
  </si>
  <si>
    <t>330e 2.0T Sport 292 HP PHEV Extra Full 4p. Aut. (G20)</t>
  </si>
  <si>
    <t>330e 2.0T Sport M 292 HP PHEV Ex.Full 4p. Aut.(G20)(MEX)(ALE</t>
  </si>
  <si>
    <t>330e 2.0T Urban PHEV Extra Full 4p. Aut. (G20)(MEX)(ALE)</t>
  </si>
  <si>
    <t>330i 2.0T Sport M 258 HP Ex. Full 4p. Aut. (G20)(MEX)(ALE)</t>
  </si>
  <si>
    <t>340i xDrive M 3.0T 374 HP Sport 4p. Aut. (G20)(ALE)(MEX)</t>
  </si>
  <si>
    <t>420i 2.0T Sport Cabrio Extra Full 2p. Aut. (G23)</t>
  </si>
  <si>
    <t>425i GCP 2.0T Extra Full 4p. Aut. (G26)</t>
  </si>
  <si>
    <t>430i 2.0T Sport Cabrio Extra Full 2p. Aut. (G23)</t>
  </si>
  <si>
    <t>430i 2.0T Sport M Extra Full 2p. Aut. (G22)</t>
  </si>
  <si>
    <t>440i xDrive M 3.0T Cabrio Extra Full 2p. Aut. (G23)</t>
  </si>
  <si>
    <t>520i 2.0T Executive Extra Full 4p. Aut. (G30)</t>
  </si>
  <si>
    <t>530i 2.0T Executive Extra Full 4p. Aut. (G30)</t>
  </si>
  <si>
    <t>i4 eDrive 40 M Sport 250 KW GCP Extra Full 5p. Aut. (G26)</t>
  </si>
  <si>
    <t>i7 M70 xDrive 485 KW Extra Full 4p. Aut. (G70)</t>
  </si>
  <si>
    <t>iX xDrive 40 Luxury 240 KW Ex. Full 5p. Aut. (I20)</t>
  </si>
  <si>
    <t>iX xDrive 50 Luxury 385 KW Ex. Full 5p. Aut. (I20)</t>
  </si>
  <si>
    <t>iX1 xDrive 30e 200 KW M Sport Extra Full, techo 5p. Aut. (U11)</t>
  </si>
  <si>
    <t>iX1 xDrive 30e xLine Plus 200KW Ex.Full,techo 5p. Aut.(U11)</t>
  </si>
  <si>
    <t>iX3 sDrive 210KW M Sport Inspiring E.Full Aut.(G08)(CHI)</t>
  </si>
  <si>
    <t>M2 3.0T Coupe 460 HP Extra Full 2p. Aut.(G87)(MEX)</t>
  </si>
  <si>
    <t>New X1 sDrive 20i 2.0T Comfort 192 HP 5p. Aut. (F48)</t>
  </si>
  <si>
    <t>New X7 xDrive 40i Excellence 3.0T MHEV E.Full 7pax.Aut.(G07)</t>
  </si>
  <si>
    <t>New X7 XDrive 40i M Sport 3.0T MHEV E.Full 7pax.Aut.(G07)(US</t>
  </si>
  <si>
    <t>New X7 xDrive M 60i 4.4T MHEV Ex.Full 7 pax. Aut.(G07)(USA)</t>
  </si>
  <si>
    <t>Nuevo X1 sDrive 18i xLine Plus 1.5T Ex.Full 5p. Aut. (U11)</t>
  </si>
  <si>
    <t>Nuevo X1 xDrive 25e City 1.5T PHEV Extra Full 5p.Aut.(U11)</t>
  </si>
  <si>
    <t>Nuevo X1 xDrive 25e M Sport 1.5T PHEV E.Full 5p.Aut.(U11)</t>
  </si>
  <si>
    <t>Nuevo X1 xDrive 25e xLine Plus 1.5T PHEV E.Full 5p.Aut.(U11)</t>
  </si>
  <si>
    <t>Nuevo X3 sDrive 20i Comfort xLine 2.0T Ex.Full Aut.(G01)(USA</t>
  </si>
  <si>
    <t>Nuevo X3 xDrive 30e 2.0T M Sport PHEV E.Full Aut.(G01)</t>
  </si>
  <si>
    <t>Nuevo X3 xDrive 30e xLine 2.0T PHEV E.Full Aut.(G01)(USA)</t>
  </si>
  <si>
    <t>Nuevo X3 xDrive 30e xLine Plus 2.0T PHEV E.Full Aut.(G01)(US</t>
  </si>
  <si>
    <t>Nuevo X3 xDrive 30i xLine 2.0T E.Full Aut.(G01)(USA)</t>
  </si>
  <si>
    <t>Nuevo X3 xDrive 40i M 3.0T Ex. Full Aut. (G01)(USA)</t>
  </si>
  <si>
    <t>Nuevo X4 xDrive 30i Sport 2.0T M Ex.Full Aut. (G02)(USA)</t>
  </si>
  <si>
    <t>Nuevo X4 xDrive 40i M 3.0T Extra Full Aut. (G02)(USA)</t>
  </si>
  <si>
    <t>Nuevo X5 M60i xDrive 4.4T MHEV Extra Full 5p.Aut.(G05)(USA)</t>
  </si>
  <si>
    <t>Nuevo X5 xDrive 40i M Sport 3.0T MHEV E.Full 5p.Aut.(G05)(US</t>
  </si>
  <si>
    <t>Nuevo X5 xDrive 40i Xline Plus 3.0T E.Full 5p.Aut.(G05)(USA)</t>
  </si>
  <si>
    <t>Nuevo X5 xDrive 50e M Sport 3.0T PHEV E.Full 5p. Aut.(G05)</t>
  </si>
  <si>
    <t>X5 xDrive 40d M 3.0 Diesel Extra Full Aut. (F15)(USA)</t>
  </si>
  <si>
    <t>X5 xDrive 40i 3.0T xLine Extra Full Aut. (G05)(USA)</t>
  </si>
  <si>
    <t>X6 xDrive 40i M Sport 3.0T Extra Full Aut. (G06)(USA)</t>
  </si>
  <si>
    <t>XM xDrive 4.4T PHEV Extra Full 5p. Aut. (G09) (USA)</t>
  </si>
  <si>
    <t>Z4 sDrive 20i 2.0T Sport Roadster Extra Full Aut. (G29)</t>
  </si>
  <si>
    <t>D1 GS 100 KW Extra Full, 4Abag, cuero 5p. Aut.</t>
  </si>
  <si>
    <t>E5 160 Kw Extra Full 4p. Aut.</t>
  </si>
  <si>
    <t>E5 300 160 Kw Extra Full 4p. Aut.</t>
  </si>
  <si>
    <t>Han GS 600 380KW E.Full,7Abag,techo,cuero,ADAS 4x4 4p. Aut.</t>
  </si>
  <si>
    <t>Han GS 700 180KW Ex.Full,7Abag,techo,cuero,ADAS 4p. Aut.</t>
  </si>
  <si>
    <t>New E2 GS Plus 130 KW E.Full,cue,techo pan.,Ay.Est.5p.Aut.</t>
  </si>
  <si>
    <t>New F3 1.5 VVL GLi Full, 2Abag, ABS, cuero, llantas 4p.Aut.</t>
  </si>
  <si>
    <t>New Yuan Plus GL 150 KW Extra Full,cuero,Ay.Est. 5p. Aut.</t>
  </si>
  <si>
    <t>New Yuan Plus GS 150KW E.Full,cue,6Abag,t.pan.,Ay.Est 5p.Aut</t>
  </si>
  <si>
    <t>Seal EV460 150 KW Ex.Full,8Abag,ADAS,cue,t.pan. 4p. Aut.</t>
  </si>
  <si>
    <t>Seal EV520 390 KW Ex.Full,8Abag,ADAS,cue,t.pan. 4x4 4p. Aut.</t>
  </si>
  <si>
    <t>Song 1.5 DM-i GL Plus PHEV Ex.Full,techo pan.,cue,5p. Aut.</t>
  </si>
  <si>
    <t>Song 1.5T DM-i GS Plus PHEV Extra Full,6Abag 5p. Aut.</t>
  </si>
  <si>
    <t>Tang EV GS 380KW Extra Full,cuero,techo pan. 7 pax.4x4 Aut.</t>
  </si>
  <si>
    <t>E-Star 55 KW Full, 2Abag, ABS, Ay. Est. Aut. 5p.</t>
  </si>
  <si>
    <t>New CS35 Plus Comfort 1.4T Extra Full 5p. Aut.</t>
  </si>
  <si>
    <t>New CS35 Plus Luxury 1.4T Ex.Full,cam360,techo pan.5p. Aut</t>
  </si>
  <si>
    <t>New CS55 Elite 1.5T Extra Full,cuero,techo,ADAS 5p. Aut.</t>
  </si>
  <si>
    <t>New CS55 Plus 1.5T Extra Full,cuero,techo,ADAS 5p. Aut.</t>
  </si>
  <si>
    <t>Star Cargo Furgon 1.2 a/a, faros, 2Abag, ABS, 2 Ptas. Lat.</t>
  </si>
  <si>
    <t>Star Pick Up 1.2 2Abag, ABS</t>
  </si>
  <si>
    <t>Uni-T 1.5T Extra Full, techo pan., cuero, 5p. Aut.</t>
  </si>
  <si>
    <t>Uni-T 1.5T Techno Extra Full, techo pan., cuero, 5p. Aut.</t>
  </si>
  <si>
    <t>Uni-V 1.5T Elite Extra Full, techo pan, 5p. Aut.</t>
  </si>
  <si>
    <t>EQ1 45 KW Ex.Full,2Abag,techo pan.,Ay.Est 3p. Aut.(CHI)</t>
  </si>
  <si>
    <t>New Tiggo 2 Pro 1.0T Comfort Ex.Full,CES,CTR,Ay.Est.(CHI)</t>
  </si>
  <si>
    <t>New Tiggo 2 Pro 1.0T Ex.Full,techo,CES,CTR,Ay.Est. (CHI)</t>
  </si>
  <si>
    <t>New Tiggo 2 Pro 1.0T Ex.Full,techo,CES,CTR,Ay.Est. Aut.(CHI)</t>
  </si>
  <si>
    <t>New Tiggo 7 1.5T Pro Comfort MHEV Ex. Full 5p. Aut.(CHI)</t>
  </si>
  <si>
    <t>New Tiggo 7 1.5T Pro Luxury MHEV Ex. Full 5p. Aut.</t>
  </si>
  <si>
    <t>New Tiggo 8 1.5T Pro PHEV E.Full,techo pan.,cue 7pax.Aut.(CH</t>
  </si>
  <si>
    <t>New Tiggo 8 1.6T Pro Luxury Ex.Full,cue,techo,ADAS 5p. Aut.</t>
  </si>
  <si>
    <t>Nuevo Tiggo 4 1.5T Pro Comfort MHEV E.Full,cue,Ay.Est.Aut.</t>
  </si>
  <si>
    <t>Nuevo Tiggo 4 1.5T Pro Luxury Extra Full,cuero Ay.Est.Aut.</t>
  </si>
  <si>
    <t>Nuevo Tiggo 4 1.5T Pro Luxury MHEV Ex.Full,cuero Ay.Est.Aut.</t>
  </si>
  <si>
    <t>Tiggo 8 1.5T Extra Full,cuero,techo,cam360 5p. 7 pax. Aut.</t>
  </si>
  <si>
    <t>Camaro Six SS 6.2 V8 Coupe Extra Full Aut. (USA)</t>
  </si>
  <si>
    <t>Groove 1.5 LTZ Extra Full 5p. (CHI)</t>
  </si>
  <si>
    <t>Groove 1.5 Premier Extra Full, cue, techo pan.  5p.(CHI)</t>
  </si>
  <si>
    <t>New Cruze 1.4T Premier Extra Full 4p. Aut. (ARG)</t>
  </si>
  <si>
    <t>New Cruze 1.4T Premier Extra Full 5p. Aut. (ARG)</t>
  </si>
  <si>
    <t>New Equinox 1.5T Premier Ex.Full,cue,techo 4x4 5p. Aut.(MEX)</t>
  </si>
  <si>
    <t>New Equinox 1.5T RS Extra Full, cuero 5p. Aut. (MEX)</t>
  </si>
  <si>
    <t>New Montana 1.2T LS DC Extra Full</t>
  </si>
  <si>
    <t>New Montana 1.2T LT DC Extra Full, llan17, Ay. Est.</t>
  </si>
  <si>
    <t>New Montana 1.2T Premier DC Extra Full, cue, climaut</t>
  </si>
  <si>
    <t>New Montana 1.2T Premier DC Extra Full, cue, climaut Aut.</t>
  </si>
  <si>
    <t>New Montana 1.2T RS DC Extra Full, cuero, climaut Aut.</t>
  </si>
  <si>
    <t>New Onix 1.0 LS Full, 6Abag, ABS, CES, CTR 5p.</t>
  </si>
  <si>
    <t>New Onix 1.0 LT Full,6Abag,ABS,CES,CTR,pant,espejos 5p.</t>
  </si>
  <si>
    <t>New Onix Plus 1.0 LT Full,6Abag,ABS,CES,CTR,espejos 4p.</t>
  </si>
  <si>
    <t>New Onix Plus 1.0 LT2 Full,6Abag,ABS,CES,CTR,Ay.Est. 4p.</t>
  </si>
  <si>
    <t>New Silverado 3.0 LTZ DC T.Diesel Ex.Full,ADAS 4x4 Aut.(MEX)</t>
  </si>
  <si>
    <t>New Spin 1.8 Premier Rural Ex.Full,CES,CTR,HSA 5p 7 pax.</t>
  </si>
  <si>
    <t>New Spin 1.8 Premier Rural Ex.Full,CES,CTR,HSA 5p 7 pax.Aut.</t>
  </si>
  <si>
    <t>New Spin Activ 1.8 LTZ Rural Extra Full 5p</t>
  </si>
  <si>
    <t>New Spin Activ 1.8 LTZ Rural Extra Full 5p Aut.</t>
  </si>
  <si>
    <t>Nueva S10 2.8 LS TDsl DC Full,6Abag,ABS,CES,CTR</t>
  </si>
  <si>
    <t>Nueva S10 2.8 Midnight TDsl DC Ex. Full, cuero 4x4 Aut.</t>
  </si>
  <si>
    <t>Nueva S10 2.8 Z71 TDsl DC Extra Full, cuero 4x4 Aut.</t>
  </si>
  <si>
    <t>Tracker 1.2T RS Extra Full, techo, cuero, Ay. Est. 5p. Aut.</t>
  </si>
  <si>
    <t>Berlingo 100 KW Furgon Full,2Abag,ABS,CES,HSA Ay.Est.Aut.(ES</t>
  </si>
  <si>
    <t>C3 1.2 Feel Full,2Abag,ABS,CES,CTR,pant.mult. 5p.(BRA)</t>
  </si>
  <si>
    <t>C3 1.2 Feel Pack Extra Full, llantas Bitono 5p. (BRA)</t>
  </si>
  <si>
    <t>C3 1.2 Live Full, 2Abag, ABS, CES, CTR 5p. (BRA)</t>
  </si>
  <si>
    <t>C3 1.6 Shine Extra Full, Ay. Estac. 5p. Aut. (BRA)</t>
  </si>
  <si>
    <t>C4 1.2T Shine Extra Full,6Abag,techo,Ay. Est. 5p. Aut.</t>
  </si>
  <si>
    <t>C5 AIRCROSS SHINE 1.5T HDI AT8</t>
  </si>
  <si>
    <t>Jumpy 1.5T Diesel Furgon Full,2Abag,ABS,CES,HSA,P.Lat.(ROU)</t>
  </si>
  <si>
    <t>New C Elysee 1.6 Diesel Seduction Full, 2Abag, ABS 4p.</t>
  </si>
  <si>
    <t>New C Elysee 1.6 Diesel Seduction Pack Full, 2Abag, ABS 4p.</t>
  </si>
  <si>
    <t>New C4 Cactus 1.6 Feel 115 HP Extra Full,4Abag 5p. (BRA)</t>
  </si>
  <si>
    <t>New C4 Cactus 1.6T Shine 165HP Ex.Full,cue,pant.10 5p. Aut.</t>
  </si>
  <si>
    <t>New C4 Cactus 1.6T Shine 165HP Extra Full,cuero 5p. Aut.(BRA</t>
  </si>
  <si>
    <t>New C5 Aircross 1.6T Feel Pack Extra Full 5p. Aut.</t>
  </si>
  <si>
    <t>New C5 Aircross 1.6T Shine Ex.Full,techo pan.,cuero 5p.Aut.</t>
  </si>
  <si>
    <t>EC31 60 KW Box Full, 2 Abag, ABS, Ay. Estac. Aut.</t>
  </si>
  <si>
    <t>EC31 60 KW Pick Up dir, a/a, 2Abag, ABS Aut.</t>
  </si>
  <si>
    <t>EC35 60 KW Furgon Full,2Abag,ABS,Ay.Estac. Pta.Lat. Aut.</t>
  </si>
  <si>
    <t>K01S Box 1.1 2.7 mts. dir, a/a, 2Abag, ABS, Pta. Lat.</t>
  </si>
  <si>
    <t>K02S Doble Cabina 1.1 2.0 mts. dir, a/a, 2Abag, ABS, faros</t>
  </si>
  <si>
    <t>Seres 3 120 KW Ex. Full, 2Abag, Ay. Est. 5p. Aut.</t>
  </si>
  <si>
    <t>V21 Pick Up 1.3 dir, a/a, 2Abag, ABS</t>
  </si>
  <si>
    <t>Nano Box 33 KW Full,2Abag,espejos,CES,CTR,HSA,Ay.Est.5p.Aut.</t>
  </si>
  <si>
    <t>Rich 6 120 KW Dob.Cab. Ex.Full,cam360,cue,Ay. Est. Aut.</t>
  </si>
  <si>
    <t>Rich 6 2.4 Doble Cabina Extra Full, cuero, Ay. Est.</t>
  </si>
  <si>
    <t>Rich 6 2.4 Doble Cabina Extra Full, cuero, Ay. Est. 4x4</t>
  </si>
  <si>
    <t>Rich 6 2.5 Diesel Doble Cabina Ex.Full,cue,Ay. Est. 4x4</t>
  </si>
  <si>
    <t>Rich 6 2.5 Diesel Doble Cabina Ex.Full,cue,Ay.Est. 4x4 Aut.</t>
  </si>
  <si>
    <t>Fastback Audace 1.0T Extra Full,4Abag,Ay.Est. 5p. Aut.</t>
  </si>
  <si>
    <t>Fastback Impetus 1.0T Ex.Full,cuero,llan18,Ay.Est. 5p. Aut.</t>
  </si>
  <si>
    <t>Mobi Trekking 1.0 Ex. Full, CES, CTR, HSA, Ay. Est. 5p.</t>
  </si>
  <si>
    <t>New Fiorino Endurance 1.4 Furgon Full,2Abag,ABS,CES,CTR</t>
  </si>
  <si>
    <t>Nueva Strada Dob. Cab. 1.3 Freedom Full, 4Abag, ABS</t>
  </si>
  <si>
    <t>Nueva Strada Dob.Cab. 1.3 Volcano Ex.Full,4Abag,Ay.Est. Aut.</t>
  </si>
  <si>
    <t>Nueva Toro 1.8 Freedom DC Ex. Full, cuero, Ay. Est. Aut.</t>
  </si>
  <si>
    <t>Nueva Toro 2.0 TDsl Freedom DC E.Full,cuero,Ay.Est.4x4 Aut.</t>
  </si>
  <si>
    <t>Nuevo Argo Drive 1.3 Ex.Full,CES,CTR,HSA,Ay. Est. 5p.</t>
  </si>
  <si>
    <t>Nuevo Argo Trekking 1.3 Ex.Full,CES,CTR,HSA,Ay. Est. 5p.</t>
  </si>
  <si>
    <t>Pulse Audace 1.0T Ex. Full, CES, CTR, Ay. Est. 5p. Aut.</t>
  </si>
  <si>
    <t>Pulse Drive 1.3 Extra Full, CES, CTR, Ay. Est. 5p.</t>
  </si>
  <si>
    <t>Pulse Drive 1.3 Extra Full, CES, CTR, Ay. Est. 5p. Aut.</t>
  </si>
  <si>
    <t>Pulse Impetus 1.0T Ex. Full,cuero,llan17,Ay. Est. 5p. Aut.</t>
  </si>
  <si>
    <t>Bronco Sport Wildtrak 2.0T Ex.Full, Ay.Est. 4x4 Aut. (MEX)</t>
  </si>
  <si>
    <t>New Explorer 2.3T XLT 4x4 Extra Full 7 pax. 5p. Aut. (USA)</t>
  </si>
  <si>
    <t>Nueva Ranger LTD+ 3.0 V6 TDsl DC EFull,7Abag,cue 4x4 Aut(AR</t>
  </si>
  <si>
    <t>Nueva Ranger Raptor 3.0 V6 Biturbo DC 4x4 Ex.Full Aut.(TAI)</t>
  </si>
  <si>
    <t>Nueva Ranger XLT 2.0 TDsl DC E.Full,7Abag,cue 4x4 Aut(ARG)</t>
  </si>
  <si>
    <t>Ranger XL Plus 2.2 TDsl P.Up Full,3Abag,ABS,CES,CTR 4x4 (ARG</t>
  </si>
  <si>
    <t>Ranger XLS 2.5 DC Ex. Full, 3Abag, CES, CTR, Ay.Est. (ARG)</t>
  </si>
  <si>
    <t>Nuevo View Furgon 2.8 T.Diesel Full, 2Abag, Pta. Lat.</t>
  </si>
  <si>
    <t>Toano 2.8 T.Diesel 1.7 Ton. Furgon Full, ABS, Pta. Lat.</t>
  </si>
  <si>
    <t>View 2.8 Cummings Minibus 14 pax. Full,Abag,ABS Pta.Lat</t>
  </si>
  <si>
    <t>Kong 2 KW 3pax 2p. Aut.</t>
  </si>
  <si>
    <t>SUV 4 KW 4pax 5p. Aut.</t>
  </si>
  <si>
    <t>Azkarra 1.5T GF MHEV Extra Full 4x4 5p. Aut.</t>
  </si>
  <si>
    <t>Coolray 1.5T GC Extra Full, cuero, techo pan. 5p Aut.</t>
  </si>
  <si>
    <t>New X3 1.5 GB Full, 2Abag, ABS, cuero, Ay. Estac. 5p.</t>
  </si>
  <si>
    <t>Nuevo X3 Pro 1.5 GB Extra Full, cuero, Ay.Est. 5p.</t>
  </si>
  <si>
    <t>Nuevo X3 Pro 1.5 GC Extra Full, cuero, techo, Ay.Est. 5p</t>
  </si>
  <si>
    <t>Nuevo X3 Pro 1.5 GF Extra Full,cuero,techo,Ay.Est.5p.Aut.</t>
  </si>
  <si>
    <t>New Wingle 5 DC 2.4 Luxury Full,2Abag,ABS,CES,CTR,cue,Ay.Est</t>
  </si>
  <si>
    <t>New Wingle 5 PUp 2.4 Luxury Full,2Abag,CES,CTR,cue,Ay.Est4x4</t>
  </si>
  <si>
    <t>Poer Family 2.0 T.Diesel DC Sup.Luxury E.Full,Ay.Est.4x4 Aut</t>
  </si>
  <si>
    <t>Poer Tool Pilot 2.0 TDiesel Dob.Cab. E.Full,4Abag,CTR,Ay.Est</t>
  </si>
  <si>
    <t>Poer Tool Pilot 2.0 TDiesel Pick Up E.Full,4Abag,CTR,Ay.Est</t>
  </si>
  <si>
    <t>Dargo 2.0T Extra Full,6Abag,techo pan,cam360 4x4 5p. Aut.</t>
  </si>
  <si>
    <t>Jolion 1.5T Top HEV Ex.Full,6Abag,techo,cam360 5p. Aut.</t>
  </si>
  <si>
    <t>New H6 1.5T Top HEV Ex. Full, 6Abag, techo, cam360 5p. Aut.</t>
  </si>
  <si>
    <t>New H6 2.0T Top E.Full,6Abag,cue,techo,cam360. 5p.4x4 Aut.</t>
  </si>
  <si>
    <t>New Jolion H2 1.5T Extra Full,6Abag,cuero,cam360 5p.Aut.</t>
  </si>
  <si>
    <t>City 1.5 EXL Extra Full,climaut,llan 16,cuero 5p. Aut. (BRA)</t>
  </si>
  <si>
    <t>City 1.5 LX Extra Full 5p. Aut. (BRA)</t>
  </si>
  <si>
    <t>Civic 2.0 HEV Extra Full,8Abag,techo,cuero 4p. Aut. (TAI)</t>
  </si>
  <si>
    <t>New CR-V EXL-C 1.5T Extra Full 4x4 Aut. (USA)</t>
  </si>
  <si>
    <t>New Ridgeline 3.5i RTL V6 Dob. Cab. Extra Full 4x4 Aut.</t>
  </si>
  <si>
    <t>New WR-V 1.5 EX E.Full,clim,4Abag,CES,CTR,HSA 5p.Aut.(BRA)</t>
  </si>
  <si>
    <t>New WR-V 1.5 EX-L E.Full,clim,6Abag,CES,CTR,HSA,cue,5p.Aut.(</t>
  </si>
  <si>
    <t>New WR-V 1.5 LX Ex.Full,2Abag,CES,CTR,HSA,Ay.Est.5p.Aut.(BRA</t>
  </si>
  <si>
    <t>Nuevo HR-V 1.5 EX Extra Full 5p. Aut. (BRA)</t>
  </si>
  <si>
    <t>Nuevo HR-V 1.5 EX-L Extra Full, ADAS 5p. Aut. (BRA)</t>
  </si>
  <si>
    <t>Pilot Elite 3.5 V6 E.Full,techo pan,cuero 4x4 8 pax 5p.Aut.</t>
  </si>
  <si>
    <t>ZR-V Touring 2.0 Extra Full, cuero, techo 5p. Aut.(MEX)</t>
  </si>
  <si>
    <t>Neta V L2 70KW Extra Full,2Abag,cue,Ay.Est. 5p. Aut.</t>
  </si>
  <si>
    <t>U Pro 400 120KW Ex.Full,4Abag,CES,CTR,Ay.Est. 5p.Aut.</t>
  </si>
  <si>
    <t>Creta 1.0T Limited Ex.Full,t.pan,cue,Ay.Est. 5p. Aut.(BRA)</t>
  </si>
  <si>
    <t>Creta 1.0T Safe Extra Full, 6Abag, Ay. Est. 5p. (BRA)</t>
  </si>
  <si>
    <t>Creta 1.0T Safe Extra Full, 6Abag, Ay. Est. 5p. Aut. (BRA)</t>
  </si>
  <si>
    <t>H1 Staria 2.2 T.Diesel Furgon Ex.Full,4Abag,CES,HSA,2PL</t>
  </si>
  <si>
    <t xml:space="preserve">H1 Staria 2.2 TDiesel Minibus 10 pax. Ex. Full,4Abag,CES,HSA,2PL </t>
  </si>
  <si>
    <t xml:space="preserve">H1 Staria 2.2 TDiesel Minibus 10 pax. Ex. Full,4Abag,CES,HSA,2PL Aut. </t>
  </si>
  <si>
    <t>H1 Staria 3.5 Minibus 10 pax. E.Full,4Abag,CES,HSA,2PL.Aut.</t>
  </si>
  <si>
    <t>Ioniq 5 160KW Extra Full,techo pan.,cue.cam360 5p. Aut.</t>
  </si>
  <si>
    <t>New Kona 1.6 Limited HEV Ex.Full,6Abag,cue,techo,Ay.Est.Aut</t>
  </si>
  <si>
    <t>New Kona 150 KW Ex. Full,6Abag,cue,techo, Ay.Est. Aut.</t>
  </si>
  <si>
    <t>New Santa Fe 2.2 CRDI Diesel Extra Full 7pax. 4x4 Aut.</t>
  </si>
  <si>
    <t>Nuevo HB20 1.0 Comfort Full, 6Abag, CES, CTR 4p. (BRA)</t>
  </si>
  <si>
    <t>Nuevo HB20 1.0 Comfort Full, 6Abag, CES, CTR 5p. (BRA)</t>
  </si>
  <si>
    <t>Nuevo HB20 1.0 Comfort Special Ed.Full,6Abag,CES,CTR 5p.(BRA</t>
  </si>
  <si>
    <t>Nuevo HB20 1.0 Premium E.Full,6Abag,CES,CTR,Ay.Est.4p.(BRA)</t>
  </si>
  <si>
    <t>Nuevo HB20 1.0 Premium E.Full,6Abag,CES,CTR,Ay.Est.5p.(BRA)</t>
  </si>
  <si>
    <t>Nuevo HB20 1.6 Premium E.Full,6Abag,CES,CTR,Ay.Est.4p.(BRA)</t>
  </si>
  <si>
    <t>Nuevo HB20 1.6 Premium E.Full,6Abag,CES,CTR,Ay.Est.4p.Aut.(B</t>
  </si>
  <si>
    <t>Nuevo HB20 1.6 Premium E.Full,6Abag,CES,CTR,Ay.Est.5p.(BRA)</t>
  </si>
  <si>
    <t>Nuevo HB20 1.6 Premium E.Full,6Abag,CES,CTR,Ay.Est.5p.Aut.(B</t>
  </si>
  <si>
    <t>Nuevo HB20 1.6 Unique Ex.Full,climaut,ADAS 4p. Aut (BRA)</t>
  </si>
  <si>
    <t>Nuevo HB20 1.6 Unique Ex.Full,climaut,ADAS 5p. Aut (BRA)</t>
  </si>
  <si>
    <t>Nuevo Kona 1.6 Limited HEV E.Full,6Abag,cue,tec,Ay.Es.5p.Aut</t>
  </si>
  <si>
    <t>Nuevo Kona 1.6 Safe HEV Extra Full,6Abag,Ay.Est. 5p. Aut.</t>
  </si>
  <si>
    <t>Tucson NX4 1.6T Ltd Ex.Full,cue,techo pan,cam360 4x4 5p.Aut.</t>
  </si>
  <si>
    <t>Tucson NX4 1.6T LTD HEV Ex.Full,cue,techo,cam360 5p.Aut(CHE)</t>
  </si>
  <si>
    <t>Daily 30-130 2.3 TDsl EV Furgon 10m3 Full,2Abag,ABS,CES(BRA)</t>
  </si>
  <si>
    <t>Daily 55-170 3.0 TDsl EV Furgon 16m3 Full,2Abag,ABS,CES(BRA)</t>
  </si>
  <si>
    <t>Daily Minibus 45-170 3.0T EV 15+1 Rueda Simple (BRA)</t>
  </si>
  <si>
    <t>Daily Minibus Turismo 50-170 3.0T EV 17+1 Rueda Doble (BRA)</t>
  </si>
  <si>
    <t>J7 142 KW Ex.Full,6Abag,cuero,techo pan. Ay.Est. 5p. Aut.</t>
  </si>
  <si>
    <t>JS8 1.5T Extra Full, cuero, techo, cam360 7 pax. 5p. Aut.</t>
  </si>
  <si>
    <t>M3 150 KW Furgon Full, 2Abag, CES, crucero Aut.</t>
  </si>
  <si>
    <t>S1 45 KW Full, 2Abag, cuero, Ay. Estac. 5p. Aut.</t>
  </si>
  <si>
    <t>S4 110 KW Ex.Full,6Abag,cue,techo pan.,Ay.Est. 5p. Aut.</t>
  </si>
  <si>
    <t>T8 Pro 2.0 Dsl Dob. Cab. Ex. Full, techo pan., Ay.Est. 4x4</t>
  </si>
  <si>
    <t>T8 Pro 2.0 Dsl Dob. Cab. Extra Full, techo pan., Ay.Est.</t>
  </si>
  <si>
    <t>Commander 1.3T Overland Extra Full 7 pax. Aut. (BRA)</t>
  </si>
  <si>
    <t>Gladiator Sport 3.6 Doble Cabina Extra Full 4x4 Aut.</t>
  </si>
  <si>
    <t>Grand Cherokee L Ltd 3.6 V6 E.Full,techo,cue 7 pax. 4x4 Aut.</t>
  </si>
  <si>
    <t>New Renegade 1.3T Longitude Ex.Full,techo,P.Assit.Aut.(BRA)</t>
  </si>
  <si>
    <t>New Renegade 1.3T Longitude Extra Full Aut. (BRA)</t>
  </si>
  <si>
    <t>New Renegade 1.3T Sport Extra Full Aut. (BRA)</t>
  </si>
  <si>
    <t>Nuevo Compass 1.3T Limited E.Full,7Abag,cue,techo,P.Ass.Aut</t>
  </si>
  <si>
    <t>Nuevo Compass 1.3T Longitude Ex.Full,cue,Park Ass. Aut.(BRA)</t>
  </si>
  <si>
    <t>Nuevo Compass 1.3T Longitude II Ex.Full,cuero Aut.(BRA)</t>
  </si>
  <si>
    <t>Dashing 1.5T Luxury Ex.Full,cue,techo pan,Ay. Est. 5p. Aut.</t>
  </si>
  <si>
    <t>Dashing 1.6T Plus Luxury E.Full,cue,t.pan,Ay.Est.7pax.5p.Aut</t>
  </si>
  <si>
    <t>New X70 1.5T Luxury Plus Ex.Full,cue,t.pan,Ay.Est.7 pax. Aut</t>
  </si>
  <si>
    <t>X70 1.5T Comfort Full 2Abag, ABS, CES, CTR, Ay. Est. 7 pax.</t>
  </si>
  <si>
    <t>X90 1.6T Plus Luxury E.Full,t.pan,cue,Ay.Est. 7pax. 5p. Aut.</t>
  </si>
  <si>
    <t>J2-P 4 KW Pick Up Full, Ay. Est. Aut.</t>
  </si>
  <si>
    <t>Amy 3,5 KW Full, cuero, Ay. Est. 5p. Aut.</t>
  </si>
  <si>
    <t xml:space="preserve">GSE Limo 110 KW Extra Full 4p. Aut. </t>
  </si>
  <si>
    <t>N520 Touring Cargo Furgon Largo 120 KW Full,2Abag,ABS,P.Lat.</t>
  </si>
  <si>
    <t>Nueva Vigus Work 1.8T D.Cab. Full,2Abag,ABS,espejos,Ay.Est.</t>
  </si>
  <si>
    <t>Vigus 120 KW Dob.Cab. Ex.Full,2Abag,ABS,cue,Ay.Est. Aut.</t>
  </si>
  <si>
    <t>X3 Pro 120 KW DLX Ex.Full,2Abag,techo,cue,Ay.Est. 5p. Aut.</t>
  </si>
  <si>
    <t>X3 Pro 120 KW Extra Full, 2Abag, Ay. Est. 5p. Aut.</t>
  </si>
  <si>
    <t>X3 Pro 120 KW LTD Ex.Full,4Abag,techo,cue,cam360 5p. Aut.</t>
  </si>
  <si>
    <t>Passenger 5 Kw Doble Cabina</t>
  </si>
  <si>
    <t>Pickman 4 Kw 2 plazas Pick Up</t>
  </si>
  <si>
    <t>Q52 1.6 Doble Cabina Full, 2Abag, ABS</t>
  </si>
  <si>
    <t>Nueva Carens 1.5 EX Plus E.Full,techo,cue 6pax.5p.Aut.(IND)</t>
  </si>
  <si>
    <t>Nueva Niro 1.6 EX Plus HEV Ex.Full,7Abag,Ay.Est. 5p. Aut.</t>
  </si>
  <si>
    <t>Nueva Niro 1.6 LX Plus HEV Ex.Full,7Abag,Ay.Est. 5p. Aut.</t>
  </si>
  <si>
    <t>Seltos 1.6 LX Plus Extra Full, 6Abag, Ay. Est. 5p. Aut.(IND)</t>
  </si>
  <si>
    <t>Sonet 1.5 LX Plus Full,6Abag,ABS,CES,CTR,HAC,led 5p. (IND)</t>
  </si>
  <si>
    <t>Sonet 1.5 LX Plus Full,6Abag,ABS,CES,CTR,HAC,led 5p.Aut.(IND</t>
  </si>
  <si>
    <t>Sportage 1.6T X-Line Extra Full, cuero 5p. Aut.</t>
  </si>
  <si>
    <t>Sportage 1.6T X-Line Plus Ex.Full,techo pan.,cuero 5p. Aut.</t>
  </si>
  <si>
    <t>All New Discovery 2.0 SE 300 HP 7 pax. Aut.(ESL)</t>
  </si>
  <si>
    <t>Nueva Defender 110 2.0T HSE PHEV 404 HP Ex.Full Aut.(ESL)</t>
  </si>
  <si>
    <t>Nueva Defender 110 2.0T S 300HP Extra Full 7 pax. Aut.(ESL)</t>
  </si>
  <si>
    <t>Nueva Defender 110 3.0T HSE MHEV 400HP E.Full 7 pax.Aut.(ESL</t>
  </si>
  <si>
    <t>Nueva Defender 90 2.0T P 300 SE Extra Full Aut. (ESL)</t>
  </si>
  <si>
    <t>Nueva Range Rover Evoque 1.5T PHEV 310 HP SE Aut.</t>
  </si>
  <si>
    <t>Nueva Range Rover Evoque 2.0 S Si4 200 HP Aut.</t>
  </si>
  <si>
    <t>Range Rover Sport 3.0T 400 PS MHEV Dynamic HSE Aut.</t>
  </si>
  <si>
    <t>Range Rover Sport 3.0T 400 PS MHEV Dynamic SE Aut.</t>
  </si>
  <si>
    <t>Range Rover Velar 2.0T R-Dynamic HSE PHEV 404 HP Aut.</t>
  </si>
  <si>
    <t>Range Rover Velar 2.0T R-Dynamic S PHEV 404 HP Aut.</t>
  </si>
  <si>
    <t>Range Rover Velar 2.0T R-Dynamic SE PHEV 404 HP Aut.</t>
  </si>
  <si>
    <t>T03 80 KW Luxury Full,2Abag,ABS,CES,CTR,techo pan. 5p. Aut.</t>
  </si>
  <si>
    <t>Mengo 35 KW Full, ABS, 2Abag, Ay. Est. 5p. Aut.</t>
  </si>
  <si>
    <t>TUTU YM2000DP 2 KW Litio Full, techo 2p. Aut.</t>
  </si>
  <si>
    <t>60s 100 KW Extra Full, 2Abag, cuero 4p. Aut.</t>
  </si>
  <si>
    <t>Grecale GT 2.0T MHEV Extra Full 5p. 4x4 Aut.</t>
  </si>
  <si>
    <t>Grecale Trofeo 3.0T MHEV Extra Full 5p. 4x4 Aut.</t>
  </si>
  <si>
    <t>Levante GT 2.0T Sport MHEV 330 HP Ex. Full 4x4 5p. Aut.</t>
  </si>
  <si>
    <t>New Ghibli 2.0T GT 330 HP MHEV Extra Full 4p. Aut.</t>
  </si>
  <si>
    <t>eDeliver 3 90 KW Chasis Cab. Ex.Full, Ay.Est. Aut.</t>
  </si>
  <si>
    <t>eDeliver 3 LWB 90 KW Furgon Ex.Full,Ay.Est. Pta.Lat. Aut</t>
  </si>
  <si>
    <t>eDeliver 3 SWB 90 KW Furgon Ex.Full,Ay.Est. Pta.Lat. Aut.</t>
  </si>
  <si>
    <t>eDeliver 9 L3H2 150 KW Furgon Ex.Full,Ay.Est. Pta.Lat. Aut.</t>
  </si>
  <si>
    <t>eDeliver9 L3H3 Furgon 4x4 Diesel</t>
  </si>
  <si>
    <t>Euniq 6 130 KW Extra Full, cuero, techo, Ay.Est. 5p. Aut.</t>
  </si>
  <si>
    <t>T60 2.4 Confort Dob. Cab. Full, 2Abag, ABS+EBD, Ay. Est.</t>
  </si>
  <si>
    <t>T60 2.8 T.Diesel Elite Doble Cabina Extra Full 4x4</t>
  </si>
  <si>
    <t>T60 2.8 T.Diesel Luxury Doble Cabina Extra Full 4x4 Aut.</t>
  </si>
  <si>
    <t>T60 2.8 TDsl Confort DC Full,2Abag,ABS+EBD,CES,Ay.Est. 4x4</t>
  </si>
  <si>
    <t>T90 130 KW Doble Cabina Full, 6Abag, ABS, Ay. Est. Aut.</t>
  </si>
  <si>
    <t>CX30 2.5 High Skyactiv Ex.Full,cue,techo,Ay.Est.4x4 Aut.(MEX</t>
  </si>
  <si>
    <t>CX9 2.5 Skyactiv Extra Full, Ayud. Estac. 4x4 5p. Aut.</t>
  </si>
  <si>
    <t>MX-5 Miata iSport 2.0 Roadster Extra Full 2p. Aut.</t>
  </si>
  <si>
    <t>Nueva BT 50 DC 3.0 T.Dsl High Plus E.Full,7Abag,cue 4x4 Aut</t>
  </si>
  <si>
    <t>Nueva BT50 Cab.Extendida 1.9 T.Diesel High E.Full 4x4 (TAI)</t>
  </si>
  <si>
    <t>Nueva CX5 2.0 Skyactiv Extra Full Aut.</t>
  </si>
  <si>
    <t>Nueva CX5 2.0 Skyactiv Extra Full, techo 4x4 Aut.</t>
  </si>
  <si>
    <t>Nueva CX5 2.5 Skyactiv Extra Full, techo 4x4 Aut.</t>
  </si>
  <si>
    <t>A 200 1.3T Progressive Aut. (W 177)(ALE)(HUN)</t>
  </si>
  <si>
    <t>A 35 AMG 2.0T 4x4 Aut. (W 177)(ALE)(HUN)</t>
  </si>
  <si>
    <t>C 350 e AMG Line 2.0 PHEV Ex. Full Aut. (W 206)(ALE)(SUD)</t>
  </si>
  <si>
    <t>C 43 AMG 2.0T MHEV Extra Full 4x4 Aut. (W 206)(ALE)(SUD)</t>
  </si>
  <si>
    <t>CLA 35 AMG 2.0T 4x4 Aut. 4p. (C 118) (HUN)</t>
  </si>
  <si>
    <t>EQA 350 215 KW techo pan. 4x4 Aut. (H243)</t>
  </si>
  <si>
    <t>EQB 350 215 KW Progressive 4x4 7 pax. Aut. (X243)(HUN)</t>
  </si>
  <si>
    <t>EQC 400 300 KW 4x4 AMG Line Aut. (N 293)</t>
  </si>
  <si>
    <t>EQE 350 Plus 215 KW Extra Full 4p. Aut. (V 295)</t>
  </si>
  <si>
    <t>G 500 4.0T AMG Line 4x4 5p. Aut. (W463)(AUS)</t>
  </si>
  <si>
    <t>GLA 200 1.3T Progressive Aut. (H247)</t>
  </si>
  <si>
    <t>GLC 200 2.0T Avantgarde MHEV E.Full,techo 5p.4x4 Aut.(X254)</t>
  </si>
  <si>
    <t>GLC 200 2.0T Coupe Avantgarde MHEV Ex. Full 4x4 Aut. (C 254)</t>
  </si>
  <si>
    <t>GLC 200 2.0T Coupe Extra Full 4x4 Aut. (C 253)</t>
  </si>
  <si>
    <t>GLC 300 2.0T Avantgarde MHEV E.Full,techo 5p.4x4 Aut.(X254)</t>
  </si>
  <si>
    <t>GLC 300 2.0T Coupe AMG Line MHEV Extra Full 4x4 Aut.(C 254)</t>
  </si>
  <si>
    <t>GLC 350 e 2.0T Avantgarde PHEV Ex.Full 4x4 5p.Aut.(X254)</t>
  </si>
  <si>
    <t>GLC 43 2.0T AMG MHEV Extra Full 4x4 5p. Aut. (X254)</t>
  </si>
  <si>
    <t>GLE 450 AMG 3.0T MHEV Coupe Ex. Full 4x4 Aut. (C167)(USA)</t>
  </si>
  <si>
    <t>GLE 53 AMG Coupe 3.0T MHEV 4x4 9Abag,but.clim.Aut(C167)(USA)</t>
  </si>
  <si>
    <t>Nueva Sprinter 316 CDi Dsl 3665 EV Furgon Full 9m3(VS30)(ARG</t>
  </si>
  <si>
    <t>Nueva Sprinter 416 2.1T 4325 Furgon Vidriado</t>
  </si>
  <si>
    <t>Nueva Sprinter 416 2.1T Estandar Minibus 14+1 Full (VS30)(AR</t>
  </si>
  <si>
    <t>Nueva Sprinter 416 CDi Dsl 3665 EV Furgon Full (VS30)(ARG)</t>
  </si>
  <si>
    <t>Nueva Sprinter 416 CDi Dsl 4325 EV Furgon Largo Full (VS30)(</t>
  </si>
  <si>
    <t>Nueva Sprinter 516 2.2T Largo Minibus 16+1 TE EV Full (VS30)(ARG)</t>
  </si>
  <si>
    <t>Nueva Sprinter 516 CDi Dsl 4325 EV Furgon Ex.Largo Full(VS30</t>
  </si>
  <si>
    <t>Nuevo E 350 2.0T Avantgarde MHEV Aut. (W213)</t>
  </si>
  <si>
    <t>Nuevo E 450 3.0T MHEV Avantgarde 4x4 Aut. (W 213)</t>
  </si>
  <si>
    <t>Nuevo GLE 450 3.0T MHEV 4x4 Aut. 7 pax. (V167)(USA)</t>
  </si>
  <si>
    <t>Nuevo GLE 450 Plus 3.0T MHEV E.Full,9Abag,but.clim 4x4 Aut(V</t>
  </si>
  <si>
    <t>S 500 L 3.0T 435 HP MHEV Extra Full 4x4 Aut. (V 223)</t>
  </si>
  <si>
    <t>Sprinter 516 2.2T Ex. Largo Minibus 17+1 TE EV Full (VS30)(A</t>
  </si>
  <si>
    <t>Vito Tourer 1.6T CDi Mbus Ex.Largo 10pax 3430 Full,2Abag,ABS</t>
  </si>
  <si>
    <t>Nuevo Cooper 1.5T Classic Plus 3p. Aut. (F56)</t>
  </si>
  <si>
    <t>Nuevo Cooper 1.5T Essential Full 3p. Aut. (F56)</t>
  </si>
  <si>
    <t>Nuevo Cooper Countryman Classic Plus 1.5T Aut. (F60)(HOL)</t>
  </si>
  <si>
    <t>Nuevo Cooper Countryman SE Iconic 1.5T PHEV 4x4 Aut.(F60)(HO</t>
  </si>
  <si>
    <t>Nuevo Cooper S Cabrio 2.0T Iconic Aut. (F57)(HOL)</t>
  </si>
  <si>
    <t>Nuevo Cooper S Countryman Classic Plus 2.0T Aut. (F60)(HOL)</t>
  </si>
  <si>
    <t>Nuevo Cooper S E Iconic 135 KW 3p. Aut. (F56)</t>
  </si>
  <si>
    <t>Nuevo John Cooper Works 2.0T Spitfire 3p. Aut. (F56)</t>
  </si>
  <si>
    <t>New Mirage 1.2 Full, 6Abag, climaut, CES 5p. Aut. (TAI)</t>
  </si>
  <si>
    <t>Nueva Eclipse Cross 1.5T Extra Full,techo pan. 4x4 5p. Aut.</t>
  </si>
  <si>
    <t>Nueva Eclipse Cross 1.5T Extra Full,techo pan. 5p. Aut.</t>
  </si>
  <si>
    <t>Outlander 2.5 E.Full,7Abag,techo pan,cuero 4x4 7pax.5p.Aut</t>
  </si>
  <si>
    <t>Outlander 2.5 Ex.Full,7Abag,techo pan,cuero 7pax.5p.Aut.</t>
  </si>
  <si>
    <t>CityQuad 3KW vid, bloq, Ay. Estac. 2p. Aut.</t>
  </si>
  <si>
    <t>New Frontier 2.5 S 160HP TDsl DC Full,6Abag,CES,CTR 4x4 Aut.</t>
  </si>
  <si>
    <t>New Frontier 2.5 SE TDsl DC Full,6Abag,CES,CTR,ll.17 4x4 Aut</t>
  </si>
  <si>
    <t>New Frontier 2.5 XE 158 HP DC E.Full,clim,Ay.Est.4x4 Aut</t>
  </si>
  <si>
    <t>New Kicks 1.6 Sense Full,6Abag,CES,CTR,HSA,Ay.Est. 5p.</t>
  </si>
  <si>
    <t>Nueva Qashqai 1.3T Advance Extra Full 5p. Aut. (UK)</t>
  </si>
  <si>
    <t>Nueva Qashqai 1.3T Exclusive Extra Full 4x4 5p. Aut. (UK)</t>
  </si>
  <si>
    <t>Nuevo Versa PH2 1.6 Advance Extra Full 4p.</t>
  </si>
  <si>
    <t>Nuevo Versa PH2 1.6 Advance Extra Full 4p. Aut.</t>
  </si>
  <si>
    <t>Nuevo Versa PH2 1.6 Exclusive, cuero 4p. Aut.</t>
  </si>
  <si>
    <t>Nuevo Versa PH2 1.6 Sense Extra Full 4p.</t>
  </si>
  <si>
    <t>Nuevo Versa PH2 1.6 SR Extra Full 4p. Aut.</t>
  </si>
  <si>
    <t>X-Trail 153KW/1.5T Advance EREV E.Full,techo pan.4x4 5p.Aut.</t>
  </si>
  <si>
    <t>5 1.5T Luxury MHEV Extra Full,techo,cuero,cam360 5p. Aut.</t>
  </si>
  <si>
    <t>Combo 1.6 Furgon Full,2Abag,ABS,CES,P.Lat, Ay.Est. (ESP)</t>
  </si>
  <si>
    <t>Combo 1.6 T.Dsl Furgon Full,2Abag,ABS,CES,P.Lat,Ay.Est.(ESP)</t>
  </si>
  <si>
    <t>Corsa Elegance 1.2T Extra Full,CES,Ay.Est. 5p. Aut. (ESP)</t>
  </si>
  <si>
    <t>Funky Cat Top 126 KW Ex.Full,techo pan.,cuero,ADAS 5p. Aut.</t>
  </si>
  <si>
    <t>2008 1.6 Allure Full,bitono,4Abag,ABS,llan16,Ay.Est.5p.(BRA)</t>
  </si>
  <si>
    <t>2008 1.6 Feline E.Full,bitono,t.cielo,CES,Ay.Est.5p Aut.(BRA</t>
  </si>
  <si>
    <t>2008 1.6 Feline Ex.Full,bitono,t.cielo,CES,Ay.Est. 5p (BRA)</t>
  </si>
  <si>
    <t>2008 1.6 Style Ex.Full,6Abag,t.cielo,Ay.Est. 5p. Aut.(BRA)</t>
  </si>
  <si>
    <t>e-Expert 100 KW Furgon Full,2Abag,CES,HSA,Ay.Est.,PL.Aut.</t>
  </si>
  <si>
    <t>Expert 1.5 T.Diesel Furgon Full,2Abag,ABS,espejos,faros (ROU</t>
  </si>
  <si>
    <t>Landtrek 1.9T Active Dsl DC E.Full,6Abag,ABS,CES,Ay.Est.4x4(</t>
  </si>
  <si>
    <t>Landtrek 2.2T Action Dsl DC Ex.Full,cue,Ay.Est.4x4 Aut.(ROU)</t>
  </si>
  <si>
    <t>Landtrek 2.2T Active Dsl DC Extra Full (ROU)</t>
  </si>
  <si>
    <t>Landtrek 2.2T Active Dsl DC Extra Full 4x4 (ROU)</t>
  </si>
  <si>
    <t>Landtrek 2.2T Active Dsl DC Extra Full 4x4 Aut. (ROU)</t>
  </si>
  <si>
    <t>New 301 Active 1.6 Full,4Abag,p.tact,llan15,CES,Ay.Est. 4p(E</t>
  </si>
  <si>
    <t>New 301 Active 1.6 HDI Full,4Abag,p.tact,llan15,CES,Ay.Est.4</t>
  </si>
  <si>
    <t>Nueva 3008 GTL 1.6T Ex.Full,cuero,techo,Ay. Est. 5p. Aut.</t>
  </si>
  <si>
    <t>Nueva 5008 GTL 1.6T Ex.Full,cuero,techo,Ay.Est.7 pax. 5p.Aut</t>
  </si>
  <si>
    <t>Nuevo 208 1.0 Style Full,CES,CTR,t.cielo,Ay.Est. 5p. (ARG)</t>
  </si>
  <si>
    <t>Nuevo 208 1.6 Active Extra Full,techo,Ay.Est. 5p. Aut. (ARG)</t>
  </si>
  <si>
    <t>Nuevo 208 GT 100 KW E.Full,cue,techo pan,ADAS 5p.Aut.(ESL)</t>
  </si>
  <si>
    <t>Partner 1.6 K9 Furgon Full,2Abag,ABS,CES,Ay.Est. (ESP)</t>
  </si>
  <si>
    <t>Partner 1.6 K9 Furgon T.Dsl Full,2Abag,ABS,CES,Ay.Est(ESP)</t>
  </si>
  <si>
    <t>Rifter 1.6 HDi Diesel Rural Full,4bag,ABS,c.est.,Ay.Est.(ESP</t>
  </si>
  <si>
    <t>Traveller 2.0 HDi Extra Full 8 Pax</t>
  </si>
  <si>
    <t>Boxster 718 2.0T Roadster Extra Full Aut.</t>
  </si>
  <si>
    <t>Nuevo Cayenne Coupe 3.0T 340 HP Extra Full Aut. 5p.</t>
  </si>
  <si>
    <t>Nuevo Macan GTS 2.9T Extra Full AWD 5p. Aut.</t>
  </si>
  <si>
    <t>Nuevo Macan S 2.9T Extra Full AWD 5p. Aut.</t>
  </si>
  <si>
    <t>Taycan 4S 420 KW Extra Full AWD 4p. Aut.</t>
  </si>
  <si>
    <t>Taycan Turbo Cross Turismo 500 KW Extra Full AWD 5p. Aut.</t>
  </si>
  <si>
    <t>Taycan Turbo S 560 KW Extra Full AWD 4p. Aut.</t>
  </si>
  <si>
    <t>1500 3.6 Big Horn MHEV Dob.Cab. Extra Full 4x4 Aut.</t>
  </si>
  <si>
    <t>1500 3.6 Laramie DT MHEV DC E.Full,cue,techo 4x4 Aut</t>
  </si>
  <si>
    <t>1500 TRX 6.2T Laramie DC Ex.Full,cue,techo 4x4 Aut.</t>
  </si>
  <si>
    <t>New 2500 Laramie 6.4 V8 Dob. Cab. Ex. Full 4x4 Aut.(MEX</t>
  </si>
  <si>
    <t>Arkana 1.3T MHEV Extra Full, 6Abag 5p. Aut. (COR)</t>
  </si>
  <si>
    <t>Arkana Intense 1.3T Extra Full,techo,cam360 5p. Aut.(COR)</t>
  </si>
  <si>
    <t>Arkana Zen 1.3T Extra Full,6Abag,Ay.Est. 5p. Aut. (COR)</t>
  </si>
  <si>
    <t>Clio V 1.0T Intens Extra Full,6Abag,llan17,Ay.Est. 5p.(TUR)</t>
  </si>
  <si>
    <t>Clio V 1.0T Zen Extra Full, 6Abag, Ay. Est. 5p. (TUR)</t>
  </si>
  <si>
    <t>DUSTER ZEN DIESEL MT</t>
  </si>
  <si>
    <t>New Kwid Bitono 1.0 Extra Full, llan, Ay.Est. 5p. (BRA)</t>
  </si>
  <si>
    <t>New Kwid E-Tech 45 KW Extra Full 5p. Aut. (CHI)</t>
  </si>
  <si>
    <t>New Kwid Intens 1.0 Extra Full, Ay. Est. 5p. (BRA)</t>
  </si>
  <si>
    <t>New Kwid Outsider 1.0 Extra Full, llan, Ay.Est. 5p. (BRA)</t>
  </si>
  <si>
    <t>New Kwid Zen 1.0 Full, 4Abag, CES, HSA 5p. (BRA)</t>
  </si>
  <si>
    <t>New Logan Life 1.6 Extra Full 4p.</t>
  </si>
  <si>
    <t>New Logan Life Plus 1.6 Extra Full 4p.</t>
  </si>
  <si>
    <t>New Oroch Cargo 1.6 D.Cab. Full,2Abag,ABS+EBD,CES,CTR (BRA)</t>
  </si>
  <si>
    <t>New Oroch Intens 1.3T Dob.Cab. Extra Full,Ay.Est. Aut. (BRA)</t>
  </si>
  <si>
    <t>New Oroch Intens Outsider 1.3T DC E.Full,cue,Ay.Est.4x4 (BRA</t>
  </si>
  <si>
    <t>New Oroch Intens Outsider 1.3T DC E.Full,cue,Ay.Est.Aut.(BRA</t>
  </si>
  <si>
    <t>New Oroch Intens Outsider 1.6 DC Extra Full,Ay.Est. (BRA)</t>
  </si>
  <si>
    <t>New Oroch Zen 1.6 Dob. Cab. Extra Full, Ay. Est. (BRA)</t>
  </si>
  <si>
    <t>New Stepway Zen 1.0 Full,4Abag,multim.,ABS,Ay Est. 5p. (BRA)</t>
  </si>
  <si>
    <t>New Stepway Zen 1.6 Full,4Abag,multimedia,ABS Ay Est.5p.(BRA</t>
  </si>
  <si>
    <t>Nueva Master 2.3T Diesel Chasis Cabina Ex. Full (L2H1)(BRA)</t>
  </si>
  <si>
    <t>Nueva Master 2.3T Dsl L3H2 Minibus 15 pax. Ex. Full (BRA)</t>
  </si>
  <si>
    <t>Nueva Master 2.3T Furgon Diesel E. Full (L3H2)(BRA)</t>
  </si>
  <si>
    <t>Nueva Master 2.3T Furgon Diesel E.Full (L1H1)(BRA)</t>
  </si>
  <si>
    <t>Nueva Master Pro 2.3T Furgon Diesel E.Full (L2H2)(BRA)</t>
  </si>
  <si>
    <t>Sandero Life 1.0 Full, 4Abag, ABS 5p. (BRA)</t>
  </si>
  <si>
    <t>Sandero Zen 1.0 Full, 4Abag, ABS, Ay. Est. 5p. (BRA)</t>
  </si>
  <si>
    <t>Arona 1.6 Excellence Extra Full, Ay. Est. 5p. Aut.</t>
  </si>
  <si>
    <t>Arona 1.6 FR Plus Ex.Full,climaut,led,llan18,Ay.Est.5p. Aut.</t>
  </si>
  <si>
    <t>New Ibiza 1.6 Reference Extra Full 5p. Aut.</t>
  </si>
  <si>
    <t>Nuevo Ateca 1.4T Style Ex. Full,7Abags,t.pan. 5p. Aut. (CHE)</t>
  </si>
  <si>
    <t>Nuevo Ibiza 1.6 Excellence Ex.Full,6Abag,t.pan,Ay.Est.5p.</t>
  </si>
  <si>
    <t>Nuevo Ibiza 1.6 Style Extra Full, Ayud. Estac. 5p.</t>
  </si>
  <si>
    <t>Nuevo Ibiza 1.6 Style Plus Extra Full, Ayud. Estac. 5p.</t>
  </si>
  <si>
    <t>Tarraco 1.4T FR Extra Full, 8Abag, P.Assist 5p. Aut.(ALE)</t>
  </si>
  <si>
    <t>Junxing 120 KW Extra Full, cuero 4p. Aut.</t>
  </si>
  <si>
    <t>Crosstrek 2.0i L ES Extra Full 4x4 5p. Aut.</t>
  </si>
  <si>
    <t>Crosstrek 2.0i L ES HEV Extra Full 4x4 5p. Aut.</t>
  </si>
  <si>
    <t>Crosstrek 2.0i S ES Extra Full 4x4 5p. Aut.</t>
  </si>
  <si>
    <t>Crosstrek 2.0i S ES HEV Extra Full 4x4 5p. Aut.</t>
  </si>
  <si>
    <t>Nueva Forester 2.0i-L ES HEV Extra Full 4x4 Aut.</t>
  </si>
  <si>
    <t>Nueva Forester 2.0i-S ES HEV Extra Full,techo,cuero 4x4 Aut.</t>
  </si>
  <si>
    <t>Nueva Forester 2.5i S ES Extra Full,techo,cuero 4x4 Aut.</t>
  </si>
  <si>
    <t>Nueva Forester 2.5i Sport ES Extra Full, techo 4x4 Aut.</t>
  </si>
  <si>
    <t>Nueva Outback 2.4T R Touring ES E.Full,tech,cue,4x4 5p.Aut.</t>
  </si>
  <si>
    <t>Nueva XV 2.0i S ES Ex.Full,cuero,techo,Ay.Est. 4x4 5p. Aut.</t>
  </si>
  <si>
    <t>Nueva XV 2.0i S ES HEV Ex.Full,cuero,techo 4x4 5p. Aut.</t>
  </si>
  <si>
    <t>Baleno 1.5 GLX Extra Full, 6Abag, cam360 5p. (IND)</t>
  </si>
  <si>
    <t>Baleno 1.5 GLX Extra Full, 6Abag, cam360 5p. Aut. (IND)</t>
  </si>
  <si>
    <t>Celerio 1.0 GL Full,2Abag,ABS,CES,Ay.Est. 5p. (IND)</t>
  </si>
  <si>
    <t>Celerio 1.0 GL Full,2Abag,ABS,CES,HSA,Ay.Est. 5p. Aut.(IND)</t>
  </si>
  <si>
    <t>Fronx 1.5 GLX MHEV Bicolor Extra Full 5p. (IND)</t>
  </si>
  <si>
    <t>Fronx 1.5 GLX MHEV Bicolor Extra Full 5p. Aut. (IND)</t>
  </si>
  <si>
    <t>Fronx 1.5 GLX MHEV Extra Full 5p. (IND)</t>
  </si>
  <si>
    <t>Fronx 1.5 GLX MHEV Extra Full 5p. Aut. (IND)</t>
  </si>
  <si>
    <t>Jimny 1.5 GL Full,2Abag,ABS,faros,CES,HSA 4x4 3p.</t>
  </si>
  <si>
    <t>Jimny 1.5 GLX Bicolor Extra Full,6Abag,climaut. 4x4 3p. Aut.</t>
  </si>
  <si>
    <t>Jimny 1.5 GLX Extra Full,6Abag,climatizador 4x4 3p. Aut.</t>
  </si>
  <si>
    <t>New Alto 800 2Abag, ABS 5p. (IND)</t>
  </si>
  <si>
    <t>Swift 1.2 GLS MHEV Full, climaut, 6Abag, CES, CTR 5p.</t>
  </si>
  <si>
    <t>3 Extra Full 4p. Aut. (CHI)</t>
  </si>
  <si>
    <t>3 Performance AWD Extra Full 4p. Aut</t>
  </si>
  <si>
    <t>S AWD Extra Full, llanta 21 5p. Aut.</t>
  </si>
  <si>
    <t>S Plaid AWD Extra Full 5p. Aut</t>
  </si>
  <si>
    <t>X Plaid AWD Extra Full 5p. Aut</t>
  </si>
  <si>
    <t>Y Extra Full 5p. Aut. (CHI)</t>
  </si>
  <si>
    <t>Y Performance AWD, Autopilot 5p. Aut.</t>
  </si>
  <si>
    <t>M2 7,5 KW Full Litio Ay. Est. 3p.</t>
  </si>
  <si>
    <t>Corolla Cross 2.0 SE-G Ex.Full,cue,techo,Ay.Est.5p.Aut.(BRA)</t>
  </si>
  <si>
    <t>Fortuner 4.0 SRX V6 Diamond Ex.Full 4x4 7 pax. Aut. (ARG)</t>
  </si>
  <si>
    <t>GR Corolla 1.6T Extra Full, TSS 4x4 5p.</t>
  </si>
  <si>
    <t>Hilux DC Conquest 2.8 TDsl Ex.Full,cue,TSS,4x4 Aut. (ARG)</t>
  </si>
  <si>
    <t>Hilux DC GR-S 2.8 T.Diesel Extra Full,cuero,TSS 4x4 Aut.(ARG</t>
  </si>
  <si>
    <t>New Yaris XLS 1.5 E.Full,7Abag,cue,Ay.Est.,TSS 4p.Aut.(BRA)</t>
  </si>
  <si>
    <t>New Yaris XLS 1.5 E.Full,7Abag,cue,Ay.Est.,TSS 5p.Aut.(BRA)</t>
  </si>
  <si>
    <t>New Yaris XLS 1.5 Ex.Full,7Abag,cuero,Ay.Est. 4p. Aut.(BRA)</t>
  </si>
  <si>
    <t>New Yaris XLS 1.5 Ex.Full,7Abag,cuero,Ay.Est. 5p. Aut.(BRA)</t>
  </si>
  <si>
    <t>New Yaris XS 1.5 Ex.Full,7Abags,CES,HSA,Ay.Estac. 4p.(BRA)</t>
  </si>
  <si>
    <t>New Yaris XS 1.5 Extra Full,7Abags,CES,HSA 5p.(BRA)</t>
  </si>
  <si>
    <t>Nueva Hilux GR-S IV 2.8 TDsl E.Full,cuero,TSS 4x4 Aut.(ARG)</t>
  </si>
  <si>
    <t>Nuevo Corolla GR-S 2.0 Extra Full Aut. (BRA)</t>
  </si>
  <si>
    <t>Raize 1.0T GLX Extra Full, 6Abag, led 5p. (INDO)</t>
  </si>
  <si>
    <t>Raize 1.0T GLX Extra Full, 6Abag, led 5p. Aut. (INDO)</t>
  </si>
  <si>
    <t>Raize 1.2 GL Full, 2Abag, CES, HSA, Ay. Est. 5p. (INDO)</t>
  </si>
  <si>
    <t>Raize 1.2 GL Full, 2Abag, CES, HSA, Ay. Est. Aut. 5p. (INDO)</t>
  </si>
  <si>
    <t>Rush 1.5 S Plus Extra Full,llan 17,Cam.Reversa 7 pax. Aut.(I</t>
  </si>
  <si>
    <t>SCH1025D Box Refrigerado 1.2 2Abag, ABS c/equipo frio -5</t>
  </si>
  <si>
    <t>SCH1025D Box Refrigerado 1.5 2Abag, ABS c/equipo frio -18</t>
  </si>
  <si>
    <t>SCH5022XXYD Furgon 1.2 a/a,2Abag,ABS,2Ptas. Lat., Ay.Estac.</t>
  </si>
  <si>
    <t>SCH5032XXY Furgon 60 KW Full, 2Abag, ABS, faros, Ay. Est.</t>
  </si>
  <si>
    <t>Nivus 1.0T Comfortline Ex. Full,6Abag,CES,Ay.Est. 5p.</t>
  </si>
  <si>
    <t>Nuevo E-Up Move 61 KW Ex.Full, 6Abag, ABS 5p. Aut.(ESL)</t>
  </si>
  <si>
    <t>Nuevo Vento 1.4T Comfortline Extra Full, cuero 4p. (MEX)</t>
  </si>
  <si>
    <t>Nuevo Vento 1.4T Highline E.Full,t.pan,cue,ADAS 4p.Aut.(MEX)</t>
  </si>
  <si>
    <t>Nuevo Vento 2.0T GLi E.Full,techo pan,cue,llan18 4p.Aut.(MEX</t>
  </si>
  <si>
    <t>Nuevo Virtus 1.0T Comfortline Extra Full 4p. Aut.</t>
  </si>
  <si>
    <t>Nuevo Virtus 1.0T Highline Extra Full 4p. Aut.</t>
  </si>
  <si>
    <t>Nuevo Virtus 1.0T Trendline Extra Full 4p. Aut.</t>
  </si>
  <si>
    <t>Nuevo Virtus 1.4T Exclusive Extra Full, cuero 4p. Aut.</t>
  </si>
  <si>
    <t>Polo VII 1.0T Comfortline Extra Full 5p. Aut.</t>
  </si>
  <si>
    <t>Polo VII 1.0T Highline Extra Full 5p. Aut.</t>
  </si>
  <si>
    <t>Polo VII 1.4T GTS Extra Full, cuero 5p. Aut.</t>
  </si>
  <si>
    <t>Saveiro VII 1.6 DC Full,2Abag,ABS,CES,ASR,dock st,Ay.Est.</t>
  </si>
  <si>
    <t>Saveiro VII 1.6 Pick Up Full,2Abag,ABS,mult.,CES,CTR</t>
  </si>
  <si>
    <t>Saveiro VIII 1.6 Dob. Cab. Extreme Extra Full,cuero,Ay.Est.</t>
  </si>
  <si>
    <t>Saveiro VIII 1.6 Doble Cabina Full, 2Abag, ABS, CES, CTR</t>
  </si>
  <si>
    <t>Saveiro VIII 1.6 Pick Up Full, 2Abag, ABS, CES, CTR</t>
  </si>
  <si>
    <t>Taos 1.4T Comfort Extra Full, Ay. Est. 5p. Aut.(ARG)</t>
  </si>
  <si>
    <t>Taos 1.4T Comfort Extra Full,cuero,Ay.Est. 5p. Aut.(ARG)</t>
  </si>
  <si>
    <t>Taos 1.4T Highline Extra Full,cue,Park Assist.5p. Aut.(ARG)</t>
  </si>
  <si>
    <t>Taos 1.4T Highline Extra Full,cuero,Ay.Est. 5p. Aut.(ARG)</t>
  </si>
  <si>
    <t>T-Cross 1.0T Comfortline Extra Full, Ay.Est. 5p. Aut.</t>
  </si>
  <si>
    <t>T-Cross 1.0T Highline Extra Full 5p. Aut.</t>
  </si>
  <si>
    <t>T-Cross 1.0T Highline Extra Full, Park Assist. 5p. Aut.</t>
  </si>
  <si>
    <t>T-Cross 1.0T Trendline Extra Full, Ay.Est. 5p.</t>
  </si>
  <si>
    <t>Tiguan 1.4 TFSi Elegance E.Full,llan19,ADAS 5p.7 pax.Aut.(ME</t>
  </si>
  <si>
    <t>Tiguan 1.4 TFSi Life Extra Full, ADAS 5p. 7 pax. Aut.(MEX)</t>
  </si>
  <si>
    <t>Tiguan 2.0 TFSi R-Line E.Full,techo pan,ADAS 5p.7 pax.Aut.(M</t>
  </si>
  <si>
    <t>C40 P6 Recharge 170 KW Extra Full Aut. (BEL)</t>
  </si>
  <si>
    <t>C40 P8 Recharge 304 KW Extra Full 4x4 Aut. (BEL)</t>
  </si>
  <si>
    <t>XC40 P6 170 KW Extra Full Aut. (BEL)</t>
  </si>
  <si>
    <t>XC40 P8 304 KW Extra Full 4x4 Aut. (BEL)</t>
  </si>
  <si>
    <t>XC40 T5 Momentum 1.5T PHEV Extra Full Aut. (BEL)</t>
  </si>
  <si>
    <t>XC60 Recharge Plus T8 2.0T 465HP PHEV AWD Ex.Full Aut.</t>
  </si>
  <si>
    <t>XC60 Recharge Ultimate T8 2.0T 465HP PHEV AWD Ex.Full Aut.</t>
  </si>
  <si>
    <t>Yoyo 15KW Full, techo pan. 2p. Aut.</t>
  </si>
  <si>
    <t>Yoyo Premium 15KW Full, techo pan.llantas,pant10 2p. Aut.</t>
  </si>
  <si>
    <t>Terralord 2.4T Dignity DC Extra Full,cue,cam360, Ay. Est.</t>
  </si>
  <si>
    <t>Terralord 2.4T Super Luxury Dob.Cab. Ex.Full,cue,Ay. Est.</t>
  </si>
  <si>
    <t>SUD</t>
  </si>
  <si>
    <t>AUS</t>
  </si>
  <si>
    <t xml:space="preserve">CHE </t>
  </si>
  <si>
    <t>NAFTA</t>
  </si>
  <si>
    <t>ELÉCTRICO</t>
  </si>
  <si>
    <t>DIESEL</t>
  </si>
  <si>
    <t>Ursea</t>
  </si>
  <si>
    <t>Euro 5 b</t>
  </si>
  <si>
    <t>Argentina</t>
  </si>
  <si>
    <t>61GMY0059A</t>
  </si>
  <si>
    <t>RV-E00139</t>
  </si>
  <si>
    <t>RV-E00142</t>
  </si>
  <si>
    <t>RV-E00141</t>
  </si>
  <si>
    <t>Chile</t>
  </si>
  <si>
    <t>SZ8943E60123S00-1</t>
  </si>
  <si>
    <t>SZ8949E60123S00-4</t>
  </si>
  <si>
    <t>SZ8948E60123S00-9</t>
  </si>
  <si>
    <t>Tier 2 b5</t>
  </si>
  <si>
    <t>SZ8831E61122S00-K</t>
  </si>
  <si>
    <t>SZ8833E61122S00-0</t>
  </si>
  <si>
    <t>SZ8815E61122S00-2</t>
  </si>
  <si>
    <t>RV-E00003</t>
  </si>
  <si>
    <t>RV-E00053</t>
  </si>
  <si>
    <t>13/08906</t>
  </si>
  <si>
    <t>RV-E00072</t>
  </si>
  <si>
    <t>RV-E00101</t>
  </si>
  <si>
    <t>CT8669E60622S00-3</t>
  </si>
  <si>
    <t>CT8668E60622S00-8</t>
  </si>
  <si>
    <t>FT8687E60722S00-1</t>
  </si>
  <si>
    <t>12/03135</t>
  </si>
  <si>
    <t>FT8684E60722S00-5</t>
  </si>
  <si>
    <t>FT8685E60722S00-0</t>
  </si>
  <si>
    <t>RV-E00137</t>
  </si>
  <si>
    <t>Euro 5 a</t>
  </si>
  <si>
    <t>RV-E00136</t>
  </si>
  <si>
    <t>RV-E00109</t>
  </si>
  <si>
    <t>RV-E00095</t>
  </si>
  <si>
    <t>RV-E00084</t>
  </si>
  <si>
    <t>RV-E00088</t>
  </si>
  <si>
    <t>RV-E00086</t>
  </si>
  <si>
    <t>RV-E00098</t>
  </si>
  <si>
    <t>RV-E00097</t>
  </si>
  <si>
    <t>VW7205E50118S00-1</t>
  </si>
  <si>
    <t>RV-E00073</t>
  </si>
  <si>
    <t>C1_220225_010</t>
  </si>
  <si>
    <t>TY8971E60223S00-1</t>
  </si>
  <si>
    <t>TY9380E61223S00-K</t>
  </si>
  <si>
    <t>TY8972E60223S00-7</t>
  </si>
  <si>
    <t>TY8962E60223S00-2</t>
  </si>
  <si>
    <t>RV-E00140</t>
  </si>
  <si>
    <t>MT8102E60820S05-5</t>
  </si>
  <si>
    <t>KR20100171</t>
  </si>
  <si>
    <t>MB8559E60222S00-6</t>
  </si>
  <si>
    <t>RV-E00049</t>
  </si>
  <si>
    <t>HN8903E60123S00-9</t>
  </si>
  <si>
    <t>HN8881E61222S00-7</t>
  </si>
  <si>
    <t>HN8742E60822S02-4</t>
  </si>
  <si>
    <t>Tier 3 b70</t>
  </si>
  <si>
    <t>HN8667T3C0622S02-7</t>
  </si>
  <si>
    <t>HN8904T3C0123S00-7</t>
  </si>
  <si>
    <t>Tier 3 b125</t>
  </si>
  <si>
    <t>HN8496E61121S01-8</t>
  </si>
  <si>
    <t>HN8931T3B0123M00-1</t>
  </si>
  <si>
    <t>BM8318E60521S00-2</t>
  </si>
  <si>
    <t>MN8305E60421S02-0</t>
  </si>
  <si>
    <t>MN8332E60521S01-3</t>
  </si>
  <si>
    <t>BM8220E60121S00-3</t>
  </si>
  <si>
    <t>MB9276E60923S01-9</t>
  </si>
  <si>
    <t>MB7467E60818S02-0</t>
  </si>
  <si>
    <t>MB9079E60423S00-9</t>
  </si>
  <si>
    <t>CH7582T3A1218S00-1</t>
  </si>
  <si>
    <t>Tier 3 b160</t>
  </si>
  <si>
    <t xml:space="preserve">AUTOMOVIL (ELÉCTRICO) </t>
  </si>
  <si>
    <t xml:space="preserve">UTILITARIO (ELÉCTRICO) </t>
  </si>
  <si>
    <t xml:space="preserve">SUV  (ELÉCTRICO) </t>
  </si>
  <si>
    <t xml:space="preserve">% (sin contar ventas  electricos) </t>
  </si>
  <si>
    <t>RV-E00092</t>
  </si>
  <si>
    <t>RV-E00110</t>
  </si>
  <si>
    <t>TY9498E60524S00-1</t>
  </si>
  <si>
    <t>TY8963E60223S00-8</t>
  </si>
  <si>
    <t>RV-E00133</t>
  </si>
  <si>
    <t>RV-E00093</t>
  </si>
  <si>
    <t>RV-E00089</t>
  </si>
  <si>
    <t>RV-E00113</t>
  </si>
  <si>
    <t>FT8817T3B1122S00-3</t>
  </si>
  <si>
    <t>FT8817T3B1122S02-2</t>
  </si>
  <si>
    <t>3-0241/17</t>
  </si>
  <si>
    <t>1-0244/17</t>
  </si>
  <si>
    <t>JT9132E60523S00-9</t>
  </si>
  <si>
    <t>JT9119E60523S00-8</t>
  </si>
  <si>
    <t>RV-E00138</t>
  </si>
  <si>
    <t>RV-E00048</t>
  </si>
  <si>
    <t>RV-E00054</t>
  </si>
  <si>
    <t>RV-E00055</t>
  </si>
  <si>
    <t>FT8916T3B0123S00-4</t>
  </si>
  <si>
    <t>FT8916T3B0123S01-9</t>
  </si>
  <si>
    <t>FT8507E61221S00-3</t>
  </si>
  <si>
    <t>FT8506E61221S00-8</t>
  </si>
  <si>
    <t>CH8793E61022S00-K</t>
  </si>
  <si>
    <t>2-0151/19</t>
  </si>
  <si>
    <t>C1_211211_011</t>
  </si>
  <si>
    <t>Brasil</t>
  </si>
  <si>
    <t>SZ9174E60623S00-K</t>
  </si>
  <si>
    <t>SZ9173E60623S00-4</t>
  </si>
  <si>
    <t>JP8789T3B1022S00-2</t>
  </si>
  <si>
    <t>JP8789T3B1022S01-7</t>
  </si>
  <si>
    <t>RV-E00123</t>
  </si>
  <si>
    <t>NS8758EL0922S00-2</t>
  </si>
  <si>
    <t>RV-E00112</t>
  </si>
  <si>
    <t>RV-E00056</t>
  </si>
  <si>
    <t>RV-E00115</t>
  </si>
  <si>
    <t>KI9489E60424S00-0</t>
  </si>
  <si>
    <t>KI9484E60424S00-3</t>
  </si>
  <si>
    <t>MZ7929E51219S00-7</t>
  </si>
  <si>
    <t>JT9089E60423S00-7</t>
  </si>
  <si>
    <t>JT9090E60423S00-2</t>
  </si>
  <si>
    <t>RV-E00036</t>
  </si>
  <si>
    <t>TY8543E60122S00-4</t>
  </si>
  <si>
    <t>TY8543E60122S01-8</t>
  </si>
  <si>
    <t>JP8906T3B0123S00-K</t>
  </si>
  <si>
    <t>JP8906T3B0123S01-4</t>
  </si>
  <si>
    <t>BY9464E60424S00-5</t>
  </si>
  <si>
    <t>RN9479E60424S00-7</t>
  </si>
  <si>
    <t>RN8675E60622S00-6</t>
  </si>
  <si>
    <t>RV-E00074</t>
  </si>
  <si>
    <t>RN9387E61223S00-6</t>
  </si>
  <si>
    <t>RV-E00076</t>
  </si>
  <si>
    <t>RV-E00078</t>
  </si>
  <si>
    <t>KI7872E61019S00-3</t>
  </si>
  <si>
    <t>GY8520E61221S00-4</t>
  </si>
  <si>
    <t>TY8393E60821S00-2</t>
  </si>
  <si>
    <t>TY8392E60821S00-7</t>
  </si>
  <si>
    <t>BM9157E60523S00-2</t>
  </si>
  <si>
    <t>BM8754E60922S00-0</t>
  </si>
  <si>
    <t>Tier 3 b30</t>
  </si>
  <si>
    <t>RV-E00011</t>
  </si>
  <si>
    <t>RV-E00012</t>
  </si>
  <si>
    <t>JP9024E60323S00-3</t>
  </si>
  <si>
    <t xml:space="preserve">Chile </t>
  </si>
  <si>
    <t>MB9282E60923S00-8</t>
  </si>
  <si>
    <t>HY9266E60923S00-4</t>
  </si>
  <si>
    <t>RV-E00058</t>
  </si>
  <si>
    <t>CY8901E60123S00-9</t>
  </si>
  <si>
    <t>CY8952E60123S00-7</t>
  </si>
  <si>
    <t>CY9016E60724S01-K</t>
  </si>
  <si>
    <t>CH9066E60423S01-2</t>
  </si>
  <si>
    <t>HY8711E60722S00-0</t>
  </si>
  <si>
    <t>HY9389E61223S00-8</t>
  </si>
  <si>
    <t>RV-E00040</t>
  </si>
  <si>
    <t>RV-E00144</t>
  </si>
  <si>
    <t>RV-E00145</t>
  </si>
  <si>
    <t>HY8682E60722S00-4</t>
  </si>
  <si>
    <t>HY9586E60724S01-0</t>
  </si>
  <si>
    <t>HY9586E60724S00-7</t>
  </si>
  <si>
    <t>RV-E00060</t>
  </si>
  <si>
    <t>RV-E00059</t>
  </si>
  <si>
    <t>RV-E00121</t>
  </si>
  <si>
    <t>RV-E00071</t>
  </si>
  <si>
    <t>RV-E00025</t>
  </si>
  <si>
    <t>SB8187E61220S00-1</t>
  </si>
  <si>
    <t>CN8406E60821S00-8</t>
  </si>
  <si>
    <t>RV-E00135</t>
  </si>
  <si>
    <t>RV-E00134</t>
  </si>
  <si>
    <t>KI8461E61121S01-7</t>
  </si>
  <si>
    <t>KI8615E60422S00-K</t>
  </si>
  <si>
    <t>RV-E00046</t>
  </si>
  <si>
    <t>RV-E00127</t>
  </si>
  <si>
    <t>MN9534E60624S00-2</t>
  </si>
  <si>
    <t>MZ7654E50219S00-4</t>
  </si>
  <si>
    <t>RV-E00015</t>
  </si>
  <si>
    <t>FR9363E61123S02-4</t>
  </si>
  <si>
    <t>CH8006E60320S01-0</t>
  </si>
  <si>
    <t>VL8576E60223M01-4</t>
  </si>
  <si>
    <t>KI8618E60422S00-6</t>
  </si>
  <si>
    <t>LR9118E60523S09-5</t>
  </si>
  <si>
    <t>LR9271E60923M06-1</t>
  </si>
  <si>
    <t>LR9292E60923S03-7</t>
  </si>
  <si>
    <t>MB9307E61023M00-7</t>
  </si>
  <si>
    <t>RV-E00037</t>
  </si>
  <si>
    <t>VL8547E60223S01-8</t>
  </si>
  <si>
    <t>VL8547E60222S00-3</t>
  </si>
  <si>
    <t>VL8547E60924S02-6</t>
  </si>
  <si>
    <t>RV-E00264</t>
  </si>
  <si>
    <t>RV-E00265</t>
  </si>
  <si>
    <t>CH8967E60223S00-6</t>
  </si>
  <si>
    <t>CH8966E60223S00-0</t>
  </si>
  <si>
    <t>RV-E00114</t>
  </si>
  <si>
    <t>RV-E00118</t>
  </si>
  <si>
    <t>RV-E00090</t>
  </si>
  <si>
    <t>RV-E00117</t>
  </si>
  <si>
    <t>RV-E00272</t>
  </si>
  <si>
    <t>RV-E00151</t>
  </si>
  <si>
    <t>RV-E00152</t>
  </si>
  <si>
    <t xml:space="preserve">Ursea </t>
  </si>
  <si>
    <t>RV-E00131</t>
  </si>
  <si>
    <t>RV-E00132</t>
  </si>
  <si>
    <t>RV-E00276</t>
  </si>
  <si>
    <t>RV-E00277</t>
  </si>
  <si>
    <t>RV-E00278</t>
  </si>
  <si>
    <t>BR23100041</t>
  </si>
  <si>
    <t>BR23100040</t>
  </si>
  <si>
    <t>RV-E00157</t>
  </si>
  <si>
    <t>0179/17</t>
  </si>
  <si>
    <t xml:space="preserve">Argentina </t>
  </si>
  <si>
    <t>21/00674; 23/08773</t>
  </si>
  <si>
    <t>RV-E00005</t>
  </si>
  <si>
    <t>C1_200715_011 / C1_200716_008</t>
  </si>
  <si>
    <t>KR8924E60123S02-2</t>
  </si>
  <si>
    <t>CY4916E41112S</t>
  </si>
  <si>
    <t>RV-E00009</t>
  </si>
  <si>
    <t>RV-E00020</t>
  </si>
  <si>
    <t>RV-E00024</t>
  </si>
  <si>
    <t>FR8695E60722M02-0</t>
  </si>
  <si>
    <t>FR8651E60622M00-4</t>
  </si>
  <si>
    <t>Euto 6 c</t>
  </si>
  <si>
    <t>FR8653E60622M02-2</t>
  </si>
  <si>
    <t>FR6526E50919M05-3</t>
  </si>
  <si>
    <t>RV-E00070</t>
  </si>
  <si>
    <t>RV-E00069</t>
  </si>
  <si>
    <t>RV-E00177</t>
  </si>
  <si>
    <t>RV-E00164</t>
  </si>
  <si>
    <t>RV-E00163</t>
  </si>
  <si>
    <t>RV-E00143</t>
  </si>
  <si>
    <t>RV-E00119</t>
  </si>
  <si>
    <t>RV-E00129</t>
  </si>
  <si>
    <t>RV-E00130</t>
  </si>
  <si>
    <t>CH8751T3C0922M00-0</t>
  </si>
  <si>
    <t>RV-E00148</t>
  </si>
  <si>
    <t>RV-E00263</t>
  </si>
  <si>
    <t>RV-E00105</t>
  </si>
  <si>
    <t>JC8861E61222S00-6</t>
  </si>
  <si>
    <t>PG5124E5041301-5</t>
  </si>
  <si>
    <t>RV-E00206</t>
  </si>
  <si>
    <t>RV-E00108</t>
  </si>
  <si>
    <t>RV-E00202</t>
  </si>
  <si>
    <t>RV-E00124</t>
  </si>
  <si>
    <t>42.04.547.00</t>
  </si>
  <si>
    <t>RV-E00057</t>
  </si>
  <si>
    <t>FR9547T3E0624M00-0</t>
  </si>
  <si>
    <t>RV-E00077</t>
  </si>
  <si>
    <t>RV-E00111</t>
  </si>
  <si>
    <t>RV-E00079</t>
  </si>
  <si>
    <t>RV-E00122</t>
  </si>
  <si>
    <t>RV-E00083</t>
  </si>
  <si>
    <t>GW9023E60323M01-K</t>
  </si>
  <si>
    <t>GW9021E60323M01-9</t>
  </si>
  <si>
    <t>Automovil N (sin HEV y MHEV)</t>
  </si>
  <si>
    <t>Automovil D (sin HEV y MHEV)</t>
  </si>
  <si>
    <t>Utilitario N (incluye HEV y MHEV)</t>
  </si>
  <si>
    <t>Utilitario N (sin HEV y MHEV)</t>
  </si>
  <si>
    <t>SUV N (incluye HEV y MHEV</t>
  </si>
  <si>
    <t>SUV N (sin HEV y MHEV)</t>
  </si>
  <si>
    <t>SUV N (sin hibridos)</t>
  </si>
  <si>
    <t>SUV N (solo HEV y MHEV)</t>
  </si>
  <si>
    <t>Tier 3 B70</t>
  </si>
  <si>
    <t>Tier 3 B125</t>
  </si>
  <si>
    <t>Tier 2</t>
  </si>
  <si>
    <t>Tier 3</t>
  </si>
  <si>
    <t>Segmento</t>
  </si>
  <si>
    <t>Tipo 1</t>
  </si>
  <si>
    <t>Tipo 2</t>
  </si>
  <si>
    <t>Combustible 1</t>
  </si>
  <si>
    <t>Tipo de motor</t>
  </si>
  <si>
    <t>HP</t>
  </si>
  <si>
    <t>Precio Diciembre 2023 USD</t>
  </si>
  <si>
    <t>Peso Bruto Total (P.B.T.)</t>
  </si>
  <si>
    <t>Norma de emisiones</t>
  </si>
  <si>
    <t>CPLE 363/2022 Rev.1</t>
  </si>
  <si>
    <t>CPLE 373/2022 Rev.2</t>
  </si>
  <si>
    <t>CPLE 369/2022 Rev.1</t>
  </si>
  <si>
    <t>CPLE 364/2022 Rev.1</t>
  </si>
  <si>
    <t>Código de referencia en base de datos (Código de Informe Técnico (Chile), Nro. De Registro (Uruguay), Ensayo consumos laboratorio (Argentina))</t>
  </si>
  <si>
    <t>Procesados x CO2</t>
  </si>
  <si>
    <t>Consumo (L/100 km)</t>
  </si>
  <si>
    <t>Rendimiento (km/L)</t>
  </si>
  <si>
    <t>Calculo de CO2 contenido en los combustibles</t>
  </si>
  <si>
    <t xml:space="preserve">Gasolina </t>
  </si>
  <si>
    <t>Gasoil</t>
  </si>
  <si>
    <t>g/L</t>
  </si>
  <si>
    <t>L/g</t>
  </si>
  <si>
    <t xml:space="preserve">Fuente: </t>
  </si>
  <si>
    <t>https://theicct.org/wp-content/uploads/2022/03/Conversion-tool-20141121-Protect.xlsx</t>
  </si>
  <si>
    <t xml:space="preserve"> Procesados x Consumo</t>
  </si>
  <si>
    <t>Rendimiento eléctrico (km/kWh)</t>
  </si>
  <si>
    <t>BY8738EL0822S00-3</t>
  </si>
  <si>
    <t>BY8414EL0921S00-K</t>
  </si>
  <si>
    <t>BY9227EL0723S00-K</t>
  </si>
  <si>
    <t>BY9005EL0323S00-6</t>
  </si>
  <si>
    <t>BY9538EL0624S00-2</t>
  </si>
  <si>
    <t>BY9631EL0924S00-5</t>
  </si>
  <si>
    <t>BY8739EL0822S00-9</t>
  </si>
  <si>
    <t>BY7832EL0819S00-8</t>
  </si>
  <si>
    <t>JC8724EL0822S00-4</t>
  </si>
  <si>
    <t>JC9323EL1023S00-3</t>
  </si>
  <si>
    <t>Estimado</t>
  </si>
  <si>
    <t>JC9070EL0423M00-5</t>
  </si>
  <si>
    <t>JC9407EL0124M01-3</t>
  </si>
  <si>
    <t>RN9678EL1024S00-8</t>
  </si>
  <si>
    <t>LP9652EL0924S00-0</t>
  </si>
  <si>
    <t>PG9495EL0424S00-1</t>
  </si>
  <si>
    <t>VL9327EL1023S00-8</t>
  </si>
  <si>
    <t>VL9369EL1223S00-5</t>
  </si>
  <si>
    <t>VL9263EL0923S00-4</t>
  </si>
  <si>
    <t>VL9371EL1223S00-6</t>
  </si>
  <si>
    <t>BM8876EL1222S00-6</t>
  </si>
  <si>
    <t>BM9084EL0423S00-4</t>
  </si>
  <si>
    <t>BM8587EL0322M00-4</t>
  </si>
  <si>
    <t>BM9158EL0523M00-3</t>
  </si>
  <si>
    <t>BM8519EL1221M00-1</t>
  </si>
  <si>
    <t>MN9602EL0824S00-7</t>
  </si>
  <si>
    <t>AD8672EL0622M00-1</t>
  </si>
  <si>
    <t>AD9624EL0824M00-2</t>
  </si>
  <si>
    <t>AD9749EL1224M00-6</t>
  </si>
  <si>
    <t>BC8655EL0622S00-0</t>
  </si>
  <si>
    <t>TS9432EL0224S00-1</t>
  </si>
  <si>
    <t>TS9433EL0224S02-4</t>
  </si>
  <si>
    <t>MP8757EL0922S00-7</t>
  </si>
  <si>
    <t>HY9294EL0923S01-8</t>
  </si>
  <si>
    <t>HY9010EL0724S03-2</t>
  </si>
  <si>
    <t>NS7686EL0319S00-0</t>
  </si>
  <si>
    <t>RN9167EL0623S01-9</t>
  </si>
  <si>
    <t>MB9011EL0323S00-6</t>
  </si>
  <si>
    <t>PG9686EL1024M00-K</t>
  </si>
  <si>
    <t>PG9306EL1023S00-3</t>
  </si>
  <si>
    <t>DS8394EL0821S00-3</t>
  </si>
  <si>
    <t>DS8820EL1122S00-3</t>
  </si>
  <si>
    <t>DS9289EL0923S00-6</t>
  </si>
  <si>
    <t>MX8604EL0422S00-9</t>
  </si>
  <si>
    <t>MX8065EL0921S07-K</t>
  </si>
  <si>
    <t>MX8246EL0921M03-7</t>
  </si>
  <si>
    <t>CT9519EL0524S00-K</t>
  </si>
  <si>
    <t>JM8451EL1021M01-9</t>
  </si>
  <si>
    <t>JM8451EL1021M00-5</t>
  </si>
  <si>
    <t>Combustible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</si>
</sst>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8"/>
      <color indexed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ourier"/>
      <family val="3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9"/>
      <name val="Leelawadee"/>
      <family val="2"/>
    </font>
    <font>
      <sz val="9"/>
      <color theme="1"/>
      <name val="Leelawadee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4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0" fontId="8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0" xfId="0" applyBorder="1"/>
    <xf numFmtId="0" fontId="6" fillId="0" borderId="13" xfId="0" applyFont="1" applyBorder="1"/>
    <xf numFmtId="0" fontId="0" fillId="0" borderId="14" xfId="0" applyBorder="1"/>
    <xf numFmtId="0" fontId="6" fillId="0" borderId="8" xfId="0" applyFont="1" applyBorder="1"/>
    <xf numFmtId="0" fontId="0" fillId="0" borderId="9" xfId="0" applyBorder="1"/>
    <xf numFmtId="0" fontId="6" fillId="0" borderId="15" xfId="0" applyFont="1" applyBorder="1"/>
    <xf numFmtId="0" fontId="0" fillId="0" borderId="16" xfId="0" applyBorder="1"/>
    <xf numFmtId="0" fontId="0" fillId="0" borderId="12" xfId="0" applyBorder="1"/>
    <xf numFmtId="0" fontId="0" fillId="0" borderId="11" xfId="0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3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6" fillId="0" borderId="17" xfId="0" applyFont="1" applyBorder="1"/>
    <xf numFmtId="0" fontId="6" fillId="0" borderId="18" xfId="0" applyFont="1" applyBorder="1"/>
    <xf numFmtId="9" fontId="0" fillId="0" borderId="11" xfId="4" applyFont="1" applyBorder="1" applyAlignment="1">
      <alignment horizontal="center" vertical="center"/>
    </xf>
  </cellXfs>
  <cellStyles count="5">
    <cellStyle name="Excel Built-in Normal" xfId="1" xr:uid="{00000000-0005-0000-0000-000000000000}"/>
    <cellStyle name="Hipervínculo" xfId="3" builtinId="8"/>
    <cellStyle name="Normal" xfId="0" builtinId="0"/>
    <cellStyle name="Normal 2" xfId="2" xr:uid="{00000000-0005-0000-0000-000004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Normas de emisión de vehículos importados en 2023 en UY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7-4CE5-AD77-481D848F1C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07-4CE5-AD77-481D848F1C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07-4CE5-AD77-481D848F1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07-4CE5-AD77-481D848F1C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07-4CE5-AD77-481D848F1C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'Calculos adicionales 2023'!$M$2:$M$6</c:f>
              <c:strCache>
                <c:ptCount val="5"/>
                <c:pt idx="0">
                  <c:v>Euro 4</c:v>
                </c:pt>
                <c:pt idx="1">
                  <c:v>Euro 5</c:v>
                </c:pt>
                <c:pt idx="2">
                  <c:v>Euro 6</c:v>
                </c:pt>
                <c:pt idx="3">
                  <c:v>Tier 2</c:v>
                </c:pt>
                <c:pt idx="4">
                  <c:v>Tier 3</c:v>
                </c:pt>
              </c:strCache>
            </c:strRef>
          </c:cat>
          <c:val>
            <c:numRef>
              <c:f>'Calculos adicionales 2023'!$N$2:$N$6</c:f>
              <c:numCache>
                <c:formatCode>General</c:formatCode>
                <c:ptCount val="5"/>
                <c:pt idx="0">
                  <c:v>2800</c:v>
                </c:pt>
                <c:pt idx="1">
                  <c:v>24969</c:v>
                </c:pt>
                <c:pt idx="2">
                  <c:v>24740</c:v>
                </c:pt>
                <c:pt idx="3">
                  <c:v>1385</c:v>
                </c:pt>
                <c:pt idx="4">
                  <c:v>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07-4CE5-AD77-481D848F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8</xdr:row>
      <xdr:rowOff>61912</xdr:rowOff>
    </xdr:from>
    <xdr:to>
      <xdr:col>18</xdr:col>
      <xdr:colOff>76199</xdr:colOff>
      <xdr:row>17</xdr:row>
      <xdr:rowOff>371475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61821-74A1-403C-91F5-FABBEAF28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heicct.org/wp-content/uploads/2022/03/Conversion-tool-20141121-Protec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ADBE-267B-4F10-A194-731F567120AD}">
  <dimension ref="A1:X867"/>
  <sheetViews>
    <sheetView tabSelected="1" workbookViewId="0">
      <selection activeCell="B1" sqref="B1"/>
    </sheetView>
  </sheetViews>
  <sheetFormatPr baseColWidth="10" defaultRowHeight="15" x14ac:dyDescent="0.25"/>
  <cols>
    <col min="2" max="2" width="53.28515625" customWidth="1"/>
    <col min="3" max="3" width="27.5703125" bestFit="1" customWidth="1"/>
    <col min="4" max="4" width="18.42578125" bestFit="1" customWidth="1"/>
    <col min="5" max="5" width="11.85546875" bestFit="1" customWidth="1"/>
    <col min="8" max="8" width="14.85546875" bestFit="1" customWidth="1"/>
    <col min="9" max="9" width="13.5703125" bestFit="1" customWidth="1"/>
    <col min="16" max="16" width="25" customWidth="1"/>
  </cols>
  <sheetData>
    <row r="1" spans="1:24" ht="57" x14ac:dyDescent="0.25">
      <c r="A1" s="1" t="s">
        <v>0</v>
      </c>
      <c r="B1" s="7" t="s">
        <v>1</v>
      </c>
      <c r="C1" s="1" t="s">
        <v>1305</v>
      </c>
      <c r="D1" s="1" t="s">
        <v>1306</v>
      </c>
      <c r="E1" s="1" t="s">
        <v>1307</v>
      </c>
      <c r="F1" s="1" t="s">
        <v>2</v>
      </c>
      <c r="G1" s="1" t="s">
        <v>3</v>
      </c>
      <c r="H1" s="8" t="s">
        <v>1308</v>
      </c>
      <c r="I1" s="8" t="s">
        <v>1380</v>
      </c>
      <c r="J1" s="16" t="s">
        <v>1309</v>
      </c>
      <c r="K1" s="8" t="s">
        <v>1310</v>
      </c>
      <c r="L1" s="1" t="s">
        <v>4</v>
      </c>
      <c r="M1" s="18" t="s">
        <v>63</v>
      </c>
      <c r="N1" s="19" t="s">
        <v>1311</v>
      </c>
      <c r="O1" s="18" t="s">
        <v>426</v>
      </c>
      <c r="P1" s="19" t="s">
        <v>1318</v>
      </c>
      <c r="Q1" s="18" t="s">
        <v>1313</v>
      </c>
      <c r="R1" s="19" t="s">
        <v>1312</v>
      </c>
      <c r="S1" s="19" t="s">
        <v>1330</v>
      </c>
      <c r="T1" s="19" t="s">
        <v>6</v>
      </c>
      <c r="U1" s="10" t="s">
        <v>1320</v>
      </c>
      <c r="V1" s="8" t="s">
        <v>1321</v>
      </c>
      <c r="W1" s="19" t="s">
        <v>1319</v>
      </c>
      <c r="X1" s="8" t="s">
        <v>1329</v>
      </c>
    </row>
    <row r="2" spans="1:24" x14ac:dyDescent="0.25">
      <c r="A2" s="6" t="s">
        <v>19</v>
      </c>
      <c r="B2" s="6" t="s">
        <v>612</v>
      </c>
      <c r="C2" s="6" t="s">
        <v>403</v>
      </c>
      <c r="D2" s="6" t="s">
        <v>72</v>
      </c>
      <c r="E2" s="11" t="str">
        <f t="shared" ref="E2:E65" si="0">IF(D2="COMERCIAL","UTILITARIO",IF(C2="SUV Y CROSSOVER","SUV","AUTOMOVIL"))</f>
        <v>AUTOMOVIL</v>
      </c>
      <c r="F2" s="6" t="s">
        <v>21</v>
      </c>
      <c r="G2" s="11">
        <v>1000</v>
      </c>
      <c r="H2" s="6" t="s">
        <v>1050</v>
      </c>
      <c r="I2" s="6" t="str">
        <f>IF(H2="NAFTA","N",IF(H2="DIESEL","D",IF(H2="ELÉCTRICO","E","")))</f>
        <v>N</v>
      </c>
      <c r="J2" s="17" t="s">
        <v>9</v>
      </c>
      <c r="K2" s="6">
        <v>78</v>
      </c>
      <c r="L2" s="9">
        <v>1688</v>
      </c>
      <c r="M2" s="21">
        <v>1688</v>
      </c>
      <c r="N2" s="2">
        <v>17190</v>
      </c>
      <c r="O2" s="2" t="s">
        <v>1055</v>
      </c>
      <c r="P2" s="2" t="s">
        <v>1314</v>
      </c>
      <c r="Q2" s="2" t="s">
        <v>1054</v>
      </c>
      <c r="R2" s="2">
        <v>1510</v>
      </c>
      <c r="S2" s="2"/>
      <c r="T2" s="2">
        <v>141</v>
      </c>
      <c r="U2" s="39">
        <f>IF(I2="N",T2*Supuestos!$B$4,T2*Supuestos!$C$4)*100</f>
        <v>6.0337179564644572</v>
      </c>
      <c r="V2" s="20">
        <f>IF(U2&gt;0,100/U2,0)</f>
        <v>16.573529078014182</v>
      </c>
      <c r="W2" s="2">
        <f t="shared" ref="W2:W65" si="1">T2*M2</f>
        <v>238008</v>
      </c>
      <c r="X2" s="2">
        <f t="shared" ref="X2:X65" si="2">+U2*M2</f>
        <v>10184.915910512003</v>
      </c>
    </row>
    <row r="3" spans="1:24" x14ac:dyDescent="0.25">
      <c r="A3" s="6" t="s">
        <v>50</v>
      </c>
      <c r="B3" s="6" t="s">
        <v>967</v>
      </c>
      <c r="C3" s="6" t="s">
        <v>411</v>
      </c>
      <c r="D3" s="6" t="s">
        <v>72</v>
      </c>
      <c r="E3" s="11" t="str">
        <f t="shared" si="0"/>
        <v>AUTOMOVIL</v>
      </c>
      <c r="F3" s="6" t="s">
        <v>35</v>
      </c>
      <c r="G3" s="11">
        <v>1000</v>
      </c>
      <c r="H3" s="6" t="s">
        <v>1050</v>
      </c>
      <c r="I3" s="6" t="str">
        <f t="shared" ref="I3:I65" si="3">IF(H3="NAFTA","N",IF(H3="DIESEL","D",IF(H3="ELÉCTRICO","E","")))</f>
        <v>N</v>
      </c>
      <c r="J3" s="17" t="s">
        <v>9</v>
      </c>
      <c r="K3" s="6">
        <v>67</v>
      </c>
      <c r="L3" s="9">
        <v>1097</v>
      </c>
      <c r="M3" s="9">
        <v>1097</v>
      </c>
      <c r="N3" s="2">
        <v>15990</v>
      </c>
      <c r="O3" s="2" t="s">
        <v>1053</v>
      </c>
      <c r="P3" s="2" t="s">
        <v>1057</v>
      </c>
      <c r="Q3" s="2" t="s">
        <v>422</v>
      </c>
      <c r="R3" s="2">
        <v>1260</v>
      </c>
      <c r="S3" s="2"/>
      <c r="T3" s="2">
        <v>107</v>
      </c>
      <c r="U3" s="39">
        <f>IF(I3="N",T3*Supuestos!$B$4,T3*Supuestos!$C$4)*100</f>
        <v>4.5787788747638078</v>
      </c>
      <c r="V3" s="20">
        <f t="shared" ref="V3:V66" si="4">IF(U3&gt;0,100/U3,0)</f>
        <v>21.839884112149534</v>
      </c>
      <c r="W3" s="2">
        <f t="shared" si="1"/>
        <v>117379</v>
      </c>
      <c r="X3" s="2">
        <f t="shared" si="2"/>
        <v>5022.9204256158973</v>
      </c>
    </row>
    <row r="4" spans="1:24" x14ac:dyDescent="0.25">
      <c r="A4" s="6" t="s">
        <v>50</v>
      </c>
      <c r="B4" s="6" t="s">
        <v>327</v>
      </c>
      <c r="C4" s="6" t="s">
        <v>411</v>
      </c>
      <c r="D4" s="6" t="s">
        <v>72</v>
      </c>
      <c r="E4" s="11" t="str">
        <f t="shared" si="0"/>
        <v>AUTOMOVIL</v>
      </c>
      <c r="F4" s="6" t="s">
        <v>35</v>
      </c>
      <c r="G4" s="11">
        <v>800</v>
      </c>
      <c r="H4" s="6" t="s">
        <v>1050</v>
      </c>
      <c r="I4" s="6" t="str">
        <f t="shared" si="3"/>
        <v>N</v>
      </c>
      <c r="J4" s="17" t="s">
        <v>9</v>
      </c>
      <c r="K4" s="6">
        <v>47</v>
      </c>
      <c r="L4" s="9">
        <v>1040</v>
      </c>
      <c r="M4" s="21">
        <v>1040</v>
      </c>
      <c r="N4" s="2">
        <v>12490</v>
      </c>
      <c r="O4" s="2" t="s">
        <v>1060</v>
      </c>
      <c r="P4" s="2" t="s">
        <v>74</v>
      </c>
      <c r="Q4" s="2" t="s">
        <v>1064</v>
      </c>
      <c r="R4" s="2">
        <v>1185</v>
      </c>
      <c r="S4" s="2"/>
      <c r="T4" s="2">
        <v>116</v>
      </c>
      <c r="U4" s="39">
        <f>IF(I4="N",T4*Supuestos!$B$4,T4*Supuestos!$C$4)*100</f>
        <v>4.9639098081551563</v>
      </c>
      <c r="V4" s="20">
        <f t="shared" si="4"/>
        <v>20.145410344827585</v>
      </c>
      <c r="W4" s="2">
        <f t="shared" si="1"/>
        <v>120640</v>
      </c>
      <c r="X4" s="2">
        <f t="shared" si="2"/>
        <v>5162.4662004813626</v>
      </c>
    </row>
    <row r="5" spans="1:24" x14ac:dyDescent="0.25">
      <c r="A5" s="6" t="s">
        <v>19</v>
      </c>
      <c r="B5" s="6" t="s">
        <v>613</v>
      </c>
      <c r="C5" s="6" t="s">
        <v>403</v>
      </c>
      <c r="D5" s="6" t="s">
        <v>72</v>
      </c>
      <c r="E5" s="11" t="str">
        <f t="shared" si="0"/>
        <v>AUTOMOVIL</v>
      </c>
      <c r="F5" s="6" t="s">
        <v>21</v>
      </c>
      <c r="G5" s="11">
        <v>1000</v>
      </c>
      <c r="H5" s="6" t="s">
        <v>1050</v>
      </c>
      <c r="I5" s="6" t="str">
        <f t="shared" si="3"/>
        <v>N</v>
      </c>
      <c r="J5" s="17" t="s">
        <v>9</v>
      </c>
      <c r="K5" s="6">
        <v>78</v>
      </c>
      <c r="L5" s="9">
        <v>1029</v>
      </c>
      <c r="M5" s="21">
        <v>1029</v>
      </c>
      <c r="N5" s="2">
        <v>18690</v>
      </c>
      <c r="O5" s="2" t="s">
        <v>1055</v>
      </c>
      <c r="P5" s="2" t="s">
        <v>1314</v>
      </c>
      <c r="Q5" s="2" t="s">
        <v>1054</v>
      </c>
      <c r="R5" s="2">
        <v>1510</v>
      </c>
      <c r="S5" s="2"/>
      <c r="T5" s="2">
        <v>141</v>
      </c>
      <c r="U5" s="39">
        <f>IF(I5="N",T5*Supuestos!$B$4,T5*Supuestos!$C$4)*100</f>
        <v>6.0337179564644572</v>
      </c>
      <c r="V5" s="20">
        <f t="shared" si="4"/>
        <v>16.573529078014182</v>
      </c>
      <c r="W5" s="2">
        <f t="shared" si="1"/>
        <v>145089</v>
      </c>
      <c r="X5" s="2">
        <f t="shared" si="2"/>
        <v>6208.6957772019268</v>
      </c>
    </row>
    <row r="6" spans="1:24" x14ac:dyDescent="0.25">
      <c r="A6" s="6" t="s">
        <v>62</v>
      </c>
      <c r="B6" s="6" t="s">
        <v>305</v>
      </c>
      <c r="C6" s="6" t="s">
        <v>407</v>
      </c>
      <c r="D6" s="6" t="s">
        <v>72</v>
      </c>
      <c r="E6" s="11" t="str">
        <f t="shared" si="0"/>
        <v>AUTOMOVIL</v>
      </c>
      <c r="F6" s="6" t="s">
        <v>23</v>
      </c>
      <c r="G6" s="11">
        <v>1200</v>
      </c>
      <c r="H6" s="6" t="s">
        <v>1050</v>
      </c>
      <c r="I6" s="6" t="str">
        <f t="shared" si="3"/>
        <v>N</v>
      </c>
      <c r="J6" s="17" t="s">
        <v>9</v>
      </c>
      <c r="K6" s="6">
        <v>82</v>
      </c>
      <c r="L6" s="9">
        <v>981</v>
      </c>
      <c r="M6" s="21">
        <v>981</v>
      </c>
      <c r="N6" s="2">
        <v>19990</v>
      </c>
      <c r="O6" s="2" t="s">
        <v>1060</v>
      </c>
      <c r="P6" s="2" t="s">
        <v>73</v>
      </c>
      <c r="Q6" s="2" t="s">
        <v>422</v>
      </c>
      <c r="R6" s="2">
        <v>1565</v>
      </c>
      <c r="S6" s="2"/>
      <c r="T6" s="2">
        <v>135</v>
      </c>
      <c r="U6" s="39">
        <f>IF(I6="N",T6*Supuestos!$B$4,T6*Supuestos!$C$4)*100</f>
        <v>5.7769640008702243</v>
      </c>
      <c r="V6" s="20">
        <f t="shared" si="4"/>
        <v>17.31013037037037</v>
      </c>
      <c r="W6" s="2">
        <f t="shared" si="1"/>
        <v>132435</v>
      </c>
      <c r="X6" s="2">
        <f t="shared" si="2"/>
        <v>5667.2016848536905</v>
      </c>
    </row>
    <row r="7" spans="1:24" x14ac:dyDescent="0.25">
      <c r="A7" s="6" t="s">
        <v>50</v>
      </c>
      <c r="B7" s="6" t="s">
        <v>334</v>
      </c>
      <c r="C7" s="6" t="s">
        <v>407</v>
      </c>
      <c r="D7" s="6" t="s">
        <v>72</v>
      </c>
      <c r="E7" s="11" t="str">
        <f t="shared" si="0"/>
        <v>AUTOMOVIL</v>
      </c>
      <c r="F7" s="6" t="s">
        <v>35</v>
      </c>
      <c r="G7" s="11">
        <v>1200</v>
      </c>
      <c r="H7" s="6" t="s">
        <v>1050</v>
      </c>
      <c r="I7" s="6" t="str">
        <f t="shared" si="3"/>
        <v>N</v>
      </c>
      <c r="J7" s="17" t="s">
        <v>9</v>
      </c>
      <c r="K7" s="6">
        <v>83</v>
      </c>
      <c r="L7" s="9">
        <v>926</v>
      </c>
      <c r="M7" s="21">
        <v>926</v>
      </c>
      <c r="N7" s="2">
        <v>17990</v>
      </c>
      <c r="O7" s="2" t="s">
        <v>1053</v>
      </c>
      <c r="P7" s="2" t="s">
        <v>1059</v>
      </c>
      <c r="Q7" s="2" t="s">
        <v>428</v>
      </c>
      <c r="R7" s="2">
        <v>1315</v>
      </c>
      <c r="S7" s="2"/>
      <c r="T7" s="2">
        <v>117</v>
      </c>
      <c r="U7" s="39">
        <f>IF(I7="N",T7*Supuestos!$B$4,T7*Supuestos!$C$4)*100</f>
        <v>5.0067021340875284</v>
      </c>
      <c r="V7" s="20">
        <f t="shared" si="4"/>
        <v>19.973227350427351</v>
      </c>
      <c r="W7" s="2">
        <f t="shared" si="1"/>
        <v>108342</v>
      </c>
      <c r="X7" s="2">
        <f t="shared" si="2"/>
        <v>4636.2061761650511</v>
      </c>
    </row>
    <row r="8" spans="1:24" x14ac:dyDescent="0.25">
      <c r="A8" s="6" t="s">
        <v>48</v>
      </c>
      <c r="B8" s="6" t="s">
        <v>927</v>
      </c>
      <c r="C8" s="6" t="s">
        <v>411</v>
      </c>
      <c r="D8" s="6" t="s">
        <v>72</v>
      </c>
      <c r="E8" s="11" t="str">
        <f t="shared" si="0"/>
        <v>AUTOMOVIL</v>
      </c>
      <c r="F8" s="6" t="s">
        <v>21</v>
      </c>
      <c r="G8" s="11">
        <v>1000</v>
      </c>
      <c r="H8" s="6" t="s">
        <v>1050</v>
      </c>
      <c r="I8" s="6" t="str">
        <f t="shared" si="3"/>
        <v>N</v>
      </c>
      <c r="J8" s="17" t="s">
        <v>9</v>
      </c>
      <c r="K8" s="6">
        <v>68</v>
      </c>
      <c r="L8" s="9">
        <v>877</v>
      </c>
      <c r="M8" s="21">
        <v>877</v>
      </c>
      <c r="N8" s="2">
        <v>14490</v>
      </c>
      <c r="O8" s="2" t="s">
        <v>1053</v>
      </c>
      <c r="P8" s="2" t="s">
        <v>1071</v>
      </c>
      <c r="Q8" s="2" t="s">
        <v>429</v>
      </c>
      <c r="R8" s="2">
        <v>1735</v>
      </c>
      <c r="S8" s="2"/>
      <c r="T8" s="2">
        <v>126</v>
      </c>
      <c r="U8" s="39">
        <f>IF(I8="N",T8*Supuestos!$B$4,T8*Supuestos!$C$4)*100</f>
        <v>5.3918330674788768</v>
      </c>
      <c r="V8" s="20">
        <f t="shared" si="4"/>
        <v>18.546568253968253</v>
      </c>
      <c r="W8" s="2">
        <f t="shared" si="1"/>
        <v>110502</v>
      </c>
      <c r="X8" s="2">
        <f t="shared" si="2"/>
        <v>4728.6376001789749</v>
      </c>
    </row>
    <row r="9" spans="1:24" x14ac:dyDescent="0.25">
      <c r="A9" s="6" t="s">
        <v>34</v>
      </c>
      <c r="B9" s="6" t="s">
        <v>722</v>
      </c>
      <c r="C9" s="6" t="s">
        <v>407</v>
      </c>
      <c r="D9" s="6" t="s">
        <v>72</v>
      </c>
      <c r="E9" s="11" t="str">
        <f t="shared" si="0"/>
        <v>AUTOMOVIL</v>
      </c>
      <c r="F9" s="6" t="s">
        <v>21</v>
      </c>
      <c r="G9" s="11">
        <v>1000</v>
      </c>
      <c r="H9" s="6" t="s">
        <v>1050</v>
      </c>
      <c r="I9" s="6" t="str">
        <f t="shared" si="3"/>
        <v>N</v>
      </c>
      <c r="J9" s="17" t="s">
        <v>9</v>
      </c>
      <c r="K9" s="6">
        <v>75</v>
      </c>
      <c r="L9" s="9">
        <v>736</v>
      </c>
      <c r="M9" s="9">
        <v>736</v>
      </c>
      <c r="N9" s="2">
        <v>18290</v>
      </c>
      <c r="O9" s="2" t="s">
        <v>1053</v>
      </c>
      <c r="P9" s="2" t="s">
        <v>1072</v>
      </c>
      <c r="Q9" s="2" t="s">
        <v>429</v>
      </c>
      <c r="R9" s="2">
        <v>1420</v>
      </c>
      <c r="S9" s="2"/>
      <c r="T9" s="2">
        <v>132</v>
      </c>
      <c r="U9" s="39">
        <f>IF(I9="N",T9*Supuestos!$B$4,T9*Supuestos!$C$4)*100</f>
        <v>5.6485870230731088</v>
      </c>
      <c r="V9" s="20">
        <f t="shared" si="4"/>
        <v>17.703542424242425</v>
      </c>
      <c r="W9" s="2">
        <f t="shared" si="1"/>
        <v>97152</v>
      </c>
      <c r="X9" s="2">
        <f t="shared" si="2"/>
        <v>4157.3600489818082</v>
      </c>
    </row>
    <row r="10" spans="1:24" x14ac:dyDescent="0.25">
      <c r="A10" s="6" t="s">
        <v>81</v>
      </c>
      <c r="B10" s="6" t="s">
        <v>627</v>
      </c>
      <c r="C10" s="6" t="s">
        <v>407</v>
      </c>
      <c r="D10" s="6" t="s">
        <v>72</v>
      </c>
      <c r="E10" s="11" t="str">
        <f t="shared" si="0"/>
        <v>AUTOMOVIL</v>
      </c>
      <c r="F10" s="6" t="s">
        <v>21</v>
      </c>
      <c r="G10" s="11">
        <v>1200</v>
      </c>
      <c r="H10" s="6" t="s">
        <v>1050</v>
      </c>
      <c r="I10" s="6" t="str">
        <f t="shared" si="3"/>
        <v>N</v>
      </c>
      <c r="J10" s="17" t="s">
        <v>9</v>
      </c>
      <c r="K10" s="6">
        <v>82</v>
      </c>
      <c r="L10" s="9">
        <v>713</v>
      </c>
      <c r="M10" s="21">
        <v>713</v>
      </c>
      <c r="N10" s="2">
        <v>18340</v>
      </c>
      <c r="O10" s="2" t="s">
        <v>1060</v>
      </c>
      <c r="P10" s="2" t="s">
        <v>1073</v>
      </c>
      <c r="Q10" s="2" t="s">
        <v>424</v>
      </c>
      <c r="R10" s="2">
        <v>1448</v>
      </c>
      <c r="S10" s="2"/>
      <c r="T10" s="2">
        <v>137</v>
      </c>
      <c r="U10" s="39">
        <f>IF(I10="N",T10*Supuestos!$B$4,T10*Supuestos!$C$4)*100</f>
        <v>5.8625486527349686</v>
      </c>
      <c r="V10" s="20">
        <f t="shared" si="4"/>
        <v>17.057427737226277</v>
      </c>
      <c r="W10" s="2">
        <f t="shared" si="1"/>
        <v>97681</v>
      </c>
      <c r="X10" s="2">
        <f t="shared" si="2"/>
        <v>4179.9971894000328</v>
      </c>
    </row>
    <row r="11" spans="1:24" x14ac:dyDescent="0.25">
      <c r="A11" s="6" t="s">
        <v>34</v>
      </c>
      <c r="B11" s="6" t="s">
        <v>721</v>
      </c>
      <c r="C11" s="6" t="s">
        <v>407</v>
      </c>
      <c r="D11" s="6" t="s">
        <v>72</v>
      </c>
      <c r="E11" s="11" t="str">
        <f t="shared" si="0"/>
        <v>AUTOMOVIL</v>
      </c>
      <c r="F11" s="6" t="s">
        <v>21</v>
      </c>
      <c r="G11" s="11">
        <v>1000</v>
      </c>
      <c r="H11" s="6" t="s">
        <v>1050</v>
      </c>
      <c r="I11" s="6" t="str">
        <f t="shared" si="3"/>
        <v>N</v>
      </c>
      <c r="J11" s="17" t="s">
        <v>9</v>
      </c>
      <c r="K11" s="6">
        <v>80</v>
      </c>
      <c r="L11" s="9">
        <v>668</v>
      </c>
      <c r="M11" s="9">
        <v>668</v>
      </c>
      <c r="N11" s="2">
        <v>16990</v>
      </c>
      <c r="O11" s="2" t="s">
        <v>1053</v>
      </c>
      <c r="P11" s="2" t="s">
        <v>1072</v>
      </c>
      <c r="Q11" s="2" t="s">
        <v>429</v>
      </c>
      <c r="R11" s="2">
        <v>1420</v>
      </c>
      <c r="S11" s="2"/>
      <c r="T11" s="2">
        <v>132</v>
      </c>
      <c r="U11" s="39">
        <f>IF(I11="N",T11*Supuestos!$B$4,T11*Supuestos!$C$4)*100</f>
        <v>5.6485870230731088</v>
      </c>
      <c r="V11" s="20">
        <f t="shared" si="4"/>
        <v>17.703542424242425</v>
      </c>
      <c r="W11" s="2">
        <f t="shared" si="1"/>
        <v>88176</v>
      </c>
      <c r="X11" s="2">
        <f t="shared" si="2"/>
        <v>3773.2561314128366</v>
      </c>
    </row>
    <row r="12" spans="1:24" x14ac:dyDescent="0.25">
      <c r="A12" s="6" t="s">
        <v>50</v>
      </c>
      <c r="B12" s="6" t="s">
        <v>977</v>
      </c>
      <c r="C12" s="6" t="s">
        <v>407</v>
      </c>
      <c r="D12" s="6" t="s">
        <v>72</v>
      </c>
      <c r="E12" s="11" t="str">
        <f t="shared" si="0"/>
        <v>AUTOMOVIL</v>
      </c>
      <c r="F12" s="6" t="s">
        <v>45</v>
      </c>
      <c r="G12" s="11">
        <v>1200</v>
      </c>
      <c r="H12" s="6" t="s">
        <v>1050</v>
      </c>
      <c r="I12" s="6" t="str">
        <f t="shared" si="3"/>
        <v>N</v>
      </c>
      <c r="J12" s="17" t="s">
        <v>419</v>
      </c>
      <c r="K12" s="6">
        <v>90</v>
      </c>
      <c r="L12" s="9">
        <v>642</v>
      </c>
      <c r="M12" s="21">
        <v>642</v>
      </c>
      <c r="N12" s="2">
        <v>22990</v>
      </c>
      <c r="O12" s="2" t="s">
        <v>1060</v>
      </c>
      <c r="P12" s="2" t="s">
        <v>1061</v>
      </c>
      <c r="Q12" s="2" t="s">
        <v>424</v>
      </c>
      <c r="R12" s="2">
        <v>1365</v>
      </c>
      <c r="S12" s="2"/>
      <c r="T12" s="2">
        <v>97</v>
      </c>
      <c r="U12" s="39">
        <f>IF(I12="N",T12*Supuestos!$B$4,T12*Supuestos!$C$4)*100</f>
        <v>4.1508556154400873</v>
      </c>
      <c r="V12" s="20">
        <f t="shared" si="4"/>
        <v>24.091418556701033</v>
      </c>
      <c r="W12" s="2">
        <f t="shared" si="1"/>
        <v>62274</v>
      </c>
      <c r="X12" s="2">
        <f t="shared" si="2"/>
        <v>2664.8493051125361</v>
      </c>
    </row>
    <row r="13" spans="1:24" x14ac:dyDescent="0.25">
      <c r="A13" s="6" t="s">
        <v>48</v>
      </c>
      <c r="B13" s="6" t="s">
        <v>925</v>
      </c>
      <c r="C13" s="6" t="s">
        <v>411</v>
      </c>
      <c r="D13" s="6" t="s">
        <v>72</v>
      </c>
      <c r="E13" s="11" t="str">
        <f t="shared" si="0"/>
        <v>AUTOMOVIL</v>
      </c>
      <c r="F13" s="6" t="s">
        <v>21</v>
      </c>
      <c r="G13" s="11">
        <v>1000</v>
      </c>
      <c r="H13" s="6" t="s">
        <v>1050</v>
      </c>
      <c r="I13" s="6" t="str">
        <f t="shared" si="3"/>
        <v>N</v>
      </c>
      <c r="J13" s="17" t="s">
        <v>9</v>
      </c>
      <c r="K13" s="6">
        <v>68</v>
      </c>
      <c r="L13" s="9">
        <v>549</v>
      </c>
      <c r="M13" s="21">
        <v>549</v>
      </c>
      <c r="N13" s="2">
        <v>15490</v>
      </c>
      <c r="O13" s="2" t="s">
        <v>1053</v>
      </c>
      <c r="P13" s="2" t="s">
        <v>1071</v>
      </c>
      <c r="Q13" s="2" t="s">
        <v>429</v>
      </c>
      <c r="R13" s="2">
        <v>1735</v>
      </c>
      <c r="S13" s="2"/>
      <c r="T13" s="2">
        <v>126</v>
      </c>
      <c r="U13" s="39">
        <f>IF(I13="N",T13*Supuestos!$B$4,T13*Supuestos!$C$4)*100</f>
        <v>5.3918330674788768</v>
      </c>
      <c r="V13" s="20">
        <f t="shared" si="4"/>
        <v>18.546568253968253</v>
      </c>
      <c r="W13" s="2">
        <f t="shared" si="1"/>
        <v>69174</v>
      </c>
      <c r="X13" s="2">
        <f t="shared" si="2"/>
        <v>2960.1163540459033</v>
      </c>
    </row>
    <row r="14" spans="1:24" x14ac:dyDescent="0.25">
      <c r="A14" s="6" t="s">
        <v>29</v>
      </c>
      <c r="B14" s="6" t="s">
        <v>655</v>
      </c>
      <c r="C14" s="6" t="s">
        <v>411</v>
      </c>
      <c r="D14" s="6" t="s">
        <v>72</v>
      </c>
      <c r="E14" s="11" t="str">
        <f t="shared" si="0"/>
        <v>AUTOMOVIL</v>
      </c>
      <c r="F14" s="6" t="s">
        <v>21</v>
      </c>
      <c r="G14" s="11">
        <v>1000</v>
      </c>
      <c r="H14" s="6" t="s">
        <v>1050</v>
      </c>
      <c r="I14" s="6" t="str">
        <f t="shared" si="3"/>
        <v>N</v>
      </c>
      <c r="J14" s="17" t="s">
        <v>9</v>
      </c>
      <c r="K14" s="6">
        <v>70</v>
      </c>
      <c r="L14" s="9">
        <v>529</v>
      </c>
      <c r="M14" s="21">
        <v>529</v>
      </c>
      <c r="N14" s="2">
        <v>16390</v>
      </c>
      <c r="O14" s="2" t="s">
        <v>1060</v>
      </c>
      <c r="P14" s="2" t="s">
        <v>1075</v>
      </c>
      <c r="Q14" s="2" t="s">
        <v>424</v>
      </c>
      <c r="R14" s="2">
        <v>1363</v>
      </c>
      <c r="S14" s="2"/>
      <c r="T14" s="2">
        <v>154</v>
      </c>
      <c r="U14" s="39">
        <f>IF(I14="N",T14*Supuestos!$B$4,T14*Supuestos!$C$4)*100</f>
        <v>6.5900181935852942</v>
      </c>
      <c r="V14" s="20">
        <f t="shared" si="4"/>
        <v>15.174464935064933</v>
      </c>
      <c r="W14" s="2">
        <f t="shared" si="1"/>
        <v>81466</v>
      </c>
      <c r="X14" s="2">
        <f t="shared" si="2"/>
        <v>3486.1196244066205</v>
      </c>
    </row>
    <row r="15" spans="1:24" x14ac:dyDescent="0.25">
      <c r="A15" s="6" t="s">
        <v>34</v>
      </c>
      <c r="B15" s="6" t="s">
        <v>724</v>
      </c>
      <c r="C15" s="6" t="s">
        <v>407</v>
      </c>
      <c r="D15" s="6" t="s">
        <v>72</v>
      </c>
      <c r="E15" s="11" t="str">
        <f t="shared" si="0"/>
        <v>AUTOMOVIL</v>
      </c>
      <c r="F15" s="6" t="s">
        <v>21</v>
      </c>
      <c r="G15" s="11">
        <v>1000</v>
      </c>
      <c r="H15" s="6" t="s">
        <v>1050</v>
      </c>
      <c r="I15" s="6" t="str">
        <f t="shared" si="3"/>
        <v>N</v>
      </c>
      <c r="J15" s="17" t="s">
        <v>9</v>
      </c>
      <c r="K15" s="6">
        <v>80</v>
      </c>
      <c r="L15" s="9">
        <v>497</v>
      </c>
      <c r="M15" s="9">
        <v>497</v>
      </c>
      <c r="N15" s="2">
        <v>19990</v>
      </c>
      <c r="O15" s="2" t="s">
        <v>1053</v>
      </c>
      <c r="P15" s="2" t="s">
        <v>1072</v>
      </c>
      <c r="Q15" s="2" t="s">
        <v>429</v>
      </c>
      <c r="R15" s="2">
        <v>1420</v>
      </c>
      <c r="S15" s="2"/>
      <c r="T15" s="2">
        <v>132</v>
      </c>
      <c r="U15" s="39">
        <f>IF(I15="N",T15*Supuestos!$B$4,T15*Supuestos!$C$4)*100</f>
        <v>5.6485870230731088</v>
      </c>
      <c r="V15" s="20">
        <f t="shared" si="4"/>
        <v>17.703542424242425</v>
      </c>
      <c r="W15" s="2">
        <f t="shared" si="1"/>
        <v>65604</v>
      </c>
      <c r="X15" s="2">
        <f t="shared" si="2"/>
        <v>2807.3477504673351</v>
      </c>
    </row>
    <row r="16" spans="1:24" x14ac:dyDescent="0.25">
      <c r="A16" s="6" t="s">
        <v>81</v>
      </c>
      <c r="B16" s="6" t="s">
        <v>633</v>
      </c>
      <c r="C16" s="6" t="s">
        <v>404</v>
      </c>
      <c r="D16" s="6" t="s">
        <v>72</v>
      </c>
      <c r="E16" s="11" t="str">
        <f t="shared" si="0"/>
        <v>AUTOMOVIL</v>
      </c>
      <c r="F16" s="6" t="s">
        <v>26</v>
      </c>
      <c r="G16" s="11">
        <v>1600</v>
      </c>
      <c r="H16" s="6" t="s">
        <v>1052</v>
      </c>
      <c r="I16" s="6" t="str">
        <f t="shared" si="3"/>
        <v>D</v>
      </c>
      <c r="J16" s="17" t="s">
        <v>22</v>
      </c>
      <c r="K16" s="6">
        <v>90</v>
      </c>
      <c r="L16" s="9">
        <v>488</v>
      </c>
      <c r="M16" s="21">
        <v>488</v>
      </c>
      <c r="N16" s="2">
        <v>24388</v>
      </c>
      <c r="O16" s="2" t="s">
        <v>1055</v>
      </c>
      <c r="P16" s="2" t="s">
        <v>1076</v>
      </c>
      <c r="Q16" s="2" t="s">
        <v>429</v>
      </c>
      <c r="R16" s="2">
        <v>1548</v>
      </c>
      <c r="S16" s="2"/>
      <c r="T16" s="2">
        <v>109.3</v>
      </c>
      <c r="U16" s="39">
        <f>IF(I16="N",T16*Supuestos!$B$4,T16*Supuestos!$C$4)*100</f>
        <v>4.0716706418539879</v>
      </c>
      <c r="V16" s="20">
        <f t="shared" si="4"/>
        <v>24.559943275388836</v>
      </c>
      <c r="W16" s="2">
        <f t="shared" si="1"/>
        <v>53338.400000000001</v>
      </c>
      <c r="X16" s="2">
        <f t="shared" si="2"/>
        <v>1986.9752732247462</v>
      </c>
    </row>
    <row r="17" spans="1:24" x14ac:dyDescent="0.25">
      <c r="A17" s="6" t="s">
        <v>81</v>
      </c>
      <c r="B17" s="6" t="s">
        <v>626</v>
      </c>
      <c r="C17" s="6" t="s">
        <v>407</v>
      </c>
      <c r="D17" s="6" t="s">
        <v>72</v>
      </c>
      <c r="E17" s="11" t="str">
        <f t="shared" si="0"/>
        <v>AUTOMOVIL</v>
      </c>
      <c r="F17" s="6" t="s">
        <v>21</v>
      </c>
      <c r="G17" s="11">
        <v>1200</v>
      </c>
      <c r="H17" s="6" t="s">
        <v>1050</v>
      </c>
      <c r="I17" s="6" t="str">
        <f t="shared" si="3"/>
        <v>N</v>
      </c>
      <c r="J17" s="17" t="s">
        <v>9</v>
      </c>
      <c r="K17" s="6">
        <v>82</v>
      </c>
      <c r="L17" s="9">
        <v>458</v>
      </c>
      <c r="M17" s="21">
        <v>458</v>
      </c>
      <c r="N17" s="2">
        <v>16990</v>
      </c>
      <c r="O17" s="2" t="s">
        <v>1060</v>
      </c>
      <c r="P17" s="2" t="s">
        <v>1073</v>
      </c>
      <c r="Q17" s="2" t="s">
        <v>424</v>
      </c>
      <c r="R17" s="2">
        <v>1448</v>
      </c>
      <c r="S17" s="2"/>
      <c r="T17" s="2">
        <v>137</v>
      </c>
      <c r="U17" s="39">
        <f>IF(I17="N",T17*Supuestos!$B$4,T17*Supuestos!$C$4)*100</f>
        <v>5.8625486527349686</v>
      </c>
      <c r="V17" s="20">
        <f t="shared" si="4"/>
        <v>17.057427737226277</v>
      </c>
      <c r="W17" s="2">
        <f t="shared" si="1"/>
        <v>62746</v>
      </c>
      <c r="X17" s="2">
        <f t="shared" si="2"/>
        <v>2685.0472829526157</v>
      </c>
    </row>
    <row r="18" spans="1:24" x14ac:dyDescent="0.25">
      <c r="A18" s="6" t="s">
        <v>62</v>
      </c>
      <c r="B18" s="6" t="s">
        <v>896</v>
      </c>
      <c r="C18" s="6" t="s">
        <v>404</v>
      </c>
      <c r="D18" s="6" t="s">
        <v>72</v>
      </c>
      <c r="E18" s="11" t="str">
        <f t="shared" si="0"/>
        <v>AUTOMOVIL</v>
      </c>
      <c r="F18" s="6" t="s">
        <v>57</v>
      </c>
      <c r="G18" s="11">
        <v>1600</v>
      </c>
      <c r="H18" s="6" t="s">
        <v>1052</v>
      </c>
      <c r="I18" s="6" t="str">
        <f t="shared" si="3"/>
        <v>D</v>
      </c>
      <c r="J18" s="17" t="s">
        <v>22</v>
      </c>
      <c r="K18" s="6">
        <v>92</v>
      </c>
      <c r="L18" s="9">
        <v>431</v>
      </c>
      <c r="M18" s="21">
        <v>431</v>
      </c>
      <c r="N18" s="2">
        <v>24990</v>
      </c>
      <c r="O18" s="2" t="s">
        <v>1055</v>
      </c>
      <c r="P18" s="2" t="s">
        <v>1070</v>
      </c>
      <c r="Q18" s="2" t="s">
        <v>429</v>
      </c>
      <c r="R18" s="2">
        <v>1548</v>
      </c>
      <c r="S18" s="2"/>
      <c r="T18" s="2">
        <v>109.3</v>
      </c>
      <c r="U18" s="39">
        <f>IF(I18="N",T18*Supuestos!$B$4,T18*Supuestos!$C$4)*100</f>
        <v>4.0716706418539879</v>
      </c>
      <c r="V18" s="20">
        <f t="shared" si="4"/>
        <v>24.559943275388836</v>
      </c>
      <c r="W18" s="2">
        <f t="shared" si="1"/>
        <v>47108.299999999996</v>
      </c>
      <c r="X18" s="2">
        <f t="shared" si="2"/>
        <v>1754.8900466390687</v>
      </c>
    </row>
    <row r="19" spans="1:24" x14ac:dyDescent="0.25">
      <c r="A19" s="6" t="s">
        <v>50</v>
      </c>
      <c r="B19" s="6" t="s">
        <v>335</v>
      </c>
      <c r="C19" s="6" t="s">
        <v>407</v>
      </c>
      <c r="D19" s="6" t="s">
        <v>72</v>
      </c>
      <c r="E19" s="11" t="str">
        <f t="shared" si="0"/>
        <v>AUTOMOVIL</v>
      </c>
      <c r="F19" s="6" t="s">
        <v>35</v>
      </c>
      <c r="G19" s="11">
        <v>1200</v>
      </c>
      <c r="H19" s="6" t="s">
        <v>1050</v>
      </c>
      <c r="I19" s="6" t="str">
        <f t="shared" si="3"/>
        <v>N</v>
      </c>
      <c r="J19" s="17" t="s">
        <v>9</v>
      </c>
      <c r="K19" s="6">
        <v>83</v>
      </c>
      <c r="L19" s="9">
        <v>423</v>
      </c>
      <c r="M19" s="21">
        <v>423</v>
      </c>
      <c r="N19" s="2">
        <v>19490</v>
      </c>
      <c r="O19" s="2" t="s">
        <v>1053</v>
      </c>
      <c r="P19" s="2" t="s">
        <v>1059</v>
      </c>
      <c r="Q19" s="2" t="s">
        <v>428</v>
      </c>
      <c r="R19" s="2">
        <v>1315</v>
      </c>
      <c r="S19" s="2"/>
      <c r="T19" s="2">
        <v>117</v>
      </c>
      <c r="U19" s="39">
        <f>IF(I19="N",T19*Supuestos!$B$4,T19*Supuestos!$C$4)*100</f>
        <v>5.0067021340875284</v>
      </c>
      <c r="V19" s="20">
        <f t="shared" si="4"/>
        <v>19.973227350427351</v>
      </c>
      <c r="W19" s="2">
        <f t="shared" si="1"/>
        <v>49491</v>
      </c>
      <c r="X19" s="2">
        <f t="shared" si="2"/>
        <v>2117.8350027190245</v>
      </c>
    </row>
    <row r="20" spans="1:24" x14ac:dyDescent="0.25">
      <c r="A20" s="6" t="s">
        <v>50</v>
      </c>
      <c r="B20" s="6" t="s">
        <v>329</v>
      </c>
      <c r="C20" s="6" t="s">
        <v>404</v>
      </c>
      <c r="D20" s="6" t="s">
        <v>72</v>
      </c>
      <c r="E20" s="11" t="str">
        <f t="shared" si="0"/>
        <v>AUTOMOVIL</v>
      </c>
      <c r="F20" s="6" t="s">
        <v>35</v>
      </c>
      <c r="G20" s="11">
        <v>1200</v>
      </c>
      <c r="H20" s="6" t="s">
        <v>1050</v>
      </c>
      <c r="I20" s="6" t="str">
        <f t="shared" si="3"/>
        <v>N</v>
      </c>
      <c r="J20" s="17" t="s">
        <v>9</v>
      </c>
      <c r="K20" s="6">
        <v>82</v>
      </c>
      <c r="L20" s="9">
        <v>407</v>
      </c>
      <c r="M20" s="21">
        <v>407</v>
      </c>
      <c r="N20" s="2">
        <v>18690</v>
      </c>
      <c r="O20" s="2" t="s">
        <v>1053</v>
      </c>
      <c r="P20" s="2" t="s">
        <v>1059</v>
      </c>
      <c r="Q20" s="2" t="s">
        <v>428</v>
      </c>
      <c r="R20" s="2">
        <v>1315</v>
      </c>
      <c r="S20" s="2"/>
      <c r="T20" s="2">
        <v>117</v>
      </c>
      <c r="U20" s="39">
        <f>IF(I20="N",T20*Supuestos!$B$4,T20*Supuestos!$C$4)*100</f>
        <v>5.0067021340875284</v>
      </c>
      <c r="V20" s="20">
        <f t="shared" si="4"/>
        <v>19.973227350427351</v>
      </c>
      <c r="W20" s="2">
        <f t="shared" si="1"/>
        <v>47619</v>
      </c>
      <c r="X20" s="2">
        <f t="shared" si="2"/>
        <v>2037.727768573624</v>
      </c>
    </row>
    <row r="21" spans="1:24" x14ac:dyDescent="0.25">
      <c r="A21" s="6" t="s">
        <v>62</v>
      </c>
      <c r="B21" s="6" t="s">
        <v>900</v>
      </c>
      <c r="C21" s="6" t="s">
        <v>407</v>
      </c>
      <c r="D21" s="6" t="s">
        <v>72</v>
      </c>
      <c r="E21" s="11" t="str">
        <f t="shared" si="0"/>
        <v>AUTOMOVIL</v>
      </c>
      <c r="F21" s="6" t="s">
        <v>23</v>
      </c>
      <c r="G21" s="11">
        <v>1600</v>
      </c>
      <c r="H21" s="6" t="s">
        <v>1050</v>
      </c>
      <c r="I21" s="6" t="str">
        <f t="shared" si="3"/>
        <v>N</v>
      </c>
      <c r="J21" s="17" t="s">
        <v>9</v>
      </c>
      <c r="K21" s="6">
        <v>115</v>
      </c>
      <c r="L21" s="9">
        <v>401</v>
      </c>
      <c r="M21" s="21">
        <v>401</v>
      </c>
      <c r="N21" s="2">
        <v>22490</v>
      </c>
      <c r="O21" s="2" t="s">
        <v>1053</v>
      </c>
      <c r="P21" s="2" t="s">
        <v>1069</v>
      </c>
      <c r="Q21" s="2" t="s">
        <v>422</v>
      </c>
      <c r="R21" s="22">
        <v>1550</v>
      </c>
      <c r="S21" s="22"/>
      <c r="T21" s="2">
        <v>169</v>
      </c>
      <c r="U21" s="39">
        <f>IF(I21="N",T21*Supuestos!$B$4,T21*Supuestos!$C$4)*100</f>
        <v>7.2319030825708746</v>
      </c>
      <c r="V21" s="20">
        <f t="shared" si="4"/>
        <v>13.827618934911241</v>
      </c>
      <c r="W21" s="2">
        <f t="shared" si="1"/>
        <v>67769</v>
      </c>
      <c r="X21" s="2">
        <f t="shared" si="2"/>
        <v>2899.9931361109207</v>
      </c>
    </row>
    <row r="22" spans="1:24" x14ac:dyDescent="0.25">
      <c r="A22" s="6" t="s">
        <v>17</v>
      </c>
      <c r="B22" s="6" t="s">
        <v>121</v>
      </c>
      <c r="C22" s="6" t="s">
        <v>403</v>
      </c>
      <c r="D22" s="6" t="s">
        <v>72</v>
      </c>
      <c r="E22" s="11" t="str">
        <f t="shared" si="0"/>
        <v>AUTOMOVIL</v>
      </c>
      <c r="F22" s="6" t="s">
        <v>14</v>
      </c>
      <c r="G22" s="11"/>
      <c r="H22" s="6" t="s">
        <v>1051</v>
      </c>
      <c r="I22" s="6" t="str">
        <f t="shared" si="3"/>
        <v>E</v>
      </c>
      <c r="J22" s="17" t="s">
        <v>418</v>
      </c>
      <c r="K22" s="6">
        <v>93</v>
      </c>
      <c r="L22" s="9">
        <v>368</v>
      </c>
      <c r="M22" s="21">
        <v>368</v>
      </c>
      <c r="N22" s="2">
        <v>32990</v>
      </c>
      <c r="O22" s="2" t="s">
        <v>1060</v>
      </c>
      <c r="P22" s="2" t="s">
        <v>1331</v>
      </c>
      <c r="Q22" s="2"/>
      <c r="R22" s="2">
        <v>1780</v>
      </c>
      <c r="S22" s="2">
        <v>6.7</v>
      </c>
      <c r="T22" s="2"/>
      <c r="U22" s="39">
        <f>IF(I22="N",T22*Supuestos!$B$4,T22*Supuestos!$C$4)*100</f>
        <v>0</v>
      </c>
      <c r="V22" s="20">
        <f t="shared" si="4"/>
        <v>0</v>
      </c>
      <c r="W22" s="2">
        <f t="shared" si="1"/>
        <v>0</v>
      </c>
      <c r="X22" s="2">
        <f t="shared" si="2"/>
        <v>0</v>
      </c>
    </row>
    <row r="23" spans="1:24" x14ac:dyDescent="0.25">
      <c r="A23" s="6" t="s">
        <v>50</v>
      </c>
      <c r="B23" s="6" t="s">
        <v>968</v>
      </c>
      <c r="C23" s="6" t="s">
        <v>411</v>
      </c>
      <c r="D23" s="6" t="s">
        <v>72</v>
      </c>
      <c r="E23" s="11" t="str">
        <f t="shared" si="0"/>
        <v>AUTOMOVIL</v>
      </c>
      <c r="F23" s="6" t="s">
        <v>35</v>
      </c>
      <c r="G23" s="11">
        <v>1000</v>
      </c>
      <c r="H23" s="6" t="s">
        <v>1050</v>
      </c>
      <c r="I23" s="6" t="str">
        <f t="shared" si="3"/>
        <v>N</v>
      </c>
      <c r="J23" s="17" t="s">
        <v>9</v>
      </c>
      <c r="K23" s="6">
        <v>67</v>
      </c>
      <c r="L23" s="9">
        <v>368</v>
      </c>
      <c r="M23" s="9">
        <v>368</v>
      </c>
      <c r="N23" s="2">
        <v>17290</v>
      </c>
      <c r="O23" s="2" t="s">
        <v>1053</v>
      </c>
      <c r="P23" s="2" t="s">
        <v>1058</v>
      </c>
      <c r="Q23" s="2" t="s">
        <v>422</v>
      </c>
      <c r="R23" s="2">
        <v>1260</v>
      </c>
      <c r="S23" s="2"/>
      <c r="T23" s="2">
        <v>97</v>
      </c>
      <c r="U23" s="39">
        <f>IF(I23="N",T23*Supuestos!$B$4,T23*Supuestos!$C$4)*100</f>
        <v>4.1508556154400873</v>
      </c>
      <c r="V23" s="20">
        <f t="shared" si="4"/>
        <v>24.091418556701033</v>
      </c>
      <c r="W23" s="2">
        <f t="shared" si="1"/>
        <v>35696</v>
      </c>
      <c r="X23" s="2">
        <f t="shared" si="2"/>
        <v>1527.5148664819521</v>
      </c>
    </row>
    <row r="24" spans="1:24" x14ac:dyDescent="0.25">
      <c r="A24" s="6" t="s">
        <v>19</v>
      </c>
      <c r="B24" s="6" t="s">
        <v>157</v>
      </c>
      <c r="C24" s="6" t="s">
        <v>407</v>
      </c>
      <c r="D24" s="6" t="s">
        <v>72</v>
      </c>
      <c r="E24" s="11" t="str">
        <f t="shared" si="0"/>
        <v>AUTOMOVIL</v>
      </c>
      <c r="F24" s="6" t="s">
        <v>21</v>
      </c>
      <c r="G24" s="11">
        <v>1000</v>
      </c>
      <c r="H24" s="6" t="s">
        <v>1050</v>
      </c>
      <c r="I24" s="6" t="str">
        <f t="shared" si="3"/>
        <v>N</v>
      </c>
      <c r="J24" s="17" t="s">
        <v>9</v>
      </c>
      <c r="K24" s="6">
        <v>77</v>
      </c>
      <c r="L24" s="9">
        <v>341</v>
      </c>
      <c r="M24" s="21">
        <v>341</v>
      </c>
      <c r="N24" s="2">
        <v>14790</v>
      </c>
      <c r="O24" s="2" t="s">
        <v>1060</v>
      </c>
      <c r="P24" s="2" t="s">
        <v>425</v>
      </c>
      <c r="Q24" s="2" t="s">
        <v>424</v>
      </c>
      <c r="R24" s="2">
        <v>1514</v>
      </c>
      <c r="S24" s="2"/>
      <c r="T24" s="2">
        <v>131</v>
      </c>
      <c r="U24" s="39">
        <f>IF(I24="N",T24*Supuestos!$B$4,T24*Supuestos!$C$4)*100</f>
        <v>5.6057946971407366</v>
      </c>
      <c r="V24" s="20">
        <f t="shared" si="4"/>
        <v>17.838683969465649</v>
      </c>
      <c r="W24" s="2">
        <f t="shared" si="1"/>
        <v>44671</v>
      </c>
      <c r="X24" s="2">
        <f t="shared" si="2"/>
        <v>1911.5759917249911</v>
      </c>
    </row>
    <row r="25" spans="1:24" x14ac:dyDescent="0.25">
      <c r="A25" s="6" t="s">
        <v>19</v>
      </c>
      <c r="B25" s="6" t="s">
        <v>143</v>
      </c>
      <c r="C25" s="6" t="s">
        <v>407</v>
      </c>
      <c r="D25" s="6" t="s">
        <v>72</v>
      </c>
      <c r="E25" s="11" t="str">
        <f t="shared" si="0"/>
        <v>AUTOMOVIL</v>
      </c>
      <c r="F25" s="6" t="s">
        <v>21</v>
      </c>
      <c r="G25" s="11">
        <v>1000</v>
      </c>
      <c r="H25" s="6" t="s">
        <v>1050</v>
      </c>
      <c r="I25" s="6" t="str">
        <f t="shared" si="3"/>
        <v>N</v>
      </c>
      <c r="J25" s="17" t="s">
        <v>9</v>
      </c>
      <c r="K25" s="6">
        <v>116</v>
      </c>
      <c r="L25" s="9">
        <v>312</v>
      </c>
      <c r="M25" s="21">
        <v>312</v>
      </c>
      <c r="N25" s="2">
        <v>22390</v>
      </c>
      <c r="O25" s="2" t="s">
        <v>1055</v>
      </c>
      <c r="P25" s="2" t="s">
        <v>1314</v>
      </c>
      <c r="Q25" s="2" t="s">
        <v>1054</v>
      </c>
      <c r="R25" s="2">
        <v>1510</v>
      </c>
      <c r="S25" s="2"/>
      <c r="T25" s="2">
        <v>141</v>
      </c>
      <c r="U25" s="39">
        <f>IF(I25="N",T25*Supuestos!$B$4,T25*Supuestos!$C$4)*100</f>
        <v>6.0337179564644572</v>
      </c>
      <c r="V25" s="20">
        <f t="shared" si="4"/>
        <v>16.573529078014182</v>
      </c>
      <c r="W25" s="2">
        <f t="shared" si="1"/>
        <v>43992</v>
      </c>
      <c r="X25" s="2">
        <f t="shared" si="2"/>
        <v>1882.5200024169108</v>
      </c>
    </row>
    <row r="26" spans="1:24" x14ac:dyDescent="0.25">
      <c r="A26" s="6" t="s">
        <v>19</v>
      </c>
      <c r="B26" s="6" t="s">
        <v>144</v>
      </c>
      <c r="C26" s="6" t="s">
        <v>407</v>
      </c>
      <c r="D26" s="6" t="s">
        <v>72</v>
      </c>
      <c r="E26" s="11" t="str">
        <f t="shared" si="0"/>
        <v>AUTOMOVIL</v>
      </c>
      <c r="F26" s="6" t="s">
        <v>21</v>
      </c>
      <c r="G26" s="11">
        <v>1000</v>
      </c>
      <c r="H26" s="6" t="s">
        <v>1050</v>
      </c>
      <c r="I26" s="6" t="str">
        <f t="shared" si="3"/>
        <v>N</v>
      </c>
      <c r="J26" s="17" t="s">
        <v>9</v>
      </c>
      <c r="K26" s="6">
        <v>116</v>
      </c>
      <c r="L26" s="9">
        <v>309</v>
      </c>
      <c r="M26" s="21">
        <v>309</v>
      </c>
      <c r="N26" s="2">
        <v>25190</v>
      </c>
      <c r="O26" s="2" t="s">
        <v>1055</v>
      </c>
      <c r="P26" s="2" t="s">
        <v>1315</v>
      </c>
      <c r="Q26" s="2" t="s">
        <v>1054</v>
      </c>
      <c r="R26" s="2">
        <v>1544</v>
      </c>
      <c r="S26" s="2"/>
      <c r="T26" s="2">
        <v>145</v>
      </c>
      <c r="U26" s="39">
        <f>IF(I26="N",T26*Supuestos!$B$4,T26*Supuestos!$C$4)*100</f>
        <v>6.2048872601939449</v>
      </c>
      <c r="V26" s="20">
        <f t="shared" si="4"/>
        <v>16.11632827586207</v>
      </c>
      <c r="W26" s="2">
        <f t="shared" si="1"/>
        <v>44805</v>
      </c>
      <c r="X26" s="2">
        <f t="shared" si="2"/>
        <v>1917.310163399929</v>
      </c>
    </row>
    <row r="27" spans="1:24" x14ac:dyDescent="0.25">
      <c r="A27" s="6" t="s">
        <v>62</v>
      </c>
      <c r="B27" s="6" t="s">
        <v>899</v>
      </c>
      <c r="C27" s="6" t="s">
        <v>407</v>
      </c>
      <c r="D27" s="6" t="s">
        <v>72</v>
      </c>
      <c r="E27" s="11" t="str">
        <f t="shared" si="0"/>
        <v>AUTOMOVIL</v>
      </c>
      <c r="F27" s="6" t="s">
        <v>23</v>
      </c>
      <c r="G27" s="11">
        <v>1000</v>
      </c>
      <c r="H27" s="6" t="s">
        <v>1050</v>
      </c>
      <c r="I27" s="6" t="str">
        <f t="shared" si="3"/>
        <v>N</v>
      </c>
      <c r="J27" s="17" t="s">
        <v>9</v>
      </c>
      <c r="K27" s="6">
        <v>72</v>
      </c>
      <c r="L27" s="9">
        <v>276</v>
      </c>
      <c r="M27" s="21">
        <v>276</v>
      </c>
      <c r="N27" s="2">
        <v>20990</v>
      </c>
      <c r="O27" s="2" t="s">
        <v>1053</v>
      </c>
      <c r="P27" s="2" t="s">
        <v>1068</v>
      </c>
      <c r="Q27" s="2" t="s">
        <v>429</v>
      </c>
      <c r="R27" s="2">
        <v>1520</v>
      </c>
      <c r="S27" s="2"/>
      <c r="T27" s="2">
        <v>134</v>
      </c>
      <c r="U27" s="39">
        <f>IF(I27="N",T27*Supuestos!$B$4,T27*Supuestos!$C$4)*100</f>
        <v>5.7341716749378522</v>
      </c>
      <c r="V27" s="20">
        <f t="shared" si="4"/>
        <v>17.439310447761194</v>
      </c>
      <c r="W27" s="2">
        <f t="shared" si="1"/>
        <v>36984</v>
      </c>
      <c r="X27" s="2">
        <f t="shared" si="2"/>
        <v>1582.6313822828472</v>
      </c>
    </row>
    <row r="28" spans="1:24" x14ac:dyDescent="0.25">
      <c r="A28" s="6" t="s">
        <v>48</v>
      </c>
      <c r="B28" s="6" t="s">
        <v>926</v>
      </c>
      <c r="C28" s="6" t="s">
        <v>411</v>
      </c>
      <c r="D28" s="6" t="s">
        <v>72</v>
      </c>
      <c r="E28" s="11" t="str">
        <f t="shared" si="0"/>
        <v>AUTOMOVIL</v>
      </c>
      <c r="F28" s="6" t="s">
        <v>21</v>
      </c>
      <c r="G28" s="11">
        <v>1000</v>
      </c>
      <c r="H28" s="6" t="s">
        <v>1050</v>
      </c>
      <c r="I28" s="6" t="str">
        <f t="shared" si="3"/>
        <v>N</v>
      </c>
      <c r="J28" s="17" t="s">
        <v>9</v>
      </c>
      <c r="K28" s="6">
        <v>68</v>
      </c>
      <c r="L28" s="9">
        <v>269</v>
      </c>
      <c r="M28" s="21">
        <v>269</v>
      </c>
      <c r="N28" s="2">
        <v>16490</v>
      </c>
      <c r="O28" s="2" t="s">
        <v>1053</v>
      </c>
      <c r="P28" s="2" t="s">
        <v>1071</v>
      </c>
      <c r="Q28" s="2" t="s">
        <v>429</v>
      </c>
      <c r="R28" s="2">
        <v>1735</v>
      </c>
      <c r="S28" s="2"/>
      <c r="T28" s="2">
        <v>126</v>
      </c>
      <c r="U28" s="39">
        <f>IF(I28="N",T28*Supuestos!$B$4,T28*Supuestos!$C$4)*100</f>
        <v>5.3918330674788768</v>
      </c>
      <c r="V28" s="20">
        <f t="shared" si="4"/>
        <v>18.546568253968253</v>
      </c>
      <c r="W28" s="2">
        <f t="shared" si="1"/>
        <v>33894</v>
      </c>
      <c r="X28" s="2">
        <f t="shared" si="2"/>
        <v>1450.4030951518178</v>
      </c>
    </row>
    <row r="29" spans="1:24" x14ac:dyDescent="0.25">
      <c r="A29" s="6" t="s">
        <v>19</v>
      </c>
      <c r="B29" s="6" t="s">
        <v>145</v>
      </c>
      <c r="C29" s="6" t="s">
        <v>407</v>
      </c>
      <c r="D29" s="6" t="s">
        <v>72</v>
      </c>
      <c r="E29" s="11" t="str">
        <f t="shared" si="0"/>
        <v>AUTOMOVIL</v>
      </c>
      <c r="F29" s="6" t="s">
        <v>21</v>
      </c>
      <c r="G29" s="11">
        <v>1000</v>
      </c>
      <c r="H29" s="6" t="s">
        <v>1050</v>
      </c>
      <c r="I29" s="6" t="str">
        <f t="shared" si="3"/>
        <v>N</v>
      </c>
      <c r="J29" s="17" t="s">
        <v>9</v>
      </c>
      <c r="K29" s="6">
        <v>116</v>
      </c>
      <c r="L29" s="9">
        <v>257</v>
      </c>
      <c r="M29" s="21">
        <v>257</v>
      </c>
      <c r="N29" s="2">
        <v>23390</v>
      </c>
      <c r="O29" s="2" t="s">
        <v>1055</v>
      </c>
      <c r="P29" s="2" t="s">
        <v>1314</v>
      </c>
      <c r="Q29" s="2" t="s">
        <v>1054</v>
      </c>
      <c r="R29" s="2">
        <v>1510</v>
      </c>
      <c r="S29" s="2"/>
      <c r="T29" s="2">
        <v>141</v>
      </c>
      <c r="U29" s="39">
        <f>IF(I29="N",T29*Supuestos!$B$4,T29*Supuestos!$C$4)*100</f>
        <v>6.0337179564644572</v>
      </c>
      <c r="V29" s="20">
        <f t="shared" si="4"/>
        <v>16.573529078014182</v>
      </c>
      <c r="W29" s="2">
        <f t="shared" si="1"/>
        <v>36237</v>
      </c>
      <c r="X29" s="2">
        <f t="shared" si="2"/>
        <v>1550.6655148113655</v>
      </c>
    </row>
    <row r="30" spans="1:24" x14ac:dyDescent="0.25">
      <c r="A30" s="6" t="s">
        <v>19</v>
      </c>
      <c r="B30" s="6" t="s">
        <v>614</v>
      </c>
      <c r="C30" s="6" t="s">
        <v>403</v>
      </c>
      <c r="D30" s="6" t="s">
        <v>72</v>
      </c>
      <c r="E30" s="11" t="str">
        <f t="shared" si="0"/>
        <v>AUTOMOVIL</v>
      </c>
      <c r="F30" s="6" t="s">
        <v>21</v>
      </c>
      <c r="G30" s="11">
        <v>1000</v>
      </c>
      <c r="H30" s="6" t="s">
        <v>1050</v>
      </c>
      <c r="I30" s="6" t="str">
        <f t="shared" si="3"/>
        <v>N</v>
      </c>
      <c r="J30" s="17" t="s">
        <v>9</v>
      </c>
      <c r="K30" s="6">
        <v>78</v>
      </c>
      <c r="L30" s="9">
        <v>249</v>
      </c>
      <c r="M30" s="21">
        <v>249</v>
      </c>
      <c r="N30" s="2">
        <v>19490</v>
      </c>
      <c r="O30" s="2" t="s">
        <v>1055</v>
      </c>
      <c r="P30" s="2" t="s">
        <v>1316</v>
      </c>
      <c r="Q30" s="2" t="s">
        <v>1054</v>
      </c>
      <c r="R30" s="2">
        <v>1513</v>
      </c>
      <c r="S30" s="2"/>
      <c r="T30" s="2">
        <v>134</v>
      </c>
      <c r="U30" s="39">
        <f>IF(I30="N",T30*Supuestos!$B$4,T30*Supuestos!$C$4)*100</f>
        <v>5.7341716749378522</v>
      </c>
      <c r="V30" s="20">
        <f t="shared" si="4"/>
        <v>17.439310447761194</v>
      </c>
      <c r="W30" s="2">
        <f t="shared" si="1"/>
        <v>33366</v>
      </c>
      <c r="X30" s="2">
        <f t="shared" si="2"/>
        <v>1427.8087470595251</v>
      </c>
    </row>
    <row r="31" spans="1:24" x14ac:dyDescent="0.25">
      <c r="A31" s="6" t="s">
        <v>29</v>
      </c>
      <c r="B31" s="6" t="s">
        <v>662</v>
      </c>
      <c r="C31" s="6" t="s">
        <v>407</v>
      </c>
      <c r="D31" s="6" t="s">
        <v>72</v>
      </c>
      <c r="E31" s="11" t="str">
        <f t="shared" si="0"/>
        <v>AUTOMOVIL</v>
      </c>
      <c r="F31" s="6" t="s">
        <v>21</v>
      </c>
      <c r="G31" s="11">
        <v>1300</v>
      </c>
      <c r="H31" s="6" t="s">
        <v>1050</v>
      </c>
      <c r="I31" s="6" t="str">
        <f t="shared" si="3"/>
        <v>N</v>
      </c>
      <c r="J31" s="17" t="s">
        <v>9</v>
      </c>
      <c r="K31" s="6">
        <v>99</v>
      </c>
      <c r="L31" s="9">
        <v>246</v>
      </c>
      <c r="M31" s="21">
        <v>246</v>
      </c>
      <c r="N31" s="2">
        <v>20990</v>
      </c>
      <c r="O31" s="2" t="s">
        <v>1060</v>
      </c>
      <c r="P31" s="2" t="s">
        <v>1077</v>
      </c>
      <c r="Q31" s="2" t="s">
        <v>424</v>
      </c>
      <c r="R31" s="2">
        <v>1531</v>
      </c>
      <c r="S31" s="2"/>
      <c r="T31" s="2">
        <v>146</v>
      </c>
      <c r="U31" s="39">
        <f>IF(I31="N",T31*Supuestos!$B$4,T31*Supuestos!$C$4)*100</f>
        <v>6.247679586126317</v>
      </c>
      <c r="V31" s="20">
        <f t="shared" si="4"/>
        <v>16.005942465753424</v>
      </c>
      <c r="W31" s="2">
        <f t="shared" si="1"/>
        <v>35916</v>
      </c>
      <c r="X31" s="2">
        <f t="shared" si="2"/>
        <v>1536.9291781870741</v>
      </c>
    </row>
    <row r="32" spans="1:24" x14ac:dyDescent="0.25">
      <c r="A32" s="6" t="s">
        <v>19</v>
      </c>
      <c r="B32" s="6" t="s">
        <v>615</v>
      </c>
      <c r="C32" s="6" t="s">
        <v>403</v>
      </c>
      <c r="D32" s="6" t="s">
        <v>72</v>
      </c>
      <c r="E32" s="11" t="str">
        <f t="shared" si="0"/>
        <v>AUTOMOVIL</v>
      </c>
      <c r="F32" s="6" t="s">
        <v>21</v>
      </c>
      <c r="G32" s="11">
        <v>1000</v>
      </c>
      <c r="H32" s="6" t="s">
        <v>1050</v>
      </c>
      <c r="I32" s="6" t="str">
        <f t="shared" si="3"/>
        <v>N</v>
      </c>
      <c r="J32" s="17" t="s">
        <v>9</v>
      </c>
      <c r="K32" s="6">
        <v>78</v>
      </c>
      <c r="L32" s="9">
        <v>243</v>
      </c>
      <c r="M32" s="21">
        <v>243</v>
      </c>
      <c r="N32" s="2">
        <v>20790</v>
      </c>
      <c r="O32" s="2" t="s">
        <v>1055</v>
      </c>
      <c r="P32" s="2" t="s">
        <v>1316</v>
      </c>
      <c r="Q32" s="2" t="s">
        <v>1054</v>
      </c>
      <c r="R32" s="2">
        <v>1513</v>
      </c>
      <c r="S32" s="2"/>
      <c r="T32" s="2">
        <v>134</v>
      </c>
      <c r="U32" s="39">
        <f>IF(I32="N",T32*Supuestos!$B$4,T32*Supuestos!$C$4)*100</f>
        <v>5.7341716749378522</v>
      </c>
      <c r="V32" s="20">
        <f t="shared" si="4"/>
        <v>17.439310447761194</v>
      </c>
      <c r="W32" s="2">
        <f t="shared" si="1"/>
        <v>32562</v>
      </c>
      <c r="X32" s="2">
        <f t="shared" si="2"/>
        <v>1393.4037170098982</v>
      </c>
    </row>
    <row r="33" spans="1:24" x14ac:dyDescent="0.25">
      <c r="A33" s="6" t="s">
        <v>19</v>
      </c>
      <c r="B33" s="6" t="s">
        <v>148</v>
      </c>
      <c r="C33" s="6" t="s">
        <v>403</v>
      </c>
      <c r="D33" s="6" t="s">
        <v>72</v>
      </c>
      <c r="E33" s="11" t="str">
        <f t="shared" si="0"/>
        <v>AUTOMOVIL</v>
      </c>
      <c r="F33" s="6" t="s">
        <v>21</v>
      </c>
      <c r="G33" s="11">
        <v>1000</v>
      </c>
      <c r="H33" s="6" t="s">
        <v>1050</v>
      </c>
      <c r="I33" s="6" t="str">
        <f t="shared" si="3"/>
        <v>N</v>
      </c>
      <c r="J33" s="17" t="s">
        <v>9</v>
      </c>
      <c r="K33" s="6">
        <v>116</v>
      </c>
      <c r="L33" s="9">
        <v>242</v>
      </c>
      <c r="M33" s="21">
        <v>242</v>
      </c>
      <c r="N33" s="2">
        <v>23490</v>
      </c>
      <c r="O33" s="2" t="s">
        <v>1055</v>
      </c>
      <c r="P33" s="2" t="s">
        <v>1316</v>
      </c>
      <c r="Q33" s="2" t="s">
        <v>1054</v>
      </c>
      <c r="R33" s="2">
        <v>1513</v>
      </c>
      <c r="S33" s="2"/>
      <c r="T33" s="2">
        <v>134</v>
      </c>
      <c r="U33" s="39">
        <f>IF(I33="N",T33*Supuestos!$B$4,T33*Supuestos!$C$4)*100</f>
        <v>5.7341716749378522</v>
      </c>
      <c r="V33" s="20">
        <f t="shared" si="4"/>
        <v>17.439310447761194</v>
      </c>
      <c r="W33" s="2">
        <f t="shared" si="1"/>
        <v>32428</v>
      </c>
      <c r="X33" s="2">
        <f t="shared" si="2"/>
        <v>1387.6695453349603</v>
      </c>
    </row>
    <row r="34" spans="1:24" x14ac:dyDescent="0.25">
      <c r="A34" s="6" t="s">
        <v>81</v>
      </c>
      <c r="B34" s="6" t="s">
        <v>629</v>
      </c>
      <c r="C34" s="6" t="s">
        <v>407</v>
      </c>
      <c r="D34" s="6" t="s">
        <v>72</v>
      </c>
      <c r="E34" s="11" t="str">
        <f t="shared" si="0"/>
        <v>AUTOMOVIL</v>
      </c>
      <c r="F34" s="6" t="s">
        <v>21</v>
      </c>
      <c r="G34" s="11">
        <v>1600</v>
      </c>
      <c r="H34" s="6" t="s">
        <v>1050</v>
      </c>
      <c r="I34" s="6" t="str">
        <f t="shared" si="3"/>
        <v>N</v>
      </c>
      <c r="J34" s="17" t="s">
        <v>9</v>
      </c>
      <c r="K34" s="6">
        <v>115</v>
      </c>
      <c r="L34" s="9">
        <v>236</v>
      </c>
      <c r="M34" s="21">
        <v>236</v>
      </c>
      <c r="N34" s="2">
        <v>20690</v>
      </c>
      <c r="O34" s="2" t="s">
        <v>1060</v>
      </c>
      <c r="P34" s="2" t="s">
        <v>1074</v>
      </c>
      <c r="Q34" s="2" t="s">
        <v>424</v>
      </c>
      <c r="R34" s="2">
        <v>1539</v>
      </c>
      <c r="S34" s="2"/>
      <c r="T34" s="2">
        <v>166</v>
      </c>
      <c r="U34" s="39">
        <f>IF(I34="N",T34*Supuestos!$B$4,T34*Supuestos!$C$4)*100</f>
        <v>7.1035261047737581</v>
      </c>
      <c r="V34" s="20">
        <f t="shared" si="4"/>
        <v>14.077515662650601</v>
      </c>
      <c r="W34" s="2">
        <f t="shared" si="1"/>
        <v>39176</v>
      </c>
      <c r="X34" s="2">
        <f t="shared" si="2"/>
        <v>1676.432160726607</v>
      </c>
    </row>
    <row r="35" spans="1:24" x14ac:dyDescent="0.25">
      <c r="A35" s="6" t="s">
        <v>48</v>
      </c>
      <c r="B35" s="6" t="s">
        <v>923</v>
      </c>
      <c r="C35" s="6" t="s">
        <v>411</v>
      </c>
      <c r="D35" s="6" t="s">
        <v>72</v>
      </c>
      <c r="E35" s="11" t="str">
        <f t="shared" si="0"/>
        <v>AUTOMOVIL</v>
      </c>
      <c r="F35" s="6" t="s">
        <v>21</v>
      </c>
      <c r="G35" s="11">
        <v>1000</v>
      </c>
      <c r="H35" s="6" t="s">
        <v>1050</v>
      </c>
      <c r="I35" s="6" t="str">
        <f t="shared" si="3"/>
        <v>N</v>
      </c>
      <c r="J35" s="17" t="s">
        <v>9</v>
      </c>
      <c r="K35" s="6">
        <v>68</v>
      </c>
      <c r="L35" s="9">
        <v>232</v>
      </c>
      <c r="M35" s="21">
        <v>232</v>
      </c>
      <c r="N35" s="2">
        <v>15990</v>
      </c>
      <c r="O35" s="2" t="s">
        <v>1053</v>
      </c>
      <c r="P35" s="2" t="s">
        <v>1071</v>
      </c>
      <c r="Q35" s="2" t="s">
        <v>429</v>
      </c>
      <c r="R35" s="2">
        <v>1735</v>
      </c>
      <c r="S35" s="2"/>
      <c r="T35" s="2">
        <v>126</v>
      </c>
      <c r="U35" s="39">
        <f>IF(I35="N",T35*Supuestos!$B$4,T35*Supuestos!$C$4)*100</f>
        <v>5.3918330674788768</v>
      </c>
      <c r="V35" s="20">
        <f t="shared" si="4"/>
        <v>18.546568253968253</v>
      </c>
      <c r="W35" s="2">
        <f t="shared" si="1"/>
        <v>29232</v>
      </c>
      <c r="X35" s="2">
        <f t="shared" si="2"/>
        <v>1250.9052716550993</v>
      </c>
    </row>
    <row r="36" spans="1:24" x14ac:dyDescent="0.25">
      <c r="A36" s="6" t="s">
        <v>50</v>
      </c>
      <c r="B36" s="6" t="s">
        <v>328</v>
      </c>
      <c r="C36" s="6" t="s">
        <v>411</v>
      </c>
      <c r="D36" s="6" t="s">
        <v>72</v>
      </c>
      <c r="E36" s="11" t="str">
        <f t="shared" si="0"/>
        <v>AUTOMOVIL</v>
      </c>
      <c r="F36" s="6" t="s">
        <v>35</v>
      </c>
      <c r="G36" s="11">
        <v>800</v>
      </c>
      <c r="H36" s="6" t="s">
        <v>1050</v>
      </c>
      <c r="I36" s="6" t="str">
        <f t="shared" si="3"/>
        <v>N</v>
      </c>
      <c r="J36" s="17" t="s">
        <v>9</v>
      </c>
      <c r="K36" s="6">
        <v>47</v>
      </c>
      <c r="L36" s="9">
        <v>230</v>
      </c>
      <c r="M36" s="21">
        <v>230</v>
      </c>
      <c r="N36" s="2">
        <v>13490</v>
      </c>
      <c r="O36" s="2" t="s">
        <v>1060</v>
      </c>
      <c r="P36" s="2" t="s">
        <v>74</v>
      </c>
      <c r="Q36" s="2" t="s">
        <v>1064</v>
      </c>
      <c r="R36" s="2">
        <v>1185</v>
      </c>
      <c r="S36" s="2"/>
      <c r="T36" s="2">
        <v>116</v>
      </c>
      <c r="U36" s="39">
        <f>IF(I36="N",T36*Supuestos!$B$4,T36*Supuestos!$C$4)*100</f>
        <v>4.9639098081551563</v>
      </c>
      <c r="V36" s="20">
        <f t="shared" si="4"/>
        <v>20.145410344827585</v>
      </c>
      <c r="W36" s="2">
        <f t="shared" si="1"/>
        <v>26680</v>
      </c>
      <c r="X36" s="2">
        <f t="shared" si="2"/>
        <v>1141.699255875686</v>
      </c>
    </row>
    <row r="37" spans="1:24" x14ac:dyDescent="0.25">
      <c r="A37" s="6" t="s">
        <v>19</v>
      </c>
      <c r="B37" s="6" t="s">
        <v>149</v>
      </c>
      <c r="C37" s="6" t="s">
        <v>403</v>
      </c>
      <c r="D37" s="6" t="s">
        <v>72</v>
      </c>
      <c r="E37" s="11" t="str">
        <f t="shared" si="0"/>
        <v>AUTOMOVIL</v>
      </c>
      <c r="F37" s="6" t="s">
        <v>21</v>
      </c>
      <c r="G37" s="11">
        <v>1000</v>
      </c>
      <c r="H37" s="6" t="s">
        <v>1050</v>
      </c>
      <c r="I37" s="6" t="str">
        <f t="shared" si="3"/>
        <v>N</v>
      </c>
      <c r="J37" s="17" t="s">
        <v>9</v>
      </c>
      <c r="K37" s="6">
        <v>116</v>
      </c>
      <c r="L37" s="9">
        <v>217</v>
      </c>
      <c r="M37" s="21">
        <v>217</v>
      </c>
      <c r="N37" s="2">
        <v>26490</v>
      </c>
      <c r="O37" s="2" t="s">
        <v>1055</v>
      </c>
      <c r="P37" s="2" t="s">
        <v>1317</v>
      </c>
      <c r="Q37" s="2" t="s">
        <v>1054</v>
      </c>
      <c r="R37" s="2">
        <v>1554</v>
      </c>
      <c r="S37" s="2"/>
      <c r="T37" s="2">
        <v>138</v>
      </c>
      <c r="U37" s="39">
        <f>IF(I37="N",T37*Supuestos!$B$4,T37*Supuestos!$C$4)*100</f>
        <v>5.9053409786673408</v>
      </c>
      <c r="V37" s="20">
        <f t="shared" si="4"/>
        <v>16.933823188405796</v>
      </c>
      <c r="W37" s="2">
        <f t="shared" si="1"/>
        <v>29946</v>
      </c>
      <c r="X37" s="2">
        <f t="shared" si="2"/>
        <v>1281.4589923708129</v>
      </c>
    </row>
    <row r="38" spans="1:24" x14ac:dyDescent="0.25">
      <c r="A38" s="6" t="s">
        <v>62</v>
      </c>
      <c r="B38" s="6" t="s">
        <v>307</v>
      </c>
      <c r="C38" s="6" t="s">
        <v>407</v>
      </c>
      <c r="D38" s="6" t="s">
        <v>72</v>
      </c>
      <c r="E38" s="11" t="str">
        <f t="shared" si="0"/>
        <v>AUTOMOVIL</v>
      </c>
      <c r="F38" s="6" t="s">
        <v>23</v>
      </c>
      <c r="G38" s="11">
        <v>1600</v>
      </c>
      <c r="H38" s="6" t="s">
        <v>1050</v>
      </c>
      <c r="I38" s="6" t="str">
        <f t="shared" si="3"/>
        <v>N</v>
      </c>
      <c r="J38" s="17" t="s">
        <v>9</v>
      </c>
      <c r="K38" s="6">
        <v>115</v>
      </c>
      <c r="L38" s="9">
        <v>200</v>
      </c>
      <c r="M38" s="21">
        <v>200</v>
      </c>
      <c r="N38" s="2">
        <v>24000</v>
      </c>
      <c r="O38" s="2" t="s">
        <v>1053</v>
      </c>
      <c r="P38" s="2" t="s">
        <v>1069</v>
      </c>
      <c r="Q38" s="2" t="s">
        <v>422</v>
      </c>
      <c r="R38" s="22">
        <v>1550</v>
      </c>
      <c r="S38" s="22"/>
      <c r="T38" s="2">
        <v>169</v>
      </c>
      <c r="U38" s="39">
        <f>IF(I38="N",T38*Supuestos!$B$4,T38*Supuestos!$C$4)*100</f>
        <v>7.2319030825708746</v>
      </c>
      <c r="V38" s="20">
        <f t="shared" si="4"/>
        <v>13.827618934911241</v>
      </c>
      <c r="W38" s="2">
        <f t="shared" si="1"/>
        <v>33800</v>
      </c>
      <c r="X38" s="2">
        <f t="shared" si="2"/>
        <v>1446.380616514175</v>
      </c>
    </row>
    <row r="39" spans="1:24" x14ac:dyDescent="0.25">
      <c r="A39" s="6" t="s">
        <v>34</v>
      </c>
      <c r="B39" s="6" t="s">
        <v>720</v>
      </c>
      <c r="C39" s="6" t="s">
        <v>403</v>
      </c>
      <c r="D39" s="6" t="s">
        <v>72</v>
      </c>
      <c r="E39" s="11" t="str">
        <f t="shared" si="0"/>
        <v>AUTOMOVIL</v>
      </c>
      <c r="F39" s="6" t="s">
        <v>21</v>
      </c>
      <c r="G39" s="11">
        <v>1000</v>
      </c>
      <c r="H39" s="6" t="s">
        <v>1050</v>
      </c>
      <c r="I39" s="6" t="str">
        <f t="shared" si="3"/>
        <v>N</v>
      </c>
      <c r="J39" s="17" t="s">
        <v>9</v>
      </c>
      <c r="K39" s="6">
        <v>80</v>
      </c>
      <c r="L39" s="9">
        <v>187</v>
      </c>
      <c r="M39" s="9">
        <v>187</v>
      </c>
      <c r="N39" s="2">
        <v>18990</v>
      </c>
      <c r="O39" s="2" t="s">
        <v>1053</v>
      </c>
      <c r="P39" s="2" t="s">
        <v>1072</v>
      </c>
      <c r="Q39" s="2" t="s">
        <v>429</v>
      </c>
      <c r="R39" s="2">
        <v>1420</v>
      </c>
      <c r="S39" s="2"/>
      <c r="T39" s="2">
        <v>132</v>
      </c>
      <c r="U39" s="39">
        <f>IF(I39="N",T39*Supuestos!$B$4,T39*Supuestos!$C$4)*100</f>
        <v>5.6485870230731088</v>
      </c>
      <c r="V39" s="20">
        <f t="shared" si="4"/>
        <v>17.703542424242425</v>
      </c>
      <c r="W39" s="2">
        <f t="shared" si="1"/>
        <v>24684</v>
      </c>
      <c r="X39" s="2">
        <f t="shared" si="2"/>
        <v>1056.2857733146714</v>
      </c>
    </row>
    <row r="40" spans="1:24" x14ac:dyDescent="0.25">
      <c r="A40" s="6" t="s">
        <v>34</v>
      </c>
      <c r="B40" s="6" t="s">
        <v>723</v>
      </c>
      <c r="C40" s="6" t="s">
        <v>403</v>
      </c>
      <c r="D40" s="6" t="s">
        <v>72</v>
      </c>
      <c r="E40" s="11" t="str">
        <f t="shared" si="0"/>
        <v>AUTOMOVIL</v>
      </c>
      <c r="F40" s="6" t="s">
        <v>21</v>
      </c>
      <c r="G40" s="11">
        <v>1000</v>
      </c>
      <c r="H40" s="6" t="s">
        <v>1050</v>
      </c>
      <c r="I40" s="6" t="str">
        <f t="shared" si="3"/>
        <v>N</v>
      </c>
      <c r="J40" s="17" t="s">
        <v>9</v>
      </c>
      <c r="K40" s="6">
        <v>80</v>
      </c>
      <c r="L40" s="9">
        <v>187</v>
      </c>
      <c r="M40" s="9">
        <v>187</v>
      </c>
      <c r="N40" s="2">
        <v>20990</v>
      </c>
      <c r="O40" s="2" t="s">
        <v>1053</v>
      </c>
      <c r="P40" s="2" t="s">
        <v>1072</v>
      </c>
      <c r="Q40" s="2" t="s">
        <v>429</v>
      </c>
      <c r="R40" s="2">
        <v>1420</v>
      </c>
      <c r="S40" s="2"/>
      <c r="T40" s="2">
        <v>132</v>
      </c>
      <c r="U40" s="39">
        <f>IF(I40="N",T40*Supuestos!$B$4,T40*Supuestos!$C$4)*100</f>
        <v>5.6485870230731088</v>
      </c>
      <c r="V40" s="20">
        <f t="shared" si="4"/>
        <v>17.703542424242425</v>
      </c>
      <c r="W40" s="2">
        <f t="shared" si="1"/>
        <v>24684</v>
      </c>
      <c r="X40" s="2">
        <f t="shared" si="2"/>
        <v>1056.2857733146714</v>
      </c>
    </row>
    <row r="41" spans="1:24" x14ac:dyDescent="0.25">
      <c r="A41" s="6" t="s">
        <v>19</v>
      </c>
      <c r="B41" s="6" t="s">
        <v>151</v>
      </c>
      <c r="C41" s="6" t="s">
        <v>403</v>
      </c>
      <c r="D41" s="6" t="s">
        <v>72</v>
      </c>
      <c r="E41" s="11" t="str">
        <f t="shared" si="0"/>
        <v>AUTOMOVIL</v>
      </c>
      <c r="F41" s="6" t="s">
        <v>21</v>
      </c>
      <c r="G41" s="11">
        <v>1200</v>
      </c>
      <c r="H41" s="6" t="s">
        <v>1050</v>
      </c>
      <c r="I41" s="6" t="str">
        <f t="shared" si="3"/>
        <v>N</v>
      </c>
      <c r="J41" s="17" t="s">
        <v>9</v>
      </c>
      <c r="K41" s="6">
        <v>90</v>
      </c>
      <c r="L41" s="9">
        <v>132</v>
      </c>
      <c r="M41" s="21">
        <v>132</v>
      </c>
      <c r="N41" s="2">
        <v>20990</v>
      </c>
      <c r="O41" s="2" t="s">
        <v>1055</v>
      </c>
      <c r="P41" s="2" t="s">
        <v>1056</v>
      </c>
      <c r="Q41" s="2" t="s">
        <v>429</v>
      </c>
      <c r="R41" s="2">
        <v>1489</v>
      </c>
      <c r="S41" s="2"/>
      <c r="T41" s="2">
        <v>140</v>
      </c>
      <c r="U41" s="39">
        <f>IF(I41="N",T41*Supuestos!$B$4,T41*Supuestos!$C$4)*100</f>
        <v>5.9909256305320842</v>
      </c>
      <c r="V41" s="20">
        <f t="shared" si="4"/>
        <v>16.69191142857143</v>
      </c>
      <c r="W41" s="2">
        <f t="shared" si="1"/>
        <v>18480</v>
      </c>
      <c r="X41" s="2">
        <f t="shared" si="2"/>
        <v>790.80218323023507</v>
      </c>
    </row>
    <row r="42" spans="1:24" x14ac:dyDescent="0.25">
      <c r="A42" s="6" t="s">
        <v>19</v>
      </c>
      <c r="B42" s="6" t="s">
        <v>147</v>
      </c>
      <c r="C42" s="6" t="s">
        <v>407</v>
      </c>
      <c r="D42" s="6" t="s">
        <v>72</v>
      </c>
      <c r="E42" s="11" t="str">
        <f t="shared" si="0"/>
        <v>AUTOMOVIL</v>
      </c>
      <c r="F42" s="6" t="s">
        <v>21</v>
      </c>
      <c r="G42" s="11">
        <v>1200</v>
      </c>
      <c r="H42" s="6" t="s">
        <v>1050</v>
      </c>
      <c r="I42" s="6" t="str">
        <f t="shared" si="3"/>
        <v>N</v>
      </c>
      <c r="J42" s="17" t="s">
        <v>9</v>
      </c>
      <c r="K42" s="6">
        <v>90</v>
      </c>
      <c r="L42" s="9">
        <v>131</v>
      </c>
      <c r="M42" s="21">
        <v>131</v>
      </c>
      <c r="N42" s="2">
        <v>19990</v>
      </c>
      <c r="O42" s="2" t="s">
        <v>1055</v>
      </c>
      <c r="P42" s="2" t="s">
        <v>1056</v>
      </c>
      <c r="Q42" s="2" t="s">
        <v>429</v>
      </c>
      <c r="R42" s="2">
        <v>1481</v>
      </c>
      <c r="S42" s="2"/>
      <c r="T42" s="2">
        <v>140</v>
      </c>
      <c r="U42" s="39">
        <f>IF(I42="N",T42*Supuestos!$B$4,T42*Supuestos!$C$4)*100</f>
        <v>5.9909256305320842</v>
      </c>
      <c r="V42" s="20">
        <f t="shared" si="4"/>
        <v>16.69191142857143</v>
      </c>
      <c r="W42" s="2">
        <f t="shared" si="1"/>
        <v>18340</v>
      </c>
      <c r="X42" s="2">
        <f t="shared" si="2"/>
        <v>784.81125759970303</v>
      </c>
    </row>
    <row r="43" spans="1:24" x14ac:dyDescent="0.25">
      <c r="A43" s="6" t="s">
        <v>46</v>
      </c>
      <c r="B43" s="6" t="s">
        <v>876</v>
      </c>
      <c r="C43" s="6" t="s">
        <v>404</v>
      </c>
      <c r="D43" s="6" t="s">
        <v>72</v>
      </c>
      <c r="E43" s="11" t="str">
        <f t="shared" si="0"/>
        <v>AUTOMOVIL</v>
      </c>
      <c r="F43" s="6" t="s">
        <v>24</v>
      </c>
      <c r="G43" s="11">
        <v>1600</v>
      </c>
      <c r="H43" s="6" t="s">
        <v>1050</v>
      </c>
      <c r="I43" s="6" t="str">
        <f t="shared" si="3"/>
        <v>N</v>
      </c>
      <c r="J43" s="17" t="s">
        <v>9</v>
      </c>
      <c r="K43" s="6">
        <v>118</v>
      </c>
      <c r="L43" s="9">
        <v>129</v>
      </c>
      <c r="M43" s="21">
        <v>129</v>
      </c>
      <c r="N43" s="2">
        <v>25990</v>
      </c>
      <c r="O43" s="2" t="s">
        <v>1053</v>
      </c>
      <c r="P43" s="2" t="s">
        <v>1079</v>
      </c>
      <c r="Q43" s="2" t="s">
        <v>429</v>
      </c>
      <c r="R43" s="2">
        <v>1532</v>
      </c>
      <c r="S43" s="2"/>
      <c r="T43" s="2">
        <v>137</v>
      </c>
      <c r="U43" s="39">
        <f>IF(I43="N",T43*Supuestos!$B$4,T43*Supuestos!$C$4)*100</f>
        <v>5.8625486527349686</v>
      </c>
      <c r="V43" s="20">
        <f t="shared" si="4"/>
        <v>17.057427737226277</v>
      </c>
      <c r="W43" s="2">
        <f t="shared" si="1"/>
        <v>17673</v>
      </c>
      <c r="X43" s="2">
        <f t="shared" si="2"/>
        <v>756.26877620281095</v>
      </c>
    </row>
    <row r="44" spans="1:24" x14ac:dyDescent="0.25">
      <c r="A44" s="6" t="s">
        <v>46</v>
      </c>
      <c r="B44" s="6" t="s">
        <v>874</v>
      </c>
      <c r="C44" s="6" t="s">
        <v>404</v>
      </c>
      <c r="D44" s="6" t="s">
        <v>72</v>
      </c>
      <c r="E44" s="11" t="str">
        <f t="shared" si="0"/>
        <v>AUTOMOVIL</v>
      </c>
      <c r="F44" s="6" t="s">
        <v>24</v>
      </c>
      <c r="G44" s="11">
        <v>1600</v>
      </c>
      <c r="H44" s="6" t="s">
        <v>1050</v>
      </c>
      <c r="I44" s="6" t="str">
        <f t="shared" si="3"/>
        <v>N</v>
      </c>
      <c r="J44" s="17" t="s">
        <v>9</v>
      </c>
      <c r="K44" s="6">
        <v>118</v>
      </c>
      <c r="L44" s="9">
        <v>128</v>
      </c>
      <c r="M44" s="21">
        <v>128</v>
      </c>
      <c r="N44" s="2">
        <v>28490</v>
      </c>
      <c r="O44" s="2" t="s">
        <v>1053</v>
      </c>
      <c r="P44" s="2" t="s">
        <v>1079</v>
      </c>
      <c r="Q44" s="2" t="s">
        <v>429</v>
      </c>
      <c r="R44" s="2">
        <v>1644</v>
      </c>
      <c r="S44" s="2"/>
      <c r="T44" s="2">
        <v>135</v>
      </c>
      <c r="U44" s="39">
        <f>IF(I44="N",T44*Supuestos!$B$4,T44*Supuestos!$C$4)*100</f>
        <v>5.7769640008702243</v>
      </c>
      <c r="V44" s="20">
        <f t="shared" si="4"/>
        <v>17.31013037037037</v>
      </c>
      <c r="W44" s="2">
        <f t="shared" si="1"/>
        <v>17280</v>
      </c>
      <c r="X44" s="2">
        <f t="shared" si="2"/>
        <v>739.45139211138871</v>
      </c>
    </row>
    <row r="45" spans="1:24" x14ac:dyDescent="0.25">
      <c r="A45" s="6" t="s">
        <v>62</v>
      </c>
      <c r="B45" s="6" t="s">
        <v>306</v>
      </c>
      <c r="C45" s="6" t="s">
        <v>407</v>
      </c>
      <c r="D45" s="6" t="s">
        <v>72</v>
      </c>
      <c r="E45" s="11" t="str">
        <f t="shared" si="0"/>
        <v>AUTOMOVIL</v>
      </c>
      <c r="F45" s="6" t="s">
        <v>23</v>
      </c>
      <c r="G45" s="11">
        <v>1600</v>
      </c>
      <c r="H45" s="6" t="s">
        <v>1050</v>
      </c>
      <c r="I45" s="6" t="str">
        <f t="shared" si="3"/>
        <v>N</v>
      </c>
      <c r="J45" s="17" t="s">
        <v>9</v>
      </c>
      <c r="K45" s="6">
        <v>115</v>
      </c>
      <c r="L45" s="9">
        <v>127</v>
      </c>
      <c r="M45" s="21">
        <v>127</v>
      </c>
      <c r="N45" s="2">
        <v>26000</v>
      </c>
      <c r="O45" s="2" t="s">
        <v>1053</v>
      </c>
      <c r="P45" s="2" t="s">
        <v>1069</v>
      </c>
      <c r="Q45" s="2" t="s">
        <v>422</v>
      </c>
      <c r="R45" s="22">
        <v>1550</v>
      </c>
      <c r="S45" s="22"/>
      <c r="T45" s="2">
        <v>169</v>
      </c>
      <c r="U45" s="39">
        <f>IF(I45="N",T45*Supuestos!$B$4,T45*Supuestos!$C$4)*100</f>
        <v>7.2319030825708746</v>
      </c>
      <c r="V45" s="20">
        <f t="shared" si="4"/>
        <v>13.827618934911241</v>
      </c>
      <c r="W45" s="2">
        <f t="shared" si="1"/>
        <v>21463</v>
      </c>
      <c r="X45" s="2">
        <f t="shared" si="2"/>
        <v>918.45169148650109</v>
      </c>
    </row>
    <row r="46" spans="1:24" x14ac:dyDescent="0.25">
      <c r="A46" s="6" t="s">
        <v>36</v>
      </c>
      <c r="B46" s="6" t="s">
        <v>742</v>
      </c>
      <c r="C46" s="6" t="s">
        <v>407</v>
      </c>
      <c r="D46" s="6" t="s">
        <v>72</v>
      </c>
      <c r="E46" s="11" t="str">
        <f t="shared" si="0"/>
        <v>AUTOMOVIL</v>
      </c>
      <c r="F46" s="6" t="s">
        <v>14</v>
      </c>
      <c r="G46" s="11"/>
      <c r="H46" s="6" t="s">
        <v>1051</v>
      </c>
      <c r="I46" s="6" t="str">
        <f t="shared" si="3"/>
        <v>E</v>
      </c>
      <c r="J46" s="17" t="s">
        <v>418</v>
      </c>
      <c r="K46" s="6">
        <v>60</v>
      </c>
      <c r="L46" s="9">
        <v>125</v>
      </c>
      <c r="M46" s="21">
        <v>125</v>
      </c>
      <c r="N46" s="2">
        <v>23990</v>
      </c>
      <c r="O46" s="2" t="s">
        <v>1060</v>
      </c>
      <c r="P46" s="2" t="s">
        <v>1339</v>
      </c>
      <c r="Q46" s="2"/>
      <c r="R46" s="2">
        <v>1555</v>
      </c>
      <c r="S46" s="2">
        <v>6.8</v>
      </c>
      <c r="T46" s="2"/>
      <c r="U46" s="39">
        <f>IF(I46="N",T46*Supuestos!$B$4,T46*Supuestos!$C$4)*100</f>
        <v>0</v>
      </c>
      <c r="V46" s="20">
        <f t="shared" si="4"/>
        <v>0</v>
      </c>
      <c r="W46" s="2">
        <f t="shared" si="1"/>
        <v>0</v>
      </c>
      <c r="X46" s="2">
        <f t="shared" si="2"/>
        <v>0</v>
      </c>
    </row>
    <row r="47" spans="1:24" x14ac:dyDescent="0.25">
      <c r="A47" s="6" t="s">
        <v>53</v>
      </c>
      <c r="B47" s="6" t="s">
        <v>1018</v>
      </c>
      <c r="C47" s="6" t="s">
        <v>407</v>
      </c>
      <c r="D47" s="6" t="s">
        <v>72</v>
      </c>
      <c r="E47" s="11" t="str">
        <f t="shared" si="0"/>
        <v>AUTOMOVIL</v>
      </c>
      <c r="F47" s="6" t="s">
        <v>21</v>
      </c>
      <c r="G47" s="11">
        <v>1000</v>
      </c>
      <c r="H47" s="6" t="s">
        <v>1050</v>
      </c>
      <c r="I47" s="6" t="str">
        <f t="shared" si="3"/>
        <v>N</v>
      </c>
      <c r="J47" s="17" t="s">
        <v>9</v>
      </c>
      <c r="K47" s="6">
        <v>95</v>
      </c>
      <c r="L47" s="9">
        <v>124</v>
      </c>
      <c r="M47" s="21">
        <v>124</v>
      </c>
      <c r="N47" s="2">
        <v>26990</v>
      </c>
      <c r="O47" s="2" t="s">
        <v>1053</v>
      </c>
      <c r="P47" s="2" t="s">
        <v>1082</v>
      </c>
      <c r="Q47" s="2" t="s">
        <v>424</v>
      </c>
      <c r="R47" s="2">
        <v>1570</v>
      </c>
      <c r="S47" s="2"/>
      <c r="T47" s="2">
        <v>155</v>
      </c>
      <c r="U47" s="39">
        <f>IF(I47="N",T47*Supuestos!$B$4,T47*Supuestos!$C$4)*100</f>
        <v>6.6328105195176654</v>
      </c>
      <c r="V47" s="20">
        <f t="shared" si="4"/>
        <v>15.076565161290322</v>
      </c>
      <c r="W47" s="2">
        <f t="shared" si="1"/>
        <v>19220</v>
      </c>
      <c r="X47" s="2">
        <f t="shared" si="2"/>
        <v>822.46850442019047</v>
      </c>
    </row>
    <row r="48" spans="1:24" x14ac:dyDescent="0.25">
      <c r="A48" s="6" t="s">
        <v>34</v>
      </c>
      <c r="B48" s="6" t="s">
        <v>727</v>
      </c>
      <c r="C48" s="6" t="s">
        <v>407</v>
      </c>
      <c r="D48" s="6" t="s">
        <v>72</v>
      </c>
      <c r="E48" s="11" t="str">
        <f t="shared" si="0"/>
        <v>AUTOMOVIL</v>
      </c>
      <c r="F48" s="6" t="s">
        <v>21</v>
      </c>
      <c r="G48" s="11">
        <v>1600</v>
      </c>
      <c r="H48" s="6" t="s">
        <v>1050</v>
      </c>
      <c r="I48" s="6" t="str">
        <f t="shared" si="3"/>
        <v>N</v>
      </c>
      <c r="J48" s="17" t="s">
        <v>9</v>
      </c>
      <c r="K48" s="6">
        <v>123</v>
      </c>
      <c r="L48" s="9">
        <v>123</v>
      </c>
      <c r="M48" s="9">
        <v>123</v>
      </c>
      <c r="N48" s="2">
        <v>22990</v>
      </c>
      <c r="O48" s="2" t="s">
        <v>1053</v>
      </c>
      <c r="P48" s="2" t="s">
        <v>1072</v>
      </c>
      <c r="Q48" s="2" t="s">
        <v>429</v>
      </c>
      <c r="R48" s="2">
        <v>1420</v>
      </c>
      <c r="S48" s="2"/>
      <c r="T48" s="2">
        <v>132</v>
      </c>
      <c r="U48" s="39">
        <f>IF(I48="N",T48*Supuestos!$B$4,T48*Supuestos!$C$4)*100</f>
        <v>5.6485870230731088</v>
      </c>
      <c r="V48" s="20">
        <f t="shared" si="4"/>
        <v>17.703542424242425</v>
      </c>
      <c r="W48" s="2">
        <f t="shared" si="1"/>
        <v>16236</v>
      </c>
      <c r="X48" s="2">
        <f t="shared" si="2"/>
        <v>694.7762038379924</v>
      </c>
    </row>
    <row r="49" spans="1:24" x14ac:dyDescent="0.25">
      <c r="A49" s="6" t="s">
        <v>34</v>
      </c>
      <c r="B49" s="6" t="s">
        <v>725</v>
      </c>
      <c r="C49" s="6" t="s">
        <v>403</v>
      </c>
      <c r="D49" s="6" t="s">
        <v>72</v>
      </c>
      <c r="E49" s="11" t="str">
        <f t="shared" si="0"/>
        <v>AUTOMOVIL</v>
      </c>
      <c r="F49" s="6" t="s">
        <v>21</v>
      </c>
      <c r="G49" s="11">
        <v>1600</v>
      </c>
      <c r="H49" s="6" t="s">
        <v>1050</v>
      </c>
      <c r="I49" s="6" t="str">
        <f t="shared" si="3"/>
        <v>N</v>
      </c>
      <c r="J49" s="17" t="s">
        <v>9</v>
      </c>
      <c r="K49" s="6">
        <v>123</v>
      </c>
      <c r="L49" s="9">
        <v>116</v>
      </c>
      <c r="M49" s="9">
        <v>116</v>
      </c>
      <c r="N49" s="2">
        <v>23990</v>
      </c>
      <c r="O49" s="2" t="s">
        <v>1053</v>
      </c>
      <c r="P49" s="2" t="s">
        <v>1072</v>
      </c>
      <c r="Q49" s="2" t="s">
        <v>429</v>
      </c>
      <c r="R49" s="2">
        <v>1420</v>
      </c>
      <c r="S49" s="2"/>
      <c r="T49" s="2">
        <v>132</v>
      </c>
      <c r="U49" s="39">
        <f>IF(I49="N",T49*Supuestos!$B$4,T49*Supuestos!$C$4)*100</f>
        <v>5.6485870230731088</v>
      </c>
      <c r="V49" s="20">
        <f t="shared" si="4"/>
        <v>17.703542424242425</v>
      </c>
      <c r="W49" s="2">
        <f t="shared" si="1"/>
        <v>15312</v>
      </c>
      <c r="X49" s="2">
        <f t="shared" si="2"/>
        <v>655.23609467648066</v>
      </c>
    </row>
    <row r="50" spans="1:24" x14ac:dyDescent="0.25">
      <c r="A50" s="6" t="s">
        <v>50</v>
      </c>
      <c r="B50" s="6" t="s">
        <v>976</v>
      </c>
      <c r="C50" s="6" t="s">
        <v>411</v>
      </c>
      <c r="D50" s="6" t="s">
        <v>72</v>
      </c>
      <c r="E50" s="11" t="str">
        <f t="shared" si="0"/>
        <v>AUTOMOVIL</v>
      </c>
      <c r="F50" s="6" t="s">
        <v>35</v>
      </c>
      <c r="G50" s="11">
        <v>800</v>
      </c>
      <c r="H50" s="6" t="s">
        <v>1050</v>
      </c>
      <c r="I50" s="6" t="str">
        <f t="shared" si="3"/>
        <v>N</v>
      </c>
      <c r="J50" s="17" t="s">
        <v>9</v>
      </c>
      <c r="K50" s="6">
        <v>47</v>
      </c>
      <c r="L50" s="9">
        <v>115</v>
      </c>
      <c r="M50" s="21">
        <v>115</v>
      </c>
      <c r="N50" s="2">
        <v>11490</v>
      </c>
      <c r="O50" s="2" t="s">
        <v>1060</v>
      </c>
      <c r="P50" s="2" t="s">
        <v>74</v>
      </c>
      <c r="Q50" s="2" t="s">
        <v>1064</v>
      </c>
      <c r="R50" s="2">
        <v>1185</v>
      </c>
      <c r="S50" s="2"/>
      <c r="T50" s="2">
        <v>116</v>
      </c>
      <c r="U50" s="39">
        <f>IF(I50="N",T50*Supuestos!$B$4,T50*Supuestos!$C$4)*100</f>
        <v>4.9639098081551563</v>
      </c>
      <c r="V50" s="20">
        <f t="shared" si="4"/>
        <v>20.145410344827585</v>
      </c>
      <c r="W50" s="2">
        <f t="shared" si="1"/>
        <v>13340</v>
      </c>
      <c r="X50" s="2">
        <f t="shared" si="2"/>
        <v>570.84962793784302</v>
      </c>
    </row>
    <row r="51" spans="1:24" x14ac:dyDescent="0.25">
      <c r="A51" s="6" t="s">
        <v>19</v>
      </c>
      <c r="B51" s="6" t="s">
        <v>146</v>
      </c>
      <c r="C51" s="6" t="s">
        <v>407</v>
      </c>
      <c r="D51" s="6" t="s">
        <v>72</v>
      </c>
      <c r="E51" s="11" t="str">
        <f t="shared" si="0"/>
        <v>AUTOMOVIL</v>
      </c>
      <c r="F51" s="6" t="s">
        <v>21</v>
      </c>
      <c r="G51" s="11">
        <v>1200</v>
      </c>
      <c r="H51" s="6" t="s">
        <v>1050</v>
      </c>
      <c r="I51" s="6" t="str">
        <f t="shared" si="3"/>
        <v>N</v>
      </c>
      <c r="J51" s="17" t="s">
        <v>9</v>
      </c>
      <c r="K51" s="6">
        <v>90</v>
      </c>
      <c r="L51" s="9">
        <v>109</v>
      </c>
      <c r="M51" s="21">
        <v>109</v>
      </c>
      <c r="N51" s="2">
        <v>17990</v>
      </c>
      <c r="O51" s="2" t="s">
        <v>1055</v>
      </c>
      <c r="P51" s="2" t="s">
        <v>1056</v>
      </c>
      <c r="Q51" s="2" t="s">
        <v>429</v>
      </c>
      <c r="R51" s="2">
        <v>1481</v>
      </c>
      <c r="S51" s="2"/>
      <c r="T51" s="2">
        <v>140</v>
      </c>
      <c r="U51" s="39">
        <f>IF(I51="N",T51*Supuestos!$B$4,T51*Supuestos!$C$4)*100</f>
        <v>5.9909256305320842</v>
      </c>
      <c r="V51" s="20">
        <f t="shared" si="4"/>
        <v>16.69191142857143</v>
      </c>
      <c r="W51" s="2">
        <f t="shared" si="1"/>
        <v>15260</v>
      </c>
      <c r="X51" s="2">
        <f t="shared" si="2"/>
        <v>653.0108937279972</v>
      </c>
    </row>
    <row r="52" spans="1:24" x14ac:dyDescent="0.25">
      <c r="A52" s="6" t="s">
        <v>46</v>
      </c>
      <c r="B52" s="6" t="s">
        <v>287</v>
      </c>
      <c r="C52" s="6" t="s">
        <v>404</v>
      </c>
      <c r="D52" s="6" t="s">
        <v>72</v>
      </c>
      <c r="E52" s="11" t="str">
        <f t="shared" si="0"/>
        <v>AUTOMOVIL</v>
      </c>
      <c r="F52" s="6" t="s">
        <v>24</v>
      </c>
      <c r="G52" s="11">
        <v>2000</v>
      </c>
      <c r="H52" s="6" t="s">
        <v>1050</v>
      </c>
      <c r="I52" s="6" t="str">
        <f t="shared" si="3"/>
        <v>N</v>
      </c>
      <c r="J52" s="17" t="s">
        <v>9</v>
      </c>
      <c r="K52" s="6">
        <v>145</v>
      </c>
      <c r="L52" s="9">
        <v>105</v>
      </c>
      <c r="M52" s="21">
        <v>105</v>
      </c>
      <c r="N52" s="2">
        <v>37990</v>
      </c>
      <c r="O52" s="2" t="s">
        <v>1053</v>
      </c>
      <c r="P52" s="2" t="s">
        <v>1081</v>
      </c>
      <c r="Q52" s="2" t="s">
        <v>1080</v>
      </c>
      <c r="R52" s="2">
        <v>1758</v>
      </c>
      <c r="S52" s="2"/>
      <c r="T52" s="2">
        <v>173</v>
      </c>
      <c r="U52" s="39">
        <f>IF(I52="N",T52*Supuestos!$B$4,T52*Supuestos!$C$4)*100</f>
        <v>7.4030723863003622</v>
      </c>
      <c r="V52" s="20">
        <f t="shared" si="4"/>
        <v>13.507905202312138</v>
      </c>
      <c r="W52" s="2">
        <f t="shared" si="1"/>
        <v>18165</v>
      </c>
      <c r="X52" s="2">
        <f t="shared" si="2"/>
        <v>777.32260056153802</v>
      </c>
    </row>
    <row r="53" spans="1:24" x14ac:dyDescent="0.25">
      <c r="A53" s="6" t="s">
        <v>46</v>
      </c>
      <c r="B53" s="6" t="s">
        <v>873</v>
      </c>
      <c r="C53" s="6" t="s">
        <v>404</v>
      </c>
      <c r="D53" s="6" t="s">
        <v>72</v>
      </c>
      <c r="E53" s="11" t="str">
        <f t="shared" si="0"/>
        <v>AUTOMOVIL</v>
      </c>
      <c r="F53" s="6" t="s">
        <v>24</v>
      </c>
      <c r="G53" s="11">
        <v>1600</v>
      </c>
      <c r="H53" s="6" t="s">
        <v>1050</v>
      </c>
      <c r="I53" s="6" t="str">
        <f t="shared" si="3"/>
        <v>N</v>
      </c>
      <c r="J53" s="17" t="s">
        <v>9</v>
      </c>
      <c r="K53" s="6">
        <v>118</v>
      </c>
      <c r="L53" s="9">
        <v>102</v>
      </c>
      <c r="M53" s="21">
        <v>102</v>
      </c>
      <c r="N53" s="2">
        <v>27490</v>
      </c>
      <c r="O53" s="2" t="s">
        <v>1053</v>
      </c>
      <c r="P53" s="2" t="s">
        <v>1079</v>
      </c>
      <c r="Q53" s="2" t="s">
        <v>429</v>
      </c>
      <c r="R53" s="2">
        <v>1532</v>
      </c>
      <c r="S53" s="2"/>
      <c r="T53" s="2">
        <v>137</v>
      </c>
      <c r="U53" s="39">
        <f>IF(I53="N",T53*Supuestos!$B$4,T53*Supuestos!$C$4)*100</f>
        <v>5.8625486527349686</v>
      </c>
      <c r="V53" s="20">
        <f t="shared" si="4"/>
        <v>17.057427737226277</v>
      </c>
      <c r="W53" s="2">
        <f t="shared" si="1"/>
        <v>13974</v>
      </c>
      <c r="X53" s="2">
        <f t="shared" si="2"/>
        <v>597.97996257896682</v>
      </c>
    </row>
    <row r="54" spans="1:24" x14ac:dyDescent="0.25">
      <c r="A54" s="6" t="s">
        <v>81</v>
      </c>
      <c r="B54" s="6" t="s">
        <v>628</v>
      </c>
      <c r="C54" s="6" t="s">
        <v>407</v>
      </c>
      <c r="D54" s="6" t="s">
        <v>72</v>
      </c>
      <c r="E54" s="11" t="str">
        <f t="shared" si="0"/>
        <v>AUTOMOVIL</v>
      </c>
      <c r="F54" s="6" t="s">
        <v>21</v>
      </c>
      <c r="G54" s="11">
        <v>1200</v>
      </c>
      <c r="H54" s="6" t="s">
        <v>1050</v>
      </c>
      <c r="I54" s="6" t="str">
        <f t="shared" si="3"/>
        <v>N</v>
      </c>
      <c r="J54" s="17" t="s">
        <v>9</v>
      </c>
      <c r="K54" s="6">
        <v>82</v>
      </c>
      <c r="L54" s="9">
        <v>100</v>
      </c>
      <c r="M54" s="21">
        <v>100</v>
      </c>
      <c r="N54" s="2">
        <v>15990</v>
      </c>
      <c r="O54" s="2" t="s">
        <v>1060</v>
      </c>
      <c r="P54" s="2" t="s">
        <v>1073</v>
      </c>
      <c r="Q54" s="2" t="s">
        <v>424</v>
      </c>
      <c r="R54" s="2">
        <v>1448</v>
      </c>
      <c r="S54" s="2"/>
      <c r="T54" s="2">
        <v>137</v>
      </c>
      <c r="U54" s="39">
        <f>IF(I54="N",T54*Supuestos!$B$4,T54*Supuestos!$C$4)*100</f>
        <v>5.8625486527349686</v>
      </c>
      <c r="V54" s="20">
        <f t="shared" si="4"/>
        <v>17.057427737226277</v>
      </c>
      <c r="W54" s="2">
        <f t="shared" si="1"/>
        <v>13700</v>
      </c>
      <c r="X54" s="2">
        <f t="shared" si="2"/>
        <v>586.25486527349688</v>
      </c>
    </row>
    <row r="55" spans="1:24" x14ac:dyDescent="0.25">
      <c r="A55" s="6" t="s">
        <v>19</v>
      </c>
      <c r="B55" s="6" t="s">
        <v>150</v>
      </c>
      <c r="C55" s="6" t="s">
        <v>403</v>
      </c>
      <c r="D55" s="6" t="s">
        <v>72</v>
      </c>
      <c r="E55" s="11" t="str">
        <f t="shared" si="0"/>
        <v>AUTOMOVIL</v>
      </c>
      <c r="F55" s="6" t="s">
        <v>21</v>
      </c>
      <c r="G55" s="11">
        <v>1200</v>
      </c>
      <c r="H55" s="6" t="s">
        <v>1050</v>
      </c>
      <c r="I55" s="6" t="str">
        <f t="shared" si="3"/>
        <v>N</v>
      </c>
      <c r="J55" s="17" t="s">
        <v>9</v>
      </c>
      <c r="K55" s="6">
        <v>90</v>
      </c>
      <c r="L55" s="9">
        <v>99</v>
      </c>
      <c r="M55" s="21">
        <v>99</v>
      </c>
      <c r="N55" s="2">
        <v>18990</v>
      </c>
      <c r="O55" s="2" t="s">
        <v>1055</v>
      </c>
      <c r="P55" s="2" t="s">
        <v>1056</v>
      </c>
      <c r="Q55" s="2" t="s">
        <v>429</v>
      </c>
      <c r="R55" s="2">
        <v>1489</v>
      </c>
      <c r="S55" s="2"/>
      <c r="T55" s="2">
        <v>140</v>
      </c>
      <c r="U55" s="39">
        <f>IF(I55="N",T55*Supuestos!$B$4,T55*Supuestos!$C$4)*100</f>
        <v>5.9909256305320842</v>
      </c>
      <c r="V55" s="20">
        <f t="shared" si="4"/>
        <v>16.69191142857143</v>
      </c>
      <c r="W55" s="2">
        <f t="shared" si="1"/>
        <v>13860</v>
      </c>
      <c r="X55" s="2">
        <f t="shared" si="2"/>
        <v>593.10163742267628</v>
      </c>
    </row>
    <row r="56" spans="1:24" x14ac:dyDescent="0.25">
      <c r="A56" s="6" t="s">
        <v>53</v>
      </c>
      <c r="B56" s="6" t="s">
        <v>1017</v>
      </c>
      <c r="C56" s="6" t="s">
        <v>407</v>
      </c>
      <c r="D56" s="6" t="s">
        <v>72</v>
      </c>
      <c r="E56" s="11" t="str">
        <f t="shared" si="0"/>
        <v>AUTOMOVIL</v>
      </c>
      <c r="F56" s="6" t="s">
        <v>21</v>
      </c>
      <c r="G56" s="11">
        <v>1000</v>
      </c>
      <c r="H56" s="6" t="s">
        <v>1050</v>
      </c>
      <c r="I56" s="6" t="str">
        <f t="shared" si="3"/>
        <v>N</v>
      </c>
      <c r="J56" s="17" t="s">
        <v>9</v>
      </c>
      <c r="K56" s="6">
        <v>95</v>
      </c>
      <c r="L56" s="9">
        <v>97</v>
      </c>
      <c r="M56" s="21">
        <v>97</v>
      </c>
      <c r="N56" s="2">
        <v>24490</v>
      </c>
      <c r="O56" s="2" t="s">
        <v>1053</v>
      </c>
      <c r="P56" s="2" t="s">
        <v>1082</v>
      </c>
      <c r="Q56" s="2" t="s">
        <v>424</v>
      </c>
      <c r="R56" s="2">
        <v>1570</v>
      </c>
      <c r="S56" s="2"/>
      <c r="T56" s="2">
        <v>155</v>
      </c>
      <c r="U56" s="39">
        <f>IF(I56="N",T56*Supuestos!$B$4,T56*Supuestos!$C$4)*100</f>
        <v>6.6328105195176654</v>
      </c>
      <c r="V56" s="20">
        <f t="shared" si="4"/>
        <v>15.076565161290322</v>
      </c>
      <c r="W56" s="2">
        <f t="shared" si="1"/>
        <v>15035</v>
      </c>
      <c r="X56" s="2">
        <f t="shared" si="2"/>
        <v>643.38262039321353</v>
      </c>
    </row>
    <row r="57" spans="1:24" x14ac:dyDescent="0.25">
      <c r="A57" s="6" t="s">
        <v>34</v>
      </c>
      <c r="B57" s="6" t="s">
        <v>209</v>
      </c>
      <c r="C57" s="6" t="s">
        <v>407</v>
      </c>
      <c r="D57" s="6" t="s">
        <v>72</v>
      </c>
      <c r="E57" s="11" t="str">
        <f t="shared" si="0"/>
        <v>AUTOMOVIL</v>
      </c>
      <c r="F57" s="6" t="s">
        <v>21</v>
      </c>
      <c r="G57" s="11">
        <v>1000</v>
      </c>
      <c r="H57" s="6" t="s">
        <v>1050</v>
      </c>
      <c r="I57" s="6" t="str">
        <f t="shared" si="3"/>
        <v>N</v>
      </c>
      <c r="J57" s="17" t="s">
        <v>9</v>
      </c>
      <c r="K57" s="6">
        <v>80</v>
      </c>
      <c r="L57" s="9">
        <v>91</v>
      </c>
      <c r="M57" s="9">
        <v>91</v>
      </c>
      <c r="N57" s="2">
        <v>15990</v>
      </c>
      <c r="O57" s="2" t="s">
        <v>1053</v>
      </c>
      <c r="P57" s="2" t="s">
        <v>1072</v>
      </c>
      <c r="Q57" s="2" t="s">
        <v>429</v>
      </c>
      <c r="R57" s="2">
        <v>1420</v>
      </c>
      <c r="S57" s="2"/>
      <c r="T57" s="2">
        <v>132</v>
      </c>
      <c r="U57" s="39">
        <f>IF(I57="N",T57*Supuestos!$B$4,T57*Supuestos!$C$4)*100</f>
        <v>5.6485870230731088</v>
      </c>
      <c r="V57" s="20">
        <f t="shared" si="4"/>
        <v>17.703542424242425</v>
      </c>
      <c r="W57" s="2">
        <f t="shared" si="1"/>
        <v>12012</v>
      </c>
      <c r="X57" s="2">
        <f t="shared" si="2"/>
        <v>514.02141909965292</v>
      </c>
    </row>
    <row r="58" spans="1:24" x14ac:dyDescent="0.25">
      <c r="A58" s="6" t="s">
        <v>50</v>
      </c>
      <c r="B58" s="6" t="s">
        <v>330</v>
      </c>
      <c r="C58" s="6" t="s">
        <v>404</v>
      </c>
      <c r="D58" s="6" t="s">
        <v>72</v>
      </c>
      <c r="E58" s="11" t="str">
        <f t="shared" si="0"/>
        <v>AUTOMOVIL</v>
      </c>
      <c r="F58" s="6" t="s">
        <v>35</v>
      </c>
      <c r="G58" s="11">
        <v>1200</v>
      </c>
      <c r="H58" s="6" t="s">
        <v>1050</v>
      </c>
      <c r="I58" s="6" t="str">
        <f t="shared" si="3"/>
        <v>N</v>
      </c>
      <c r="J58" s="17" t="s">
        <v>9</v>
      </c>
      <c r="K58" s="6">
        <v>82</v>
      </c>
      <c r="L58" s="9">
        <v>91</v>
      </c>
      <c r="M58" s="21">
        <v>91</v>
      </c>
      <c r="N58" s="2">
        <v>19990</v>
      </c>
      <c r="O58" s="2" t="s">
        <v>1053</v>
      </c>
      <c r="P58" s="2" t="s">
        <v>1059</v>
      </c>
      <c r="Q58" s="2" t="s">
        <v>428</v>
      </c>
      <c r="R58" s="2">
        <v>1315</v>
      </c>
      <c r="S58" s="2"/>
      <c r="T58" s="2">
        <v>117</v>
      </c>
      <c r="U58" s="39">
        <f>IF(I58="N",T58*Supuestos!$B$4,T58*Supuestos!$C$4)*100</f>
        <v>5.0067021340875284</v>
      </c>
      <c r="V58" s="20">
        <f t="shared" si="4"/>
        <v>19.973227350427351</v>
      </c>
      <c r="W58" s="2">
        <f t="shared" si="1"/>
        <v>10647</v>
      </c>
      <c r="X58" s="2">
        <f t="shared" si="2"/>
        <v>455.60989420196506</v>
      </c>
    </row>
    <row r="59" spans="1:24" x14ac:dyDescent="0.25">
      <c r="A59" s="6" t="s">
        <v>46</v>
      </c>
      <c r="B59" s="6" t="s">
        <v>286</v>
      </c>
      <c r="C59" s="6" t="s">
        <v>404</v>
      </c>
      <c r="D59" s="6" t="s">
        <v>72</v>
      </c>
      <c r="E59" s="11" t="str">
        <f t="shared" si="0"/>
        <v>AUTOMOVIL</v>
      </c>
      <c r="F59" s="6" t="s">
        <v>24</v>
      </c>
      <c r="G59" s="11">
        <v>2000</v>
      </c>
      <c r="H59" s="6" t="s">
        <v>1050</v>
      </c>
      <c r="I59" s="6" t="str">
        <f t="shared" si="3"/>
        <v>N</v>
      </c>
      <c r="J59" s="17" t="s">
        <v>9</v>
      </c>
      <c r="K59" s="6">
        <v>145</v>
      </c>
      <c r="L59" s="9">
        <v>90</v>
      </c>
      <c r="M59" s="21">
        <v>90</v>
      </c>
      <c r="N59" s="2">
        <v>37990</v>
      </c>
      <c r="O59" s="2" t="s">
        <v>1053</v>
      </c>
      <c r="P59" s="2" t="s">
        <v>1081</v>
      </c>
      <c r="Q59" s="2" t="s">
        <v>1080</v>
      </c>
      <c r="R59" s="2">
        <v>1758</v>
      </c>
      <c r="S59" s="2"/>
      <c r="T59" s="2">
        <v>173</v>
      </c>
      <c r="U59" s="39">
        <f>IF(I59="N",T59*Supuestos!$B$4,T59*Supuestos!$C$4)*100</f>
        <v>7.4030723863003622</v>
      </c>
      <c r="V59" s="20">
        <f t="shared" si="4"/>
        <v>13.507905202312138</v>
      </c>
      <c r="W59" s="2">
        <f t="shared" si="1"/>
        <v>15570</v>
      </c>
      <c r="X59" s="2">
        <f t="shared" si="2"/>
        <v>666.27651476703261</v>
      </c>
    </row>
    <row r="60" spans="1:24" x14ac:dyDescent="0.25">
      <c r="A60" s="6" t="s">
        <v>48</v>
      </c>
      <c r="B60" s="6" t="s">
        <v>920</v>
      </c>
      <c r="C60" s="6" t="s">
        <v>407</v>
      </c>
      <c r="D60" s="6" t="s">
        <v>72</v>
      </c>
      <c r="E60" s="11" t="str">
        <f t="shared" si="0"/>
        <v>AUTOMOVIL</v>
      </c>
      <c r="F60" s="6" t="s">
        <v>414</v>
      </c>
      <c r="G60" s="11">
        <v>1000</v>
      </c>
      <c r="H60" s="6" t="s">
        <v>1050</v>
      </c>
      <c r="I60" s="6" t="str">
        <f t="shared" si="3"/>
        <v>N</v>
      </c>
      <c r="J60" s="17" t="s">
        <v>9</v>
      </c>
      <c r="K60" s="6">
        <v>100</v>
      </c>
      <c r="L60" s="9">
        <v>87</v>
      </c>
      <c r="M60" s="21">
        <v>87</v>
      </c>
      <c r="N60" s="2">
        <v>28490</v>
      </c>
      <c r="O60" s="2" t="s">
        <v>1053</v>
      </c>
      <c r="P60" s="2" t="s">
        <v>1090</v>
      </c>
      <c r="Q60" s="2" t="s">
        <v>429</v>
      </c>
      <c r="R60" s="2">
        <v>2500</v>
      </c>
      <c r="S60" s="2"/>
      <c r="T60" s="2">
        <v>132</v>
      </c>
      <c r="U60" s="39">
        <f>IF(I60="N",T60*Supuestos!$B$4,T60*Supuestos!$C$4)*100</f>
        <v>5.6485870230731088</v>
      </c>
      <c r="V60" s="20">
        <f t="shared" si="4"/>
        <v>17.703542424242425</v>
      </c>
      <c r="W60" s="2">
        <f t="shared" si="1"/>
        <v>11484</v>
      </c>
      <c r="X60" s="2">
        <f t="shared" si="2"/>
        <v>491.42707100736044</v>
      </c>
    </row>
    <row r="61" spans="1:24" x14ac:dyDescent="0.25">
      <c r="A61" s="6" t="s">
        <v>52</v>
      </c>
      <c r="B61" s="6" t="s">
        <v>368</v>
      </c>
      <c r="C61" s="6" t="s">
        <v>404</v>
      </c>
      <c r="D61" s="6" t="s">
        <v>72</v>
      </c>
      <c r="E61" s="11" t="str">
        <f t="shared" si="0"/>
        <v>AUTOMOVIL</v>
      </c>
      <c r="F61" s="6" t="s">
        <v>21</v>
      </c>
      <c r="G61" s="11">
        <v>1800</v>
      </c>
      <c r="H61" s="6" t="s">
        <v>1050</v>
      </c>
      <c r="I61" s="6" t="str">
        <f t="shared" si="3"/>
        <v>N</v>
      </c>
      <c r="J61" s="17" t="s">
        <v>421</v>
      </c>
      <c r="K61" s="6">
        <v>122</v>
      </c>
      <c r="L61" s="9">
        <v>87</v>
      </c>
      <c r="M61" s="21">
        <v>87</v>
      </c>
      <c r="N61" s="2">
        <v>39990</v>
      </c>
      <c r="O61" s="2" t="s">
        <v>1060</v>
      </c>
      <c r="P61" s="2" t="s">
        <v>1092</v>
      </c>
      <c r="Q61" s="2" t="s">
        <v>424</v>
      </c>
      <c r="R61" s="2">
        <v>1825</v>
      </c>
      <c r="S61" s="2"/>
      <c r="T61" s="2">
        <v>101</v>
      </c>
      <c r="U61" s="39">
        <f>IF(I61="N",T61*Supuestos!$B$4,T61*Supuestos!$C$4)*100</f>
        <v>4.3220249191695759</v>
      </c>
      <c r="V61" s="20">
        <f t="shared" si="4"/>
        <v>23.137302970297029</v>
      </c>
      <c r="W61" s="2">
        <f t="shared" si="1"/>
        <v>8787</v>
      </c>
      <c r="X61" s="2">
        <f t="shared" si="2"/>
        <v>376.01616796775312</v>
      </c>
    </row>
    <row r="62" spans="1:24" x14ac:dyDescent="0.25">
      <c r="A62" s="6" t="s">
        <v>46</v>
      </c>
      <c r="B62" s="6" t="s">
        <v>875</v>
      </c>
      <c r="C62" s="6" t="s">
        <v>404</v>
      </c>
      <c r="D62" s="6" t="s">
        <v>72</v>
      </c>
      <c r="E62" s="11" t="str">
        <f t="shared" si="0"/>
        <v>AUTOMOVIL</v>
      </c>
      <c r="F62" s="6" t="s">
        <v>24</v>
      </c>
      <c r="G62" s="11">
        <v>1600</v>
      </c>
      <c r="H62" s="6" t="s">
        <v>1050</v>
      </c>
      <c r="I62" s="6" t="str">
        <f t="shared" si="3"/>
        <v>N</v>
      </c>
      <c r="J62" s="17" t="s">
        <v>9</v>
      </c>
      <c r="K62" s="6">
        <v>118</v>
      </c>
      <c r="L62" s="9">
        <v>85</v>
      </c>
      <c r="M62" s="21">
        <v>85</v>
      </c>
      <c r="N62" s="2">
        <v>28490</v>
      </c>
      <c r="O62" s="2" t="s">
        <v>1053</v>
      </c>
      <c r="P62" s="2" t="s">
        <v>1079</v>
      </c>
      <c r="Q62" s="2" t="s">
        <v>429</v>
      </c>
      <c r="R62" s="2">
        <v>1644</v>
      </c>
      <c r="S62" s="2"/>
      <c r="T62" s="2">
        <v>135</v>
      </c>
      <c r="U62" s="39">
        <f>IF(I62="N",T62*Supuestos!$B$4,T62*Supuestos!$C$4)*100</f>
        <v>5.7769640008702243</v>
      </c>
      <c r="V62" s="20">
        <f t="shared" si="4"/>
        <v>17.31013037037037</v>
      </c>
      <c r="W62" s="2">
        <f t="shared" si="1"/>
        <v>11475</v>
      </c>
      <c r="X62" s="2">
        <f t="shared" si="2"/>
        <v>491.04194007396904</v>
      </c>
    </row>
    <row r="63" spans="1:24" x14ac:dyDescent="0.25">
      <c r="A63" s="6" t="s">
        <v>62</v>
      </c>
      <c r="B63" s="6" t="s">
        <v>308</v>
      </c>
      <c r="C63" s="6" t="s">
        <v>407</v>
      </c>
      <c r="D63" s="6" t="s">
        <v>72</v>
      </c>
      <c r="E63" s="11" t="str">
        <f t="shared" si="0"/>
        <v>AUTOMOVIL</v>
      </c>
      <c r="F63" s="6" t="s">
        <v>23</v>
      </c>
      <c r="G63" s="11">
        <v>1600</v>
      </c>
      <c r="H63" s="6" t="s">
        <v>1050</v>
      </c>
      <c r="I63" s="6" t="str">
        <f t="shared" si="3"/>
        <v>N</v>
      </c>
      <c r="J63" s="17" t="s">
        <v>9</v>
      </c>
      <c r="K63" s="6">
        <v>115</v>
      </c>
      <c r="L63" s="9">
        <v>85</v>
      </c>
      <c r="M63" s="21">
        <v>85</v>
      </c>
      <c r="N63" s="2">
        <v>28490</v>
      </c>
      <c r="O63" s="2" t="s">
        <v>1053</v>
      </c>
      <c r="P63" s="2" t="s">
        <v>1069</v>
      </c>
      <c r="Q63" s="2" t="s">
        <v>422</v>
      </c>
      <c r="R63" s="22">
        <v>1550</v>
      </c>
      <c r="S63" s="22"/>
      <c r="T63" s="2">
        <v>169</v>
      </c>
      <c r="U63" s="39">
        <f>IF(I63="N",T63*Supuestos!$B$4,T63*Supuestos!$C$4)*100</f>
        <v>7.2319030825708746</v>
      </c>
      <c r="V63" s="20">
        <f t="shared" si="4"/>
        <v>13.827618934911241</v>
      </c>
      <c r="W63" s="2">
        <f t="shared" si="1"/>
        <v>14365</v>
      </c>
      <c r="X63" s="2">
        <f t="shared" si="2"/>
        <v>614.71176201852438</v>
      </c>
    </row>
    <row r="64" spans="1:24" x14ac:dyDescent="0.25">
      <c r="A64" s="6" t="s">
        <v>44</v>
      </c>
      <c r="B64" s="6" t="s">
        <v>861</v>
      </c>
      <c r="C64" s="6" t="s">
        <v>407</v>
      </c>
      <c r="D64" s="6" t="s">
        <v>72</v>
      </c>
      <c r="E64" s="11" t="str">
        <f t="shared" si="0"/>
        <v>AUTOMOVIL</v>
      </c>
      <c r="F64" s="6" t="s">
        <v>25</v>
      </c>
      <c r="G64" s="11">
        <v>1200</v>
      </c>
      <c r="H64" s="6" t="s">
        <v>1050</v>
      </c>
      <c r="I64" s="6" t="str">
        <f t="shared" si="3"/>
        <v>N</v>
      </c>
      <c r="J64" s="17" t="s">
        <v>9</v>
      </c>
      <c r="K64" s="6">
        <v>76</v>
      </c>
      <c r="L64" s="9">
        <v>81</v>
      </c>
      <c r="M64" s="21">
        <v>81</v>
      </c>
      <c r="N64" s="2">
        <v>21990</v>
      </c>
      <c r="O64" s="2" t="s">
        <v>1060</v>
      </c>
      <c r="P64" s="2" t="s">
        <v>1097</v>
      </c>
      <c r="Q64" s="2" t="s">
        <v>424</v>
      </c>
      <c r="R64" s="2">
        <v>1280</v>
      </c>
      <c r="S64" s="2"/>
      <c r="T64" s="2">
        <v>115</v>
      </c>
      <c r="U64" s="39">
        <f>IF(I64="N",T64*Supuestos!$B$4,T64*Supuestos!$C$4)*100</f>
        <v>4.9211174822227841</v>
      </c>
      <c r="V64" s="20">
        <f t="shared" si="4"/>
        <v>20.320587826086957</v>
      </c>
      <c r="W64" s="2">
        <f t="shared" si="1"/>
        <v>9315</v>
      </c>
      <c r="X64" s="2">
        <f t="shared" si="2"/>
        <v>398.61051606004554</v>
      </c>
    </row>
    <row r="65" spans="1:24" x14ac:dyDescent="0.25">
      <c r="A65" s="6" t="s">
        <v>48</v>
      </c>
      <c r="B65" s="6" t="s">
        <v>943</v>
      </c>
      <c r="C65" s="6" t="s">
        <v>407</v>
      </c>
      <c r="D65" s="6" t="s">
        <v>72</v>
      </c>
      <c r="E65" s="11" t="str">
        <f t="shared" si="0"/>
        <v>AUTOMOVIL</v>
      </c>
      <c r="F65" s="6" t="s">
        <v>21</v>
      </c>
      <c r="G65" s="11">
        <v>1000</v>
      </c>
      <c r="H65" s="6" t="s">
        <v>1050</v>
      </c>
      <c r="I65" s="6" t="str">
        <f t="shared" si="3"/>
        <v>N</v>
      </c>
      <c r="J65" s="17" t="s">
        <v>9</v>
      </c>
      <c r="K65" s="6">
        <v>79</v>
      </c>
      <c r="L65" s="9">
        <v>65</v>
      </c>
      <c r="M65" s="21">
        <v>65</v>
      </c>
      <c r="N65" s="2">
        <v>17490</v>
      </c>
      <c r="O65" s="2" t="s">
        <v>1060</v>
      </c>
      <c r="P65" s="2" t="s">
        <v>427</v>
      </c>
      <c r="Q65" s="2" t="s">
        <v>429</v>
      </c>
      <c r="R65" s="2">
        <v>1163</v>
      </c>
      <c r="S65" s="2"/>
      <c r="T65" s="2">
        <v>129</v>
      </c>
      <c r="U65" s="39">
        <f>IF(I65="N",T65*Supuestos!$B$4,T65*Supuestos!$C$4)*100</f>
        <v>5.5202100452759923</v>
      </c>
      <c r="V65" s="20">
        <f t="shared" si="4"/>
        <v>18.115252713178297</v>
      </c>
      <c r="W65" s="2">
        <f t="shared" si="1"/>
        <v>8385</v>
      </c>
      <c r="X65" s="2">
        <f t="shared" si="2"/>
        <v>358.81365294293948</v>
      </c>
    </row>
    <row r="66" spans="1:24" x14ac:dyDescent="0.25">
      <c r="A66" s="6" t="s">
        <v>48</v>
      </c>
      <c r="B66" s="6" t="s">
        <v>944</v>
      </c>
      <c r="C66" s="6" t="s">
        <v>407</v>
      </c>
      <c r="D66" s="6" t="s">
        <v>72</v>
      </c>
      <c r="E66" s="11" t="str">
        <f t="shared" ref="E66:E129" si="5">IF(D66="COMERCIAL","UTILITARIO",IF(C66="SUV Y CROSSOVER","SUV","AUTOMOVIL"))</f>
        <v>AUTOMOVIL</v>
      </c>
      <c r="F66" s="6" t="s">
        <v>21</v>
      </c>
      <c r="G66" s="11">
        <v>1000</v>
      </c>
      <c r="H66" s="6" t="s">
        <v>1050</v>
      </c>
      <c r="I66" s="6" t="str">
        <f t="shared" ref="I66:I129" si="6">IF(H66="NAFTA","N",IF(H66="DIESEL","D",IF(H66="ELÉCTRICO","E","")))</f>
        <v>N</v>
      </c>
      <c r="J66" s="17" t="s">
        <v>9</v>
      </c>
      <c r="K66" s="6">
        <v>79</v>
      </c>
      <c r="L66" s="9">
        <v>64</v>
      </c>
      <c r="M66" s="21">
        <v>64</v>
      </c>
      <c r="N66" s="2">
        <v>17990</v>
      </c>
      <c r="O66" s="2" t="s">
        <v>1060</v>
      </c>
      <c r="P66" s="2" t="s">
        <v>427</v>
      </c>
      <c r="Q66" s="2" t="s">
        <v>429</v>
      </c>
      <c r="R66" s="2">
        <v>1163</v>
      </c>
      <c r="S66" s="2"/>
      <c r="T66" s="2">
        <v>129</v>
      </c>
      <c r="U66" s="39">
        <f>IF(I66="N",T66*Supuestos!$B$4,T66*Supuestos!$C$4)*100</f>
        <v>5.5202100452759923</v>
      </c>
      <c r="V66" s="20">
        <f t="shared" si="4"/>
        <v>18.115252713178297</v>
      </c>
      <c r="W66" s="2">
        <f t="shared" ref="W66:W129" si="7">T66*M66</f>
        <v>8256</v>
      </c>
      <c r="X66" s="2">
        <f t="shared" ref="X66:X129" si="8">+U66*M66</f>
        <v>353.29344289766351</v>
      </c>
    </row>
    <row r="67" spans="1:24" x14ac:dyDescent="0.25">
      <c r="A67" s="6" t="s">
        <v>48</v>
      </c>
      <c r="B67" s="6" t="s">
        <v>929</v>
      </c>
      <c r="C67" s="6" t="s">
        <v>403</v>
      </c>
      <c r="D67" s="6" t="s">
        <v>72</v>
      </c>
      <c r="E67" s="11" t="str">
        <f t="shared" si="5"/>
        <v>AUTOMOVIL</v>
      </c>
      <c r="F67" s="6"/>
      <c r="G67" s="11">
        <v>1600</v>
      </c>
      <c r="H67" s="6" t="s">
        <v>1050</v>
      </c>
      <c r="I67" s="6" t="str">
        <f t="shared" si="6"/>
        <v>N</v>
      </c>
      <c r="J67" s="17" t="s">
        <v>9</v>
      </c>
      <c r="K67" s="6"/>
      <c r="L67" s="9">
        <v>63</v>
      </c>
      <c r="M67" s="21">
        <v>63</v>
      </c>
      <c r="N67" s="2">
        <v>23330</v>
      </c>
      <c r="O67" s="2" t="s">
        <v>1055</v>
      </c>
      <c r="P67" s="2" t="s">
        <v>1091</v>
      </c>
      <c r="Q67" s="2"/>
      <c r="R67" s="2">
        <v>1531</v>
      </c>
      <c r="S67" s="2"/>
      <c r="T67" s="2">
        <v>167.09</v>
      </c>
      <c r="U67" s="39">
        <f>IF(I67="N",T67*Supuestos!$B$4,T67*Supuestos!$C$4)*100</f>
        <v>7.1501697400400435</v>
      </c>
      <c r="V67" s="20">
        <f t="shared" ref="V67:V130" si="9">IF(U67&gt;0,100/U67,0)</f>
        <v>13.985681967801783</v>
      </c>
      <c r="W67" s="2">
        <f t="shared" si="7"/>
        <v>10526.67</v>
      </c>
      <c r="X67" s="2">
        <f t="shared" si="8"/>
        <v>450.46069362252274</v>
      </c>
    </row>
    <row r="68" spans="1:24" x14ac:dyDescent="0.25">
      <c r="A68" s="6" t="s">
        <v>19</v>
      </c>
      <c r="B68" s="6" t="s">
        <v>604</v>
      </c>
      <c r="C68" s="6" t="s">
        <v>404</v>
      </c>
      <c r="D68" s="6" t="s">
        <v>72</v>
      </c>
      <c r="E68" s="11" t="str">
        <f t="shared" si="5"/>
        <v>AUTOMOVIL</v>
      </c>
      <c r="F68" s="6" t="s">
        <v>23</v>
      </c>
      <c r="G68" s="11">
        <v>1400</v>
      </c>
      <c r="H68" s="6" t="s">
        <v>1050</v>
      </c>
      <c r="I68" s="6" t="str">
        <f t="shared" si="6"/>
        <v>N</v>
      </c>
      <c r="J68" s="17" t="s">
        <v>9</v>
      </c>
      <c r="K68" s="6">
        <v>153</v>
      </c>
      <c r="L68" s="9">
        <v>61</v>
      </c>
      <c r="M68" s="21">
        <v>61</v>
      </c>
      <c r="N68" s="2">
        <v>31990</v>
      </c>
      <c r="O68" s="2" t="s">
        <v>1055</v>
      </c>
      <c r="P68" s="2" t="s">
        <v>1098</v>
      </c>
      <c r="Q68" s="2" t="s">
        <v>429</v>
      </c>
      <c r="R68" s="2">
        <v>1804</v>
      </c>
      <c r="S68" s="2"/>
      <c r="T68" s="2">
        <v>156.1</v>
      </c>
      <c r="U68" s="39">
        <f>IF(I68="N",T68*Supuestos!$B$4,T68*Supuestos!$C$4)*100</f>
        <v>6.6798820780432742</v>
      </c>
      <c r="V68" s="20">
        <f t="shared" si="9"/>
        <v>14.970324151185139</v>
      </c>
      <c r="W68" s="2">
        <f t="shared" si="7"/>
        <v>9522.1</v>
      </c>
      <c r="X68" s="2">
        <f t="shared" si="8"/>
        <v>407.47280676063974</v>
      </c>
    </row>
    <row r="69" spans="1:24" x14ac:dyDescent="0.25">
      <c r="A69" s="6" t="s">
        <v>50</v>
      </c>
      <c r="B69" s="6" t="s">
        <v>331</v>
      </c>
      <c r="C69" s="6" t="s">
        <v>404</v>
      </c>
      <c r="D69" s="6" t="s">
        <v>72</v>
      </c>
      <c r="E69" s="11" t="str">
        <f t="shared" si="5"/>
        <v>AUTOMOVIL</v>
      </c>
      <c r="F69" s="6" t="s">
        <v>35</v>
      </c>
      <c r="G69" s="11">
        <v>1200</v>
      </c>
      <c r="H69" s="6" t="s">
        <v>1050</v>
      </c>
      <c r="I69" s="6" t="str">
        <f t="shared" si="6"/>
        <v>N</v>
      </c>
      <c r="J69" s="17" t="s">
        <v>9</v>
      </c>
      <c r="K69" s="6">
        <v>82</v>
      </c>
      <c r="L69" s="9">
        <v>60</v>
      </c>
      <c r="M69" s="21">
        <v>60</v>
      </c>
      <c r="N69" s="2">
        <v>19990</v>
      </c>
      <c r="O69" s="2" t="s">
        <v>1053</v>
      </c>
      <c r="P69" s="2" t="s">
        <v>1059</v>
      </c>
      <c r="Q69" s="2" t="s">
        <v>428</v>
      </c>
      <c r="R69" s="2">
        <v>1315</v>
      </c>
      <c r="S69" s="2"/>
      <c r="T69" s="2">
        <v>117</v>
      </c>
      <c r="U69" s="39">
        <f>IF(I69="N",T69*Supuestos!$B$4,T69*Supuestos!$C$4)*100</f>
        <v>5.0067021340875284</v>
      </c>
      <c r="V69" s="20">
        <f t="shared" si="9"/>
        <v>19.973227350427351</v>
      </c>
      <c r="W69" s="2">
        <f t="shared" si="7"/>
        <v>7020</v>
      </c>
      <c r="X69" s="2">
        <f t="shared" si="8"/>
        <v>300.40212804525169</v>
      </c>
    </row>
    <row r="70" spans="1:24" x14ac:dyDescent="0.25">
      <c r="A70" s="6" t="s">
        <v>46</v>
      </c>
      <c r="B70" s="6" t="s">
        <v>877</v>
      </c>
      <c r="C70" s="6" t="s">
        <v>404</v>
      </c>
      <c r="D70" s="6" t="s">
        <v>72</v>
      </c>
      <c r="E70" s="11" t="str">
        <f t="shared" si="5"/>
        <v>AUTOMOVIL</v>
      </c>
      <c r="F70" s="6" t="s">
        <v>24</v>
      </c>
      <c r="G70" s="11">
        <v>1600</v>
      </c>
      <c r="H70" s="6" t="s">
        <v>1050</v>
      </c>
      <c r="I70" s="6" t="str">
        <f t="shared" si="6"/>
        <v>N</v>
      </c>
      <c r="J70" s="17" t="s">
        <v>9</v>
      </c>
      <c r="K70" s="6">
        <v>118</v>
      </c>
      <c r="L70" s="9">
        <v>59</v>
      </c>
      <c r="M70" s="21">
        <v>59</v>
      </c>
      <c r="N70" s="2">
        <v>29490</v>
      </c>
      <c r="O70" s="2" t="s">
        <v>1053</v>
      </c>
      <c r="P70" s="2" t="s">
        <v>1079</v>
      </c>
      <c r="Q70" s="2" t="s">
        <v>429</v>
      </c>
      <c r="R70" s="2">
        <v>1644</v>
      </c>
      <c r="S70" s="2"/>
      <c r="T70" s="2">
        <v>135</v>
      </c>
      <c r="U70" s="39">
        <f>IF(I70="N",T70*Supuestos!$B$4,T70*Supuestos!$C$4)*100</f>
        <v>5.7769640008702243</v>
      </c>
      <c r="V70" s="20">
        <f t="shared" si="9"/>
        <v>17.31013037037037</v>
      </c>
      <c r="W70" s="2">
        <f t="shared" si="7"/>
        <v>7965</v>
      </c>
      <c r="X70" s="2">
        <f t="shared" si="8"/>
        <v>340.84087605134323</v>
      </c>
    </row>
    <row r="71" spans="1:24" x14ac:dyDescent="0.25">
      <c r="A71" s="6" t="s">
        <v>484</v>
      </c>
      <c r="B71" s="6" t="s">
        <v>1043</v>
      </c>
      <c r="C71" s="6" t="s">
        <v>411</v>
      </c>
      <c r="D71" s="6" t="s">
        <v>72</v>
      </c>
      <c r="E71" s="11" t="str">
        <f t="shared" si="5"/>
        <v>AUTOMOVIL</v>
      </c>
      <c r="F71" s="6" t="s">
        <v>14</v>
      </c>
      <c r="G71" s="11"/>
      <c r="H71" s="6" t="s">
        <v>1051</v>
      </c>
      <c r="I71" s="6" t="str">
        <f t="shared" si="6"/>
        <v>E</v>
      </c>
      <c r="J71" s="17" t="s">
        <v>418</v>
      </c>
      <c r="K71" s="6">
        <v>20</v>
      </c>
      <c r="L71" s="9">
        <v>57</v>
      </c>
      <c r="M71" s="21">
        <v>57</v>
      </c>
      <c r="N71" s="2">
        <v>18750</v>
      </c>
      <c r="O71" s="2" t="s">
        <v>1341</v>
      </c>
      <c r="P71" s="2"/>
      <c r="Q71" s="2"/>
      <c r="R71" s="2"/>
      <c r="S71" s="2">
        <v>8.4</v>
      </c>
      <c r="T71" s="2"/>
      <c r="U71" s="39">
        <f>IF(I71="N",T71*Supuestos!$B$4,T71*Supuestos!$C$4)*100</f>
        <v>0</v>
      </c>
      <c r="V71" s="20">
        <f t="shared" si="9"/>
        <v>0</v>
      </c>
      <c r="W71" s="2">
        <f t="shared" si="7"/>
        <v>0</v>
      </c>
      <c r="X71" s="2">
        <f t="shared" si="8"/>
        <v>0</v>
      </c>
    </row>
    <row r="72" spans="1:24" x14ac:dyDescent="0.25">
      <c r="A72" s="6" t="s">
        <v>34</v>
      </c>
      <c r="B72" s="6" t="s">
        <v>728</v>
      </c>
      <c r="C72" s="6" t="s">
        <v>407</v>
      </c>
      <c r="D72" s="6" t="s">
        <v>72</v>
      </c>
      <c r="E72" s="11" t="str">
        <f t="shared" si="5"/>
        <v>AUTOMOVIL</v>
      </c>
      <c r="F72" s="6" t="s">
        <v>21</v>
      </c>
      <c r="G72" s="11">
        <v>1600</v>
      </c>
      <c r="H72" s="6" t="s">
        <v>1050</v>
      </c>
      <c r="I72" s="6" t="str">
        <f t="shared" si="6"/>
        <v>N</v>
      </c>
      <c r="J72" s="17" t="s">
        <v>9</v>
      </c>
      <c r="K72" s="6">
        <v>123</v>
      </c>
      <c r="L72" s="9">
        <v>56</v>
      </c>
      <c r="M72" s="9">
        <v>56</v>
      </c>
      <c r="N72" s="2">
        <v>24990</v>
      </c>
      <c r="O72" s="2" t="s">
        <v>1053</v>
      </c>
      <c r="P72" s="2" t="s">
        <v>1072</v>
      </c>
      <c r="Q72" s="2" t="s">
        <v>429</v>
      </c>
      <c r="R72" s="2">
        <v>1420</v>
      </c>
      <c r="S72" s="2"/>
      <c r="T72" s="2">
        <v>132</v>
      </c>
      <c r="U72" s="39">
        <f>IF(I72="N",T72*Supuestos!$B$4,T72*Supuestos!$C$4)*100</f>
        <v>5.6485870230731088</v>
      </c>
      <c r="V72" s="20">
        <f t="shared" si="9"/>
        <v>17.703542424242425</v>
      </c>
      <c r="W72" s="2">
        <f t="shared" si="7"/>
        <v>7392</v>
      </c>
      <c r="X72" s="2">
        <f t="shared" si="8"/>
        <v>316.32087329209412</v>
      </c>
    </row>
    <row r="73" spans="1:24" x14ac:dyDescent="0.25">
      <c r="A73" s="6" t="s">
        <v>52</v>
      </c>
      <c r="B73" s="6" t="s">
        <v>992</v>
      </c>
      <c r="C73" s="6" t="s">
        <v>403</v>
      </c>
      <c r="D73" s="6" t="s">
        <v>72</v>
      </c>
      <c r="E73" s="11" t="str">
        <f t="shared" si="5"/>
        <v>AUTOMOVIL</v>
      </c>
      <c r="F73" s="6" t="s">
        <v>21</v>
      </c>
      <c r="G73" s="11">
        <v>1500</v>
      </c>
      <c r="H73" s="6" t="s">
        <v>1050</v>
      </c>
      <c r="I73" s="6" t="str">
        <f t="shared" si="6"/>
        <v>N</v>
      </c>
      <c r="J73" s="17" t="s">
        <v>9</v>
      </c>
      <c r="K73" s="6">
        <v>107</v>
      </c>
      <c r="L73" s="9">
        <v>56</v>
      </c>
      <c r="M73" s="21">
        <v>56</v>
      </c>
      <c r="N73" s="2">
        <v>27490</v>
      </c>
      <c r="O73" s="2" t="s">
        <v>1053</v>
      </c>
      <c r="P73" s="2" t="s">
        <v>1096</v>
      </c>
      <c r="Q73" s="2" t="s">
        <v>429</v>
      </c>
      <c r="R73" s="2">
        <v>1550</v>
      </c>
      <c r="S73" s="2"/>
      <c r="T73" s="2">
        <v>137</v>
      </c>
      <c r="U73" s="39">
        <f>IF(I73="N",T73*Supuestos!$B$4,T73*Supuestos!$C$4)*100</f>
        <v>5.8625486527349686</v>
      </c>
      <c r="V73" s="20">
        <f t="shared" si="9"/>
        <v>17.057427737226277</v>
      </c>
      <c r="W73" s="2">
        <f t="shared" si="7"/>
        <v>7672</v>
      </c>
      <c r="X73" s="2">
        <f t="shared" si="8"/>
        <v>328.30272455315821</v>
      </c>
    </row>
    <row r="74" spans="1:24" x14ac:dyDescent="0.25">
      <c r="A74" s="6" t="s">
        <v>87</v>
      </c>
      <c r="B74" s="6" t="s">
        <v>794</v>
      </c>
      <c r="C74" s="6" t="s">
        <v>411</v>
      </c>
      <c r="D74" s="6" t="s">
        <v>72</v>
      </c>
      <c r="E74" s="11" t="str">
        <f t="shared" si="5"/>
        <v>AUTOMOVIL</v>
      </c>
      <c r="F74" s="6" t="s">
        <v>14</v>
      </c>
      <c r="G74" s="11"/>
      <c r="H74" s="6" t="s">
        <v>1051</v>
      </c>
      <c r="I74" s="6" t="str">
        <f t="shared" si="6"/>
        <v>E</v>
      </c>
      <c r="J74" s="17" t="s">
        <v>418</v>
      </c>
      <c r="K74" s="6">
        <v>3</v>
      </c>
      <c r="L74" s="9">
        <v>55</v>
      </c>
      <c r="M74" s="21">
        <v>55</v>
      </c>
      <c r="N74" s="2">
        <v>7980</v>
      </c>
      <c r="O74" s="2" t="s">
        <v>1341</v>
      </c>
      <c r="P74" s="2"/>
      <c r="Q74" s="2"/>
      <c r="R74" s="2"/>
      <c r="S74" s="2">
        <v>8.4</v>
      </c>
      <c r="T74" s="2"/>
      <c r="U74" s="39">
        <f>IF(I74="N",T74*Supuestos!$B$4,T74*Supuestos!$C$4)*100</f>
        <v>0</v>
      </c>
      <c r="V74" s="20">
        <f t="shared" si="9"/>
        <v>0</v>
      </c>
      <c r="W74" s="2">
        <f t="shared" si="7"/>
        <v>0</v>
      </c>
      <c r="X74" s="2">
        <f t="shared" si="8"/>
        <v>0</v>
      </c>
    </row>
    <row r="75" spans="1:24" x14ac:dyDescent="0.25">
      <c r="A75" s="6" t="s">
        <v>53</v>
      </c>
      <c r="B75" s="6" t="s">
        <v>1019</v>
      </c>
      <c r="C75" s="6" t="s">
        <v>407</v>
      </c>
      <c r="D75" s="6" t="s">
        <v>72</v>
      </c>
      <c r="E75" s="11" t="str">
        <f t="shared" si="5"/>
        <v>AUTOMOVIL</v>
      </c>
      <c r="F75" s="6"/>
      <c r="G75" s="11">
        <v>1400</v>
      </c>
      <c r="H75" s="6" t="s">
        <v>1050</v>
      </c>
      <c r="I75" s="6" t="str">
        <f t="shared" si="6"/>
        <v>N</v>
      </c>
      <c r="J75" s="17" t="s">
        <v>9</v>
      </c>
      <c r="K75" s="6">
        <v>150</v>
      </c>
      <c r="L75" s="9">
        <v>55</v>
      </c>
      <c r="M75" s="21">
        <v>55</v>
      </c>
      <c r="N75" s="2">
        <v>33990</v>
      </c>
      <c r="O75" s="2" t="s">
        <v>1053</v>
      </c>
      <c r="P75" s="2" t="s">
        <v>1083</v>
      </c>
      <c r="Q75" s="2" t="s">
        <v>424</v>
      </c>
      <c r="R75" s="2">
        <v>1640</v>
      </c>
      <c r="S75" s="2"/>
      <c r="T75" s="2">
        <v>146</v>
      </c>
      <c r="U75" s="39">
        <f>IF(I75="N",T75*Supuestos!$B$4,T75*Supuestos!$C$4)*100</f>
        <v>6.247679586126317</v>
      </c>
      <c r="V75" s="20">
        <f t="shared" si="9"/>
        <v>16.005942465753424</v>
      </c>
      <c r="W75" s="2">
        <f t="shared" si="7"/>
        <v>8030</v>
      </c>
      <c r="X75" s="2">
        <f t="shared" si="8"/>
        <v>343.62237723694744</v>
      </c>
    </row>
    <row r="76" spans="1:24" x14ac:dyDescent="0.25">
      <c r="A76" s="6" t="s">
        <v>52</v>
      </c>
      <c r="B76" s="6" t="s">
        <v>996</v>
      </c>
      <c r="C76" s="6" t="s">
        <v>403</v>
      </c>
      <c r="D76" s="6" t="s">
        <v>72</v>
      </c>
      <c r="E76" s="11" t="str">
        <f t="shared" si="5"/>
        <v>AUTOMOVIL</v>
      </c>
      <c r="F76" s="6" t="s">
        <v>21</v>
      </c>
      <c r="G76" s="11">
        <v>1500</v>
      </c>
      <c r="H76" s="6" t="s">
        <v>1050</v>
      </c>
      <c r="I76" s="6" t="str">
        <f t="shared" si="6"/>
        <v>N</v>
      </c>
      <c r="J76" s="17" t="s">
        <v>9</v>
      </c>
      <c r="K76" s="6">
        <v>107</v>
      </c>
      <c r="L76" s="9">
        <v>54</v>
      </c>
      <c r="M76" s="21">
        <v>54</v>
      </c>
      <c r="N76" s="2">
        <v>22990</v>
      </c>
      <c r="O76" s="2" t="s">
        <v>1053</v>
      </c>
      <c r="P76" s="2" t="s">
        <v>1096</v>
      </c>
      <c r="Q76" s="2" t="s">
        <v>429</v>
      </c>
      <c r="R76" s="2">
        <v>1550</v>
      </c>
      <c r="S76" s="2"/>
      <c r="T76" s="2">
        <v>144</v>
      </c>
      <c r="U76" s="39">
        <f>IF(I76="N",T76*Supuestos!$B$4,T76*Supuestos!$C$4)*100</f>
        <v>6.1620949342615727</v>
      </c>
      <c r="V76" s="20">
        <f t="shared" si="9"/>
        <v>16.228247222222222</v>
      </c>
      <c r="W76" s="2">
        <f t="shared" si="7"/>
        <v>7776</v>
      </c>
      <c r="X76" s="2">
        <f t="shared" si="8"/>
        <v>332.75312645012491</v>
      </c>
    </row>
    <row r="77" spans="1:24" x14ac:dyDescent="0.25">
      <c r="A77" s="6" t="s">
        <v>52</v>
      </c>
      <c r="B77" s="6" t="s">
        <v>369</v>
      </c>
      <c r="C77" s="6" t="s">
        <v>404</v>
      </c>
      <c r="D77" s="6" t="s">
        <v>72</v>
      </c>
      <c r="E77" s="11" t="str">
        <f t="shared" si="5"/>
        <v>AUTOMOVIL</v>
      </c>
      <c r="F77" s="6" t="s">
        <v>21</v>
      </c>
      <c r="G77" s="11">
        <v>1800</v>
      </c>
      <c r="H77" s="6" t="s">
        <v>1050</v>
      </c>
      <c r="I77" s="6" t="str">
        <f t="shared" si="6"/>
        <v>N</v>
      </c>
      <c r="J77" s="17" t="s">
        <v>421</v>
      </c>
      <c r="K77" s="6">
        <v>122</v>
      </c>
      <c r="L77" s="9">
        <v>54</v>
      </c>
      <c r="M77" s="21">
        <v>54</v>
      </c>
      <c r="N77" s="2">
        <v>35990</v>
      </c>
      <c r="O77" s="2" t="s">
        <v>1060</v>
      </c>
      <c r="P77" s="2" t="s">
        <v>1092</v>
      </c>
      <c r="Q77" s="2" t="s">
        <v>424</v>
      </c>
      <c r="R77" s="2">
        <v>1825</v>
      </c>
      <c r="S77" s="2"/>
      <c r="T77" s="2">
        <v>101</v>
      </c>
      <c r="U77" s="39">
        <f>IF(I77="N",T77*Supuestos!$B$4,T77*Supuestos!$C$4)*100</f>
        <v>4.3220249191695759</v>
      </c>
      <c r="V77" s="20">
        <f t="shared" si="9"/>
        <v>23.137302970297029</v>
      </c>
      <c r="W77" s="2">
        <f t="shared" si="7"/>
        <v>5454</v>
      </c>
      <c r="X77" s="2">
        <f t="shared" si="8"/>
        <v>233.3893456351571</v>
      </c>
    </row>
    <row r="78" spans="1:24" x14ac:dyDescent="0.25">
      <c r="A78" s="6" t="s">
        <v>52</v>
      </c>
      <c r="B78" s="6" t="s">
        <v>994</v>
      </c>
      <c r="C78" s="6" t="s">
        <v>403</v>
      </c>
      <c r="D78" s="6" t="s">
        <v>72</v>
      </c>
      <c r="E78" s="11" t="str">
        <f t="shared" si="5"/>
        <v>AUTOMOVIL</v>
      </c>
      <c r="F78" s="6" t="s">
        <v>21</v>
      </c>
      <c r="G78" s="11">
        <v>1500</v>
      </c>
      <c r="H78" s="6" t="s">
        <v>1050</v>
      </c>
      <c r="I78" s="6" t="str">
        <f t="shared" si="6"/>
        <v>N</v>
      </c>
      <c r="J78" s="17" t="s">
        <v>9</v>
      </c>
      <c r="K78" s="6">
        <v>107</v>
      </c>
      <c r="L78" s="9">
        <v>53</v>
      </c>
      <c r="M78" s="21">
        <v>53</v>
      </c>
      <c r="N78" s="2">
        <v>26990</v>
      </c>
      <c r="O78" s="2" t="s">
        <v>1053</v>
      </c>
      <c r="P78" s="2" t="s">
        <v>1096</v>
      </c>
      <c r="Q78" s="2" t="s">
        <v>429</v>
      </c>
      <c r="R78" s="2">
        <v>1550</v>
      </c>
      <c r="S78" s="2"/>
      <c r="T78" s="2">
        <v>137</v>
      </c>
      <c r="U78" s="39">
        <f>IF(I78="N",T78*Supuestos!$B$4,T78*Supuestos!$C$4)*100</f>
        <v>5.8625486527349686</v>
      </c>
      <c r="V78" s="20">
        <f t="shared" si="9"/>
        <v>17.057427737226277</v>
      </c>
      <c r="W78" s="2">
        <f t="shared" si="7"/>
        <v>7261</v>
      </c>
      <c r="X78" s="2">
        <f t="shared" si="8"/>
        <v>310.71507859495335</v>
      </c>
    </row>
    <row r="79" spans="1:24" x14ac:dyDescent="0.25">
      <c r="A79" s="6" t="s">
        <v>71</v>
      </c>
      <c r="B79" s="6" t="s">
        <v>578</v>
      </c>
      <c r="C79" s="6" t="s">
        <v>407</v>
      </c>
      <c r="D79" s="6" t="s">
        <v>72</v>
      </c>
      <c r="E79" s="11" t="str">
        <f t="shared" si="5"/>
        <v>AUTOMOVIL</v>
      </c>
      <c r="F79" s="6" t="s">
        <v>14</v>
      </c>
      <c r="G79" s="11"/>
      <c r="H79" s="6" t="s">
        <v>1051</v>
      </c>
      <c r="I79" s="6" t="str">
        <f t="shared" si="6"/>
        <v>E</v>
      </c>
      <c r="J79" s="17" t="s">
        <v>418</v>
      </c>
      <c r="K79" s="6">
        <v>74</v>
      </c>
      <c r="L79" s="9">
        <v>52</v>
      </c>
      <c r="M79" s="21">
        <v>52</v>
      </c>
      <c r="N79" s="2">
        <v>24990</v>
      </c>
      <c r="O79" s="2" t="s">
        <v>1341</v>
      </c>
      <c r="P79" s="2"/>
      <c r="Q79" s="2"/>
      <c r="R79" s="2"/>
      <c r="S79" s="2">
        <v>8.1</v>
      </c>
      <c r="T79" s="2"/>
      <c r="U79" s="39">
        <f>IF(I79="N",T79*Supuestos!$B$4,T79*Supuestos!$C$4)*100</f>
        <v>0</v>
      </c>
      <c r="V79" s="20">
        <f t="shared" si="9"/>
        <v>0</v>
      </c>
      <c r="W79" s="2">
        <f t="shared" si="7"/>
        <v>0</v>
      </c>
      <c r="X79" s="2">
        <f t="shared" si="8"/>
        <v>0</v>
      </c>
    </row>
    <row r="80" spans="1:24" x14ac:dyDescent="0.25">
      <c r="A80" s="6" t="s">
        <v>53</v>
      </c>
      <c r="B80" s="6" t="s">
        <v>1012</v>
      </c>
      <c r="C80" s="6" t="s">
        <v>404</v>
      </c>
      <c r="D80" s="6" t="s">
        <v>72</v>
      </c>
      <c r="E80" s="11" t="str">
        <f t="shared" si="5"/>
        <v>AUTOMOVIL</v>
      </c>
      <c r="F80" s="6" t="s">
        <v>24</v>
      </c>
      <c r="G80" s="11">
        <v>2000</v>
      </c>
      <c r="H80" s="6" t="s">
        <v>1050</v>
      </c>
      <c r="I80" s="6" t="str">
        <f t="shared" si="6"/>
        <v>N</v>
      </c>
      <c r="J80" s="17" t="s">
        <v>9</v>
      </c>
      <c r="K80" s="6">
        <v>230</v>
      </c>
      <c r="L80" s="9">
        <v>52</v>
      </c>
      <c r="M80" s="21">
        <v>52</v>
      </c>
      <c r="N80" s="2">
        <v>47990</v>
      </c>
      <c r="O80" s="2" t="s">
        <v>1053</v>
      </c>
      <c r="P80" s="2" t="s">
        <v>1085</v>
      </c>
      <c r="Q80" s="2" t="s">
        <v>422</v>
      </c>
      <c r="R80" s="2">
        <v>1950</v>
      </c>
      <c r="S80" s="2"/>
      <c r="T80" s="2">
        <v>158</v>
      </c>
      <c r="U80" s="39">
        <f>IF(I80="N",T80*Supuestos!$B$4,T80*Supuestos!$C$4)*100</f>
        <v>6.7611874973147819</v>
      </c>
      <c r="V80" s="20">
        <f t="shared" si="9"/>
        <v>14.790301265822784</v>
      </c>
      <c r="W80" s="2">
        <f t="shared" si="7"/>
        <v>8216</v>
      </c>
      <c r="X80" s="2">
        <f t="shared" si="8"/>
        <v>351.58174986036863</v>
      </c>
    </row>
    <row r="81" spans="1:24" x14ac:dyDescent="0.25">
      <c r="A81" s="6" t="s">
        <v>34</v>
      </c>
      <c r="B81" s="6" t="s">
        <v>726</v>
      </c>
      <c r="C81" s="6" t="s">
        <v>403</v>
      </c>
      <c r="D81" s="6" t="s">
        <v>72</v>
      </c>
      <c r="E81" s="11" t="str">
        <f t="shared" si="5"/>
        <v>AUTOMOVIL</v>
      </c>
      <c r="F81" s="6" t="s">
        <v>21</v>
      </c>
      <c r="G81" s="11">
        <v>1600</v>
      </c>
      <c r="H81" s="6" t="s">
        <v>1050</v>
      </c>
      <c r="I81" s="6" t="str">
        <f t="shared" si="6"/>
        <v>N</v>
      </c>
      <c r="J81" s="17" t="s">
        <v>9</v>
      </c>
      <c r="K81" s="6">
        <v>123</v>
      </c>
      <c r="L81" s="9">
        <v>47</v>
      </c>
      <c r="M81" s="9">
        <v>47</v>
      </c>
      <c r="N81" s="2">
        <v>25990</v>
      </c>
      <c r="O81" s="2" t="s">
        <v>1053</v>
      </c>
      <c r="P81" s="2" t="s">
        <v>1072</v>
      </c>
      <c r="Q81" s="2" t="s">
        <v>429</v>
      </c>
      <c r="R81" s="2">
        <v>1420</v>
      </c>
      <c r="S81" s="2"/>
      <c r="T81" s="2">
        <v>132</v>
      </c>
      <c r="U81" s="39">
        <f>IF(I81="N",T81*Supuestos!$B$4,T81*Supuestos!$C$4)*100</f>
        <v>5.6485870230731088</v>
      </c>
      <c r="V81" s="20">
        <f t="shared" si="9"/>
        <v>17.703542424242425</v>
      </c>
      <c r="W81" s="2">
        <f t="shared" si="7"/>
        <v>6204</v>
      </c>
      <c r="X81" s="2">
        <f t="shared" si="8"/>
        <v>265.48359008443612</v>
      </c>
    </row>
    <row r="82" spans="1:24" x14ac:dyDescent="0.25">
      <c r="A82" s="6" t="s">
        <v>17</v>
      </c>
      <c r="B82" s="6" t="s">
        <v>564</v>
      </c>
      <c r="C82" s="6" t="s">
        <v>404</v>
      </c>
      <c r="D82" s="6" t="s">
        <v>72</v>
      </c>
      <c r="E82" s="11" t="str">
        <f t="shared" si="5"/>
        <v>AUTOMOVIL</v>
      </c>
      <c r="F82" s="6" t="s">
        <v>14</v>
      </c>
      <c r="G82" s="11"/>
      <c r="H82" s="6" t="s">
        <v>1051</v>
      </c>
      <c r="I82" s="6" t="str">
        <f t="shared" si="6"/>
        <v>E</v>
      </c>
      <c r="J82" s="17" t="s">
        <v>418</v>
      </c>
      <c r="K82" s="6">
        <v>134</v>
      </c>
      <c r="L82" s="9">
        <v>45</v>
      </c>
      <c r="M82" s="21">
        <v>45</v>
      </c>
      <c r="N82" s="2">
        <v>46348</v>
      </c>
      <c r="O82" s="2" t="s">
        <v>1060</v>
      </c>
      <c r="P82" s="2" t="s">
        <v>1332</v>
      </c>
      <c r="Q82" s="2"/>
      <c r="R82" s="2">
        <v>2050</v>
      </c>
      <c r="S82" s="2">
        <v>7</v>
      </c>
      <c r="T82" s="2"/>
      <c r="U82" s="39">
        <f>IF(I82="N",T82*Supuestos!$B$4,T82*Supuestos!$C$4)*100</f>
        <v>0</v>
      </c>
      <c r="V82" s="20">
        <f t="shared" si="9"/>
        <v>0</v>
      </c>
      <c r="W82" s="2">
        <f t="shared" si="7"/>
        <v>0</v>
      </c>
      <c r="X82" s="2">
        <f t="shared" si="8"/>
        <v>0</v>
      </c>
    </row>
    <row r="83" spans="1:24" x14ac:dyDescent="0.25">
      <c r="A83" s="6" t="s">
        <v>29</v>
      </c>
      <c r="B83" s="6" t="s">
        <v>661</v>
      </c>
      <c r="C83" s="6" t="s">
        <v>407</v>
      </c>
      <c r="D83" s="6" t="s">
        <v>72</v>
      </c>
      <c r="E83" s="11" t="str">
        <f t="shared" si="5"/>
        <v>AUTOMOVIL</v>
      </c>
      <c r="F83" s="6" t="s">
        <v>21</v>
      </c>
      <c r="G83" s="11">
        <v>1300</v>
      </c>
      <c r="H83" s="6" t="s">
        <v>1050</v>
      </c>
      <c r="I83" s="6" t="str">
        <f t="shared" si="6"/>
        <v>N</v>
      </c>
      <c r="J83" s="17" t="s">
        <v>9</v>
      </c>
      <c r="K83" s="6">
        <v>99</v>
      </c>
      <c r="L83" s="9">
        <v>42</v>
      </c>
      <c r="M83" s="21">
        <v>42</v>
      </c>
      <c r="N83" s="2">
        <v>19990</v>
      </c>
      <c r="O83" s="2" t="s">
        <v>1060</v>
      </c>
      <c r="P83" s="2" t="s">
        <v>1078</v>
      </c>
      <c r="Q83" s="2" t="s">
        <v>424</v>
      </c>
      <c r="R83" s="2">
        <v>1515</v>
      </c>
      <c r="S83" s="2"/>
      <c r="T83" s="2">
        <v>141</v>
      </c>
      <c r="U83" s="39">
        <f>IF(I83="N",T83*Supuestos!$B$4,T83*Supuestos!$C$4)*100</f>
        <v>6.0337179564644572</v>
      </c>
      <c r="V83" s="20">
        <f t="shared" si="9"/>
        <v>16.573529078014182</v>
      </c>
      <c r="W83" s="2">
        <f t="shared" si="7"/>
        <v>5922</v>
      </c>
      <c r="X83" s="2">
        <f t="shared" si="8"/>
        <v>253.4161541715072</v>
      </c>
    </row>
    <row r="84" spans="1:24" x14ac:dyDescent="0.25">
      <c r="A84" s="6" t="s">
        <v>42</v>
      </c>
      <c r="B84" s="6" t="s">
        <v>256</v>
      </c>
      <c r="C84" s="6" t="s">
        <v>400</v>
      </c>
      <c r="D84" s="6" t="s">
        <v>72</v>
      </c>
      <c r="E84" s="11" t="str">
        <f t="shared" si="5"/>
        <v>AUTOMOVIL</v>
      </c>
      <c r="F84" s="6" t="s">
        <v>11</v>
      </c>
      <c r="G84" s="11">
        <v>1500</v>
      </c>
      <c r="H84" s="6" t="s">
        <v>1050</v>
      </c>
      <c r="I84" s="6" t="str">
        <f t="shared" si="6"/>
        <v>N</v>
      </c>
      <c r="J84" s="17" t="s">
        <v>419</v>
      </c>
      <c r="K84" s="6">
        <v>156</v>
      </c>
      <c r="L84" s="9">
        <v>38</v>
      </c>
      <c r="M84" s="21">
        <v>38</v>
      </c>
      <c r="N84" s="2">
        <v>69990</v>
      </c>
      <c r="O84" s="2" t="s">
        <v>1060</v>
      </c>
      <c r="P84" s="2" t="s">
        <v>1099</v>
      </c>
      <c r="Q84" s="2" t="s">
        <v>424</v>
      </c>
      <c r="R84" s="2">
        <v>2265</v>
      </c>
      <c r="S84" s="2"/>
      <c r="T84" s="2">
        <v>154</v>
      </c>
      <c r="U84" s="39">
        <f>IF(I84="N",T84*Supuestos!$B$4,T84*Supuestos!$C$4)*100</f>
        <v>6.5900181935852942</v>
      </c>
      <c r="V84" s="20">
        <f t="shared" si="9"/>
        <v>15.174464935064933</v>
      </c>
      <c r="W84" s="2">
        <f t="shared" si="7"/>
        <v>5852</v>
      </c>
      <c r="X84" s="2">
        <f t="shared" si="8"/>
        <v>250.42069135624118</v>
      </c>
    </row>
    <row r="85" spans="1:24" x14ac:dyDescent="0.25">
      <c r="A85" s="6" t="s">
        <v>48</v>
      </c>
      <c r="B85" s="6" t="s">
        <v>928</v>
      </c>
      <c r="C85" s="6" t="s">
        <v>403</v>
      </c>
      <c r="D85" s="6" t="s">
        <v>72</v>
      </c>
      <c r="E85" s="11" t="str">
        <f t="shared" si="5"/>
        <v>AUTOMOVIL</v>
      </c>
      <c r="F85" s="6"/>
      <c r="G85" s="11">
        <v>1600</v>
      </c>
      <c r="H85" s="6" t="s">
        <v>1050</v>
      </c>
      <c r="I85" s="6" t="str">
        <f t="shared" si="6"/>
        <v>N</v>
      </c>
      <c r="J85" s="17" t="s">
        <v>9</v>
      </c>
      <c r="K85" s="6"/>
      <c r="L85" s="9">
        <v>37</v>
      </c>
      <c r="M85" s="21">
        <v>37</v>
      </c>
      <c r="N85" s="2">
        <v>23330</v>
      </c>
      <c r="O85" s="2" t="s">
        <v>1055</v>
      </c>
      <c r="P85" s="2" t="s">
        <v>1091</v>
      </c>
      <c r="Q85" s="2"/>
      <c r="R85" s="2">
        <v>1531</v>
      </c>
      <c r="S85" s="2"/>
      <c r="T85" s="2">
        <v>167.09</v>
      </c>
      <c r="U85" s="39">
        <f>IF(I85="N",T85*Supuestos!$B$4,T85*Supuestos!$C$4)*100</f>
        <v>7.1501697400400435</v>
      </c>
      <c r="V85" s="20">
        <f t="shared" si="9"/>
        <v>13.985681967801783</v>
      </c>
      <c r="W85" s="2">
        <f t="shared" si="7"/>
        <v>6182.33</v>
      </c>
      <c r="X85" s="2">
        <f t="shared" si="8"/>
        <v>264.5562803814816</v>
      </c>
    </row>
    <row r="86" spans="1:24" x14ac:dyDescent="0.25">
      <c r="A86" s="6" t="s">
        <v>53</v>
      </c>
      <c r="B86" s="6" t="s">
        <v>1013</v>
      </c>
      <c r="C86" s="6" t="s">
        <v>404</v>
      </c>
      <c r="D86" s="6" t="s">
        <v>72</v>
      </c>
      <c r="E86" s="11" t="str">
        <f t="shared" si="5"/>
        <v>AUTOMOVIL</v>
      </c>
      <c r="F86" s="6" t="s">
        <v>21</v>
      </c>
      <c r="G86" s="11">
        <v>1000</v>
      </c>
      <c r="H86" s="6" t="s">
        <v>1050</v>
      </c>
      <c r="I86" s="6" t="str">
        <f t="shared" si="6"/>
        <v>N</v>
      </c>
      <c r="J86" s="17" t="s">
        <v>9</v>
      </c>
      <c r="K86" s="6">
        <v>95</v>
      </c>
      <c r="L86" s="9">
        <v>37</v>
      </c>
      <c r="M86" s="21">
        <v>37</v>
      </c>
      <c r="N86" s="2">
        <v>27690</v>
      </c>
      <c r="O86" s="2" t="s">
        <v>1053</v>
      </c>
      <c r="P86" s="2" t="s">
        <v>1087</v>
      </c>
      <c r="Q86" s="2" t="s">
        <v>424</v>
      </c>
      <c r="R86" s="2">
        <v>1600</v>
      </c>
      <c r="S86" s="2"/>
      <c r="T86" s="2">
        <v>158</v>
      </c>
      <c r="U86" s="39">
        <f>IF(I86="N",T86*Supuestos!$B$4,T86*Supuestos!$C$4)*100</f>
        <v>6.7611874973147819</v>
      </c>
      <c r="V86" s="20">
        <f t="shared" si="9"/>
        <v>14.790301265822784</v>
      </c>
      <c r="W86" s="2">
        <f t="shared" si="7"/>
        <v>5846</v>
      </c>
      <c r="X86" s="2">
        <f t="shared" si="8"/>
        <v>250.16393740064692</v>
      </c>
    </row>
    <row r="87" spans="1:24" x14ac:dyDescent="0.25">
      <c r="A87" s="6" t="s">
        <v>50</v>
      </c>
      <c r="B87" s="6" t="s">
        <v>965</v>
      </c>
      <c r="C87" s="6" t="s">
        <v>407</v>
      </c>
      <c r="D87" s="6" t="s">
        <v>72</v>
      </c>
      <c r="E87" s="11" t="str">
        <f t="shared" si="5"/>
        <v>AUTOMOVIL</v>
      </c>
      <c r="F87" s="6" t="s">
        <v>35</v>
      </c>
      <c r="G87" s="11">
        <v>1500</v>
      </c>
      <c r="H87" s="6" t="s">
        <v>1050</v>
      </c>
      <c r="I87" s="6" t="str">
        <f t="shared" si="6"/>
        <v>N</v>
      </c>
      <c r="J87" s="17" t="s">
        <v>9</v>
      </c>
      <c r="K87" s="6">
        <v>104</v>
      </c>
      <c r="L87" s="9">
        <v>35</v>
      </c>
      <c r="M87" s="21">
        <v>35</v>
      </c>
      <c r="N87" s="2">
        <v>25490</v>
      </c>
      <c r="O87" s="2" t="s">
        <v>1060</v>
      </c>
      <c r="P87" s="2" t="s">
        <v>1065</v>
      </c>
      <c r="Q87" s="2" t="s">
        <v>424</v>
      </c>
      <c r="R87" s="2">
        <v>1430</v>
      </c>
      <c r="S87" s="2"/>
      <c r="T87" s="2">
        <v>130</v>
      </c>
      <c r="U87" s="39">
        <f>IF(I87="N",T87*Supuestos!$B$4,T87*Supuestos!$C$4)*100</f>
        <v>5.5630023712083645</v>
      </c>
      <c r="V87" s="20">
        <f t="shared" si="9"/>
        <v>17.975904615384614</v>
      </c>
      <c r="W87" s="2">
        <f t="shared" si="7"/>
        <v>4550</v>
      </c>
      <c r="X87" s="2">
        <f t="shared" si="8"/>
        <v>194.70508299229274</v>
      </c>
    </row>
    <row r="88" spans="1:24" x14ac:dyDescent="0.25">
      <c r="A88" s="6" t="s">
        <v>50</v>
      </c>
      <c r="B88" s="6" t="s">
        <v>336</v>
      </c>
      <c r="C88" s="6" t="s">
        <v>407</v>
      </c>
      <c r="D88" s="6" t="s">
        <v>72</v>
      </c>
      <c r="E88" s="11" t="str">
        <f t="shared" si="5"/>
        <v>AUTOMOVIL</v>
      </c>
      <c r="F88" s="6" t="s">
        <v>45</v>
      </c>
      <c r="G88" s="11">
        <v>1400</v>
      </c>
      <c r="H88" s="6" t="s">
        <v>1050</v>
      </c>
      <c r="I88" s="6" t="str">
        <f t="shared" si="6"/>
        <v>N</v>
      </c>
      <c r="J88" s="17" t="s">
        <v>9</v>
      </c>
      <c r="K88" s="6">
        <v>140</v>
      </c>
      <c r="L88" s="9">
        <v>35</v>
      </c>
      <c r="M88" s="21">
        <v>35</v>
      </c>
      <c r="N88" s="2">
        <v>29990</v>
      </c>
      <c r="O88" s="2" t="s">
        <v>1060</v>
      </c>
      <c r="P88" s="2" t="s">
        <v>1063</v>
      </c>
      <c r="Q88" s="2" t="s">
        <v>424</v>
      </c>
      <c r="R88" s="2">
        <v>1445</v>
      </c>
      <c r="S88" s="2"/>
      <c r="T88" s="2">
        <v>141</v>
      </c>
      <c r="U88" s="39">
        <f>IF(I88="N",T88*Supuestos!$B$4,T88*Supuestos!$C$4)*100</f>
        <v>6.0337179564644572</v>
      </c>
      <c r="V88" s="20">
        <f t="shared" si="9"/>
        <v>16.573529078014182</v>
      </c>
      <c r="W88" s="2">
        <f t="shared" si="7"/>
        <v>4935</v>
      </c>
      <c r="X88" s="2">
        <f t="shared" si="8"/>
        <v>211.18012847625602</v>
      </c>
    </row>
    <row r="89" spans="1:24" x14ac:dyDescent="0.25">
      <c r="A89" s="6" t="s">
        <v>46</v>
      </c>
      <c r="B89" s="6" t="s">
        <v>285</v>
      </c>
      <c r="C89" s="6" t="s">
        <v>404</v>
      </c>
      <c r="D89" s="6" t="s">
        <v>72</v>
      </c>
      <c r="E89" s="11" t="str">
        <f t="shared" si="5"/>
        <v>AUTOMOVIL</v>
      </c>
      <c r="F89" s="6" t="s">
        <v>24</v>
      </c>
      <c r="G89" s="11">
        <v>2000</v>
      </c>
      <c r="H89" s="6" t="s">
        <v>1050</v>
      </c>
      <c r="I89" s="6" t="str">
        <f t="shared" si="6"/>
        <v>N</v>
      </c>
      <c r="J89" s="17" t="s">
        <v>9</v>
      </c>
      <c r="K89" s="6">
        <v>145</v>
      </c>
      <c r="L89" s="9">
        <v>34</v>
      </c>
      <c r="M89" s="21">
        <v>34</v>
      </c>
      <c r="N89" s="2">
        <v>34990</v>
      </c>
      <c r="O89" s="2" t="s">
        <v>1053</v>
      </c>
      <c r="P89" s="2" t="s">
        <v>1081</v>
      </c>
      <c r="Q89" s="2" t="s">
        <v>1080</v>
      </c>
      <c r="R89" s="2">
        <v>1758</v>
      </c>
      <c r="S89" s="2"/>
      <c r="T89" s="2">
        <v>173</v>
      </c>
      <c r="U89" s="39">
        <f>IF(I89="N",T89*Supuestos!$B$4,T89*Supuestos!$C$4)*100</f>
        <v>7.4030723863003622</v>
      </c>
      <c r="V89" s="20">
        <f t="shared" si="9"/>
        <v>13.507905202312138</v>
      </c>
      <c r="W89" s="2">
        <f t="shared" si="7"/>
        <v>5882</v>
      </c>
      <c r="X89" s="2">
        <f t="shared" si="8"/>
        <v>251.70446113421232</v>
      </c>
    </row>
    <row r="90" spans="1:24" x14ac:dyDescent="0.25">
      <c r="A90" s="6" t="s">
        <v>53</v>
      </c>
      <c r="B90" s="6" t="s">
        <v>1010</v>
      </c>
      <c r="C90" s="6" t="s">
        <v>404</v>
      </c>
      <c r="D90" s="6" t="s">
        <v>72</v>
      </c>
      <c r="E90" s="11" t="str">
        <f t="shared" si="5"/>
        <v>AUTOMOVIL</v>
      </c>
      <c r="F90" s="6" t="s">
        <v>24</v>
      </c>
      <c r="G90" s="11">
        <v>1400</v>
      </c>
      <c r="H90" s="6" t="s">
        <v>1050</v>
      </c>
      <c r="I90" s="6" t="str">
        <f t="shared" si="6"/>
        <v>N</v>
      </c>
      <c r="J90" s="17" t="s">
        <v>9</v>
      </c>
      <c r="K90" s="6">
        <v>150</v>
      </c>
      <c r="L90" s="9">
        <v>34</v>
      </c>
      <c r="M90" s="21">
        <v>34</v>
      </c>
      <c r="N90" s="2">
        <v>31690</v>
      </c>
      <c r="O90" s="2" t="s">
        <v>1053</v>
      </c>
      <c r="P90" s="2" t="s">
        <v>1086</v>
      </c>
      <c r="Q90" s="2" t="s">
        <v>422</v>
      </c>
      <c r="R90" s="2">
        <v>1880</v>
      </c>
      <c r="S90" s="2"/>
      <c r="T90" s="2">
        <v>144</v>
      </c>
      <c r="U90" s="39">
        <f>IF(I90="N",T90*Supuestos!$B$4,T90*Supuestos!$C$4)*100</f>
        <v>6.1620949342615727</v>
      </c>
      <c r="V90" s="20">
        <f t="shared" si="9"/>
        <v>16.228247222222222</v>
      </c>
      <c r="W90" s="2">
        <f t="shared" si="7"/>
        <v>4896</v>
      </c>
      <c r="X90" s="2">
        <f t="shared" si="8"/>
        <v>209.51122776489348</v>
      </c>
    </row>
    <row r="91" spans="1:24" x14ac:dyDescent="0.25">
      <c r="A91" s="6" t="s">
        <v>93</v>
      </c>
      <c r="B91" s="6" t="s">
        <v>343</v>
      </c>
      <c r="C91" s="6" t="s">
        <v>411</v>
      </c>
      <c r="D91" s="6" t="s">
        <v>72</v>
      </c>
      <c r="E91" s="11" t="str">
        <f t="shared" si="5"/>
        <v>AUTOMOVIL</v>
      </c>
      <c r="F91" s="6" t="s">
        <v>14</v>
      </c>
      <c r="G91" s="11"/>
      <c r="H91" s="6" t="s">
        <v>1051</v>
      </c>
      <c r="I91" s="6" t="str">
        <f t="shared" si="6"/>
        <v>E</v>
      </c>
      <c r="J91" s="17" t="s">
        <v>418</v>
      </c>
      <c r="K91" s="6">
        <v>6</v>
      </c>
      <c r="L91" s="9">
        <v>33</v>
      </c>
      <c r="M91" s="21">
        <v>33</v>
      </c>
      <c r="N91" s="2">
        <v>11980</v>
      </c>
      <c r="O91" s="2" t="s">
        <v>1341</v>
      </c>
      <c r="P91" s="2"/>
      <c r="Q91" s="2"/>
      <c r="R91" s="2"/>
      <c r="S91" s="2">
        <v>8.4</v>
      </c>
      <c r="T91" s="2"/>
      <c r="U91" s="39">
        <f>IF(I91="N",T91*Supuestos!$B$4,T91*Supuestos!$C$4)*100</f>
        <v>0</v>
      </c>
      <c r="V91" s="20">
        <f t="shared" si="9"/>
        <v>0</v>
      </c>
      <c r="W91" s="2">
        <f t="shared" si="7"/>
        <v>0</v>
      </c>
      <c r="X91" s="2">
        <f t="shared" si="8"/>
        <v>0</v>
      </c>
    </row>
    <row r="92" spans="1:24" x14ac:dyDescent="0.25">
      <c r="A92" s="6" t="s">
        <v>53</v>
      </c>
      <c r="B92" s="6" t="s">
        <v>1015</v>
      </c>
      <c r="C92" s="6" t="s">
        <v>404</v>
      </c>
      <c r="D92" s="6" t="s">
        <v>72</v>
      </c>
      <c r="E92" s="11" t="str">
        <f t="shared" si="5"/>
        <v>AUTOMOVIL</v>
      </c>
      <c r="F92" s="6" t="s">
        <v>21</v>
      </c>
      <c r="G92" s="11">
        <v>1000</v>
      </c>
      <c r="H92" s="6" t="s">
        <v>1050</v>
      </c>
      <c r="I92" s="6" t="str">
        <f t="shared" si="6"/>
        <v>N</v>
      </c>
      <c r="J92" s="17" t="s">
        <v>9</v>
      </c>
      <c r="K92" s="6">
        <v>95</v>
      </c>
      <c r="L92" s="9">
        <v>33</v>
      </c>
      <c r="M92" s="21">
        <v>33</v>
      </c>
      <c r="N92" s="2">
        <v>25690</v>
      </c>
      <c r="O92" s="2" t="s">
        <v>1053</v>
      </c>
      <c r="P92" s="2" t="s">
        <v>1087</v>
      </c>
      <c r="Q92" s="2" t="s">
        <v>424</v>
      </c>
      <c r="R92" s="2">
        <v>1600</v>
      </c>
      <c r="S92" s="2"/>
      <c r="T92" s="2">
        <v>158</v>
      </c>
      <c r="U92" s="39">
        <f>IF(I92="N",T92*Supuestos!$B$4,T92*Supuestos!$C$4)*100</f>
        <v>6.7611874973147819</v>
      </c>
      <c r="V92" s="20">
        <f t="shared" si="9"/>
        <v>14.790301265822784</v>
      </c>
      <c r="W92" s="2">
        <f t="shared" si="7"/>
        <v>5214</v>
      </c>
      <c r="X92" s="2">
        <f t="shared" si="8"/>
        <v>223.1191874113878</v>
      </c>
    </row>
    <row r="93" spans="1:24" x14ac:dyDescent="0.25">
      <c r="A93" s="6" t="s">
        <v>34</v>
      </c>
      <c r="B93" s="6" t="s">
        <v>730</v>
      </c>
      <c r="C93" s="6" t="s">
        <v>407</v>
      </c>
      <c r="D93" s="6" t="s">
        <v>72</v>
      </c>
      <c r="E93" s="11" t="str">
        <f t="shared" si="5"/>
        <v>AUTOMOVIL</v>
      </c>
      <c r="F93" s="6" t="s">
        <v>21</v>
      </c>
      <c r="G93" s="11">
        <v>1600</v>
      </c>
      <c r="H93" s="6" t="s">
        <v>1050</v>
      </c>
      <c r="I93" s="6" t="str">
        <f t="shared" si="6"/>
        <v>N</v>
      </c>
      <c r="J93" s="17" t="s">
        <v>9</v>
      </c>
      <c r="K93" s="6">
        <v>123</v>
      </c>
      <c r="L93" s="9">
        <v>31</v>
      </c>
      <c r="M93" s="9">
        <v>31</v>
      </c>
      <c r="N93" s="2">
        <v>27990</v>
      </c>
      <c r="O93" s="2" t="s">
        <v>1053</v>
      </c>
      <c r="P93" s="2" t="s">
        <v>1072</v>
      </c>
      <c r="Q93" s="2" t="s">
        <v>429</v>
      </c>
      <c r="R93" s="2">
        <v>1420</v>
      </c>
      <c r="S93" s="2"/>
      <c r="T93" s="2">
        <v>132</v>
      </c>
      <c r="U93" s="39">
        <f>IF(I93="N",T93*Supuestos!$B$4,T93*Supuestos!$C$4)*100</f>
        <v>5.6485870230731088</v>
      </c>
      <c r="V93" s="20">
        <f t="shared" si="9"/>
        <v>17.703542424242425</v>
      </c>
      <c r="W93" s="2">
        <f t="shared" si="7"/>
        <v>4092</v>
      </c>
      <c r="X93" s="2">
        <f t="shared" si="8"/>
        <v>175.10619771526638</v>
      </c>
    </row>
    <row r="94" spans="1:24" x14ac:dyDescent="0.25">
      <c r="A94" s="6" t="s">
        <v>19</v>
      </c>
      <c r="B94" s="6" t="s">
        <v>603</v>
      </c>
      <c r="C94" s="6" t="s">
        <v>404</v>
      </c>
      <c r="D94" s="6" t="s">
        <v>72</v>
      </c>
      <c r="E94" s="11" t="str">
        <f t="shared" si="5"/>
        <v>AUTOMOVIL</v>
      </c>
      <c r="F94" s="6" t="s">
        <v>23</v>
      </c>
      <c r="G94" s="11">
        <v>1400</v>
      </c>
      <c r="H94" s="6" t="s">
        <v>1050</v>
      </c>
      <c r="I94" s="6" t="str">
        <f t="shared" si="6"/>
        <v>N</v>
      </c>
      <c r="J94" s="17" t="s">
        <v>9</v>
      </c>
      <c r="K94" s="6">
        <v>153</v>
      </c>
      <c r="L94" s="9">
        <v>30</v>
      </c>
      <c r="M94" s="21">
        <v>30</v>
      </c>
      <c r="N94" s="2">
        <v>31990</v>
      </c>
      <c r="O94" s="2" t="s">
        <v>1055</v>
      </c>
      <c r="P94" s="2" t="s">
        <v>1098</v>
      </c>
      <c r="Q94" s="2" t="s">
        <v>429</v>
      </c>
      <c r="R94" s="2">
        <v>1804</v>
      </c>
      <c r="S94" s="2"/>
      <c r="T94" s="2">
        <v>156.1</v>
      </c>
      <c r="U94" s="39">
        <f>IF(I94="N",T94*Supuestos!$B$4,T94*Supuestos!$C$4)*100</f>
        <v>6.6798820780432742</v>
      </c>
      <c r="V94" s="20">
        <f t="shared" si="9"/>
        <v>14.970324151185139</v>
      </c>
      <c r="W94" s="2">
        <f t="shared" si="7"/>
        <v>4683</v>
      </c>
      <c r="X94" s="2">
        <f t="shared" si="8"/>
        <v>200.39646234129822</v>
      </c>
    </row>
    <row r="95" spans="1:24" x14ac:dyDescent="0.25">
      <c r="A95" s="6" t="s">
        <v>48</v>
      </c>
      <c r="B95" s="6" t="s">
        <v>323</v>
      </c>
      <c r="C95" s="6" t="s">
        <v>403</v>
      </c>
      <c r="D95" s="6" t="s">
        <v>72</v>
      </c>
      <c r="E95" s="11" t="str">
        <f t="shared" si="5"/>
        <v>AUTOMOVIL</v>
      </c>
      <c r="F95" s="6" t="s">
        <v>21</v>
      </c>
      <c r="G95" s="11">
        <v>1000</v>
      </c>
      <c r="H95" s="6" t="s">
        <v>1050</v>
      </c>
      <c r="I95" s="6" t="str">
        <f t="shared" si="6"/>
        <v>N</v>
      </c>
      <c r="J95" s="17" t="s">
        <v>9</v>
      </c>
      <c r="K95" s="6">
        <v>79</v>
      </c>
      <c r="L95" s="9">
        <v>29</v>
      </c>
      <c r="M95" s="21">
        <v>29</v>
      </c>
      <c r="N95" s="2">
        <v>19290</v>
      </c>
      <c r="O95" s="2" t="s">
        <v>1060</v>
      </c>
      <c r="P95" s="2" t="s">
        <v>427</v>
      </c>
      <c r="Q95" s="2"/>
      <c r="R95" s="2">
        <v>1163</v>
      </c>
      <c r="S95" s="2"/>
      <c r="T95" s="2">
        <v>129</v>
      </c>
      <c r="U95" s="39">
        <f>IF(I95="N",T95*Supuestos!$B$4,T95*Supuestos!$C$4)*100</f>
        <v>5.5202100452759923</v>
      </c>
      <c r="V95" s="20">
        <f t="shared" si="9"/>
        <v>18.115252713178297</v>
      </c>
      <c r="W95" s="2">
        <f t="shared" si="7"/>
        <v>3741</v>
      </c>
      <c r="X95" s="2">
        <f t="shared" si="8"/>
        <v>160.08609131300378</v>
      </c>
    </row>
    <row r="96" spans="1:24" x14ac:dyDescent="0.25">
      <c r="A96" s="6" t="s">
        <v>53</v>
      </c>
      <c r="B96" s="6" t="s">
        <v>1014</v>
      </c>
      <c r="C96" s="6" t="s">
        <v>404</v>
      </c>
      <c r="D96" s="6" t="s">
        <v>72</v>
      </c>
      <c r="E96" s="11" t="str">
        <f t="shared" si="5"/>
        <v>AUTOMOVIL</v>
      </c>
      <c r="F96" s="6" t="s">
        <v>21</v>
      </c>
      <c r="G96" s="11">
        <v>1000</v>
      </c>
      <c r="H96" s="6" t="s">
        <v>1050</v>
      </c>
      <c r="I96" s="6" t="str">
        <f t="shared" si="6"/>
        <v>N</v>
      </c>
      <c r="J96" s="17" t="s">
        <v>9</v>
      </c>
      <c r="K96" s="6">
        <v>95</v>
      </c>
      <c r="L96" s="9">
        <v>29</v>
      </c>
      <c r="M96" s="21">
        <v>29</v>
      </c>
      <c r="N96" s="2">
        <v>31990</v>
      </c>
      <c r="O96" s="2" t="s">
        <v>1053</v>
      </c>
      <c r="P96" s="2" t="s">
        <v>1087</v>
      </c>
      <c r="Q96" s="2" t="s">
        <v>424</v>
      </c>
      <c r="R96" s="2">
        <v>1600</v>
      </c>
      <c r="S96" s="2"/>
      <c r="T96" s="2">
        <v>158</v>
      </c>
      <c r="U96" s="39">
        <f>IF(I96="N",T96*Supuestos!$B$4,T96*Supuestos!$C$4)*100</f>
        <v>6.7611874973147819</v>
      </c>
      <c r="V96" s="20">
        <f t="shared" si="9"/>
        <v>14.790301265822784</v>
      </c>
      <c r="W96" s="2">
        <f t="shared" si="7"/>
        <v>4582</v>
      </c>
      <c r="X96" s="2">
        <f t="shared" si="8"/>
        <v>196.07443742212868</v>
      </c>
    </row>
    <row r="97" spans="1:24" x14ac:dyDescent="0.25">
      <c r="A97" s="6" t="s">
        <v>81</v>
      </c>
      <c r="B97" s="6" t="s">
        <v>634</v>
      </c>
      <c r="C97" s="6" t="s">
        <v>404</v>
      </c>
      <c r="D97" s="6" t="s">
        <v>72</v>
      </c>
      <c r="E97" s="11" t="str">
        <f t="shared" si="5"/>
        <v>AUTOMOVIL</v>
      </c>
      <c r="F97" s="6"/>
      <c r="G97" s="11">
        <v>1600</v>
      </c>
      <c r="H97" s="6" t="s">
        <v>1052</v>
      </c>
      <c r="I97" s="6" t="str">
        <f t="shared" si="6"/>
        <v>D</v>
      </c>
      <c r="J97" s="17" t="s">
        <v>22</v>
      </c>
      <c r="K97" s="6">
        <v>90</v>
      </c>
      <c r="L97" s="9">
        <v>28</v>
      </c>
      <c r="M97" s="21">
        <v>28</v>
      </c>
      <c r="N97" s="2">
        <v>26828</v>
      </c>
      <c r="O97" s="2" t="s">
        <v>1055</v>
      </c>
      <c r="P97" s="2" t="s">
        <v>1076</v>
      </c>
      <c r="Q97" s="2" t="s">
        <v>429</v>
      </c>
      <c r="R97" s="2">
        <v>1548</v>
      </c>
      <c r="S97" s="2"/>
      <c r="T97" s="2">
        <v>109.3</v>
      </c>
      <c r="U97" s="39">
        <f>IF(I97="N",T97*Supuestos!$B$4,T97*Supuestos!$C$4)*100</f>
        <v>4.0716706418539879</v>
      </c>
      <c r="V97" s="20">
        <f t="shared" si="9"/>
        <v>24.559943275388836</v>
      </c>
      <c r="W97" s="2">
        <f t="shared" si="7"/>
        <v>3060.4</v>
      </c>
      <c r="X97" s="2">
        <f t="shared" si="8"/>
        <v>114.00677797191166</v>
      </c>
    </row>
    <row r="98" spans="1:24" x14ac:dyDescent="0.25">
      <c r="A98" s="6" t="s">
        <v>50</v>
      </c>
      <c r="B98" s="6" t="s">
        <v>337</v>
      </c>
      <c r="C98" s="6" t="s">
        <v>407</v>
      </c>
      <c r="D98" s="6" t="s">
        <v>72</v>
      </c>
      <c r="E98" s="11" t="str">
        <f t="shared" si="5"/>
        <v>AUTOMOVIL</v>
      </c>
      <c r="F98" s="6" t="s">
        <v>45</v>
      </c>
      <c r="G98" s="11">
        <v>1400</v>
      </c>
      <c r="H98" s="6" t="s">
        <v>1050</v>
      </c>
      <c r="I98" s="6" t="str">
        <f t="shared" si="6"/>
        <v>N</v>
      </c>
      <c r="J98" s="17" t="s">
        <v>9</v>
      </c>
      <c r="K98" s="6">
        <v>140</v>
      </c>
      <c r="L98" s="9">
        <v>28</v>
      </c>
      <c r="M98" s="21">
        <v>28</v>
      </c>
      <c r="N98" s="2">
        <v>32990</v>
      </c>
      <c r="O98" s="2" t="s">
        <v>1060</v>
      </c>
      <c r="P98" s="2" t="s">
        <v>1062</v>
      </c>
      <c r="Q98" s="2" t="s">
        <v>424</v>
      </c>
      <c r="R98" s="2">
        <v>1445</v>
      </c>
      <c r="S98" s="2"/>
      <c r="T98" s="2">
        <v>139</v>
      </c>
      <c r="U98" s="39">
        <f>IF(I98="N",T98*Supuestos!$B$4,T98*Supuestos!$C$4)*100</f>
        <v>5.9481333045997129</v>
      </c>
      <c r="V98" s="20">
        <f t="shared" si="9"/>
        <v>16.811997122302159</v>
      </c>
      <c r="W98" s="2">
        <f t="shared" si="7"/>
        <v>3892</v>
      </c>
      <c r="X98" s="2">
        <f t="shared" si="8"/>
        <v>166.54773252879195</v>
      </c>
    </row>
    <row r="99" spans="1:24" x14ac:dyDescent="0.25">
      <c r="A99" s="6" t="s">
        <v>33</v>
      </c>
      <c r="B99" s="6" t="s">
        <v>696</v>
      </c>
      <c r="C99" s="6" t="s">
        <v>404</v>
      </c>
      <c r="D99" s="6" t="s">
        <v>72</v>
      </c>
      <c r="E99" s="11" t="str">
        <f t="shared" si="5"/>
        <v>AUTOMOVIL</v>
      </c>
      <c r="F99" s="6" t="s">
        <v>21</v>
      </c>
      <c r="G99" s="11">
        <v>1500</v>
      </c>
      <c r="H99" s="6" t="s">
        <v>1050</v>
      </c>
      <c r="I99" s="6" t="str">
        <f t="shared" si="6"/>
        <v>N</v>
      </c>
      <c r="J99" s="17" t="s">
        <v>9</v>
      </c>
      <c r="K99" s="6">
        <v>122</v>
      </c>
      <c r="L99" s="9">
        <v>26</v>
      </c>
      <c r="M99" s="21">
        <v>26</v>
      </c>
      <c r="N99" s="2">
        <v>25800</v>
      </c>
      <c r="O99" s="2" t="s">
        <v>1060</v>
      </c>
      <c r="P99" s="2" t="s">
        <v>1108</v>
      </c>
      <c r="Q99" s="2" t="s">
        <v>424</v>
      </c>
      <c r="R99" s="2">
        <v>1615</v>
      </c>
      <c r="S99" s="2"/>
      <c r="T99" s="2">
        <v>131</v>
      </c>
      <c r="U99" s="39">
        <f>IF(I99="N",T99*Supuestos!$B$4,T99*Supuestos!$C$4)*100</f>
        <v>5.6057946971407366</v>
      </c>
      <c r="V99" s="20">
        <f t="shared" si="9"/>
        <v>17.838683969465649</v>
      </c>
      <c r="W99" s="2">
        <f t="shared" si="7"/>
        <v>3406</v>
      </c>
      <c r="X99" s="2">
        <f t="shared" si="8"/>
        <v>145.75066212565915</v>
      </c>
    </row>
    <row r="100" spans="1:24" x14ac:dyDescent="0.25">
      <c r="A100" s="6" t="s">
        <v>15</v>
      </c>
      <c r="B100" s="6" t="s">
        <v>519</v>
      </c>
      <c r="C100" s="6" t="s">
        <v>400</v>
      </c>
      <c r="D100" s="6" t="s">
        <v>72</v>
      </c>
      <c r="E100" s="11" t="str">
        <f t="shared" si="5"/>
        <v>AUTOMOVIL</v>
      </c>
      <c r="F100" s="6" t="s">
        <v>11</v>
      </c>
      <c r="G100" s="11">
        <v>2000</v>
      </c>
      <c r="H100" s="6" t="s">
        <v>1050</v>
      </c>
      <c r="I100" s="6" t="str">
        <f t="shared" si="6"/>
        <v>N</v>
      </c>
      <c r="J100" s="17" t="s">
        <v>420</v>
      </c>
      <c r="K100" s="6">
        <v>292</v>
      </c>
      <c r="L100" s="9">
        <v>24</v>
      </c>
      <c r="M100" s="21">
        <v>24</v>
      </c>
      <c r="N100" s="2">
        <v>79990</v>
      </c>
      <c r="O100" s="2" t="s">
        <v>1060</v>
      </c>
      <c r="P100" s="2" t="s">
        <v>1110</v>
      </c>
      <c r="Q100" s="2" t="s">
        <v>424</v>
      </c>
      <c r="R100" s="2">
        <v>2290</v>
      </c>
      <c r="S100" s="2"/>
      <c r="T100" s="2">
        <v>48</v>
      </c>
      <c r="U100" s="39">
        <f>IF(I100="N",T100*Supuestos!$B$4,T100*Supuestos!$C$4)*100</f>
        <v>2.054031644753858</v>
      </c>
      <c r="V100" s="20">
        <f t="shared" si="9"/>
        <v>48.68474166666666</v>
      </c>
      <c r="W100" s="2">
        <f t="shared" si="7"/>
        <v>1152</v>
      </c>
      <c r="X100" s="2">
        <f t="shared" si="8"/>
        <v>49.296759474092596</v>
      </c>
    </row>
    <row r="101" spans="1:24" x14ac:dyDescent="0.25">
      <c r="A101" s="6" t="s">
        <v>15</v>
      </c>
      <c r="B101" s="6" t="s">
        <v>521</v>
      </c>
      <c r="C101" s="6" t="s">
        <v>400</v>
      </c>
      <c r="D101" s="6" t="s">
        <v>72</v>
      </c>
      <c r="E101" s="11" t="str">
        <f t="shared" si="5"/>
        <v>AUTOMOVIL</v>
      </c>
      <c r="F101" s="6" t="s">
        <v>11</v>
      </c>
      <c r="G101" s="11">
        <v>2000</v>
      </c>
      <c r="H101" s="6" t="s">
        <v>1050</v>
      </c>
      <c r="I101" s="6" t="str">
        <f t="shared" si="6"/>
        <v>N</v>
      </c>
      <c r="J101" s="17" t="s">
        <v>420</v>
      </c>
      <c r="K101" s="6">
        <v>292</v>
      </c>
      <c r="L101" s="9">
        <v>24</v>
      </c>
      <c r="M101" s="21">
        <v>24</v>
      </c>
      <c r="N101" s="2">
        <v>69990</v>
      </c>
      <c r="O101" s="2" t="s">
        <v>1060</v>
      </c>
      <c r="P101" s="2" t="s">
        <v>1110</v>
      </c>
      <c r="Q101" s="2" t="s">
        <v>424</v>
      </c>
      <c r="R101" s="2">
        <v>2290</v>
      </c>
      <c r="S101" s="2"/>
      <c r="T101" s="2">
        <v>48</v>
      </c>
      <c r="U101" s="39">
        <f>IF(I101="N",T101*Supuestos!$B$4,T101*Supuestos!$C$4)*100</f>
        <v>2.054031644753858</v>
      </c>
      <c r="V101" s="20">
        <f t="shared" si="9"/>
        <v>48.68474166666666</v>
      </c>
      <c r="W101" s="2">
        <f t="shared" si="7"/>
        <v>1152</v>
      </c>
      <c r="X101" s="2">
        <f t="shared" si="8"/>
        <v>49.296759474092596</v>
      </c>
    </row>
    <row r="102" spans="1:24" x14ac:dyDescent="0.25">
      <c r="A102" s="6" t="s">
        <v>34</v>
      </c>
      <c r="B102" s="6" t="s">
        <v>729</v>
      </c>
      <c r="C102" s="6" t="s">
        <v>403</v>
      </c>
      <c r="D102" s="6" t="s">
        <v>72</v>
      </c>
      <c r="E102" s="11" t="str">
        <f t="shared" si="5"/>
        <v>AUTOMOVIL</v>
      </c>
      <c r="F102" s="6" t="s">
        <v>21</v>
      </c>
      <c r="G102" s="11">
        <v>1600</v>
      </c>
      <c r="H102" s="6" t="s">
        <v>1050</v>
      </c>
      <c r="I102" s="6" t="str">
        <f t="shared" si="6"/>
        <v>N</v>
      </c>
      <c r="J102" s="17" t="s">
        <v>9</v>
      </c>
      <c r="K102" s="6">
        <v>123</v>
      </c>
      <c r="L102" s="9">
        <v>24</v>
      </c>
      <c r="M102" s="9">
        <v>24</v>
      </c>
      <c r="N102" s="2">
        <v>28990</v>
      </c>
      <c r="O102" s="2" t="s">
        <v>1053</v>
      </c>
      <c r="P102" s="2" t="s">
        <v>1072</v>
      </c>
      <c r="Q102" s="2" t="s">
        <v>429</v>
      </c>
      <c r="R102" s="2">
        <v>1420</v>
      </c>
      <c r="S102" s="2"/>
      <c r="T102" s="2">
        <v>132</v>
      </c>
      <c r="U102" s="39">
        <f>IF(I102="N",T102*Supuestos!$B$4,T102*Supuestos!$C$4)*100</f>
        <v>5.6485870230731088</v>
      </c>
      <c r="V102" s="20">
        <f t="shared" si="9"/>
        <v>17.703542424242425</v>
      </c>
      <c r="W102" s="2">
        <f t="shared" si="7"/>
        <v>3168</v>
      </c>
      <c r="X102" s="2">
        <f t="shared" si="8"/>
        <v>135.56608855375461</v>
      </c>
    </row>
    <row r="103" spans="1:24" x14ac:dyDescent="0.25">
      <c r="A103" s="6" t="s">
        <v>53</v>
      </c>
      <c r="B103" s="6" t="s">
        <v>381</v>
      </c>
      <c r="C103" s="6" t="s">
        <v>407</v>
      </c>
      <c r="D103" s="6" t="s">
        <v>72</v>
      </c>
      <c r="E103" s="11" t="str">
        <f t="shared" si="5"/>
        <v>AUTOMOVIL</v>
      </c>
      <c r="F103" s="6" t="s">
        <v>21</v>
      </c>
      <c r="G103" s="11">
        <v>1600</v>
      </c>
      <c r="H103" s="6" t="s">
        <v>1050</v>
      </c>
      <c r="I103" s="6" t="str">
        <f t="shared" si="6"/>
        <v>N</v>
      </c>
      <c r="J103" s="17" t="s">
        <v>9</v>
      </c>
      <c r="K103" s="6">
        <v>101</v>
      </c>
      <c r="L103" s="9">
        <v>24</v>
      </c>
      <c r="M103" s="21">
        <v>24</v>
      </c>
      <c r="N103" s="2">
        <v>16990</v>
      </c>
      <c r="O103" s="2" t="s">
        <v>1060</v>
      </c>
      <c r="P103" s="2" t="s">
        <v>75</v>
      </c>
      <c r="Q103" s="2" t="s">
        <v>429</v>
      </c>
      <c r="R103" s="2">
        <v>1450</v>
      </c>
      <c r="S103" s="2"/>
      <c r="T103" s="2">
        <v>164</v>
      </c>
      <c r="U103" s="39">
        <f>IF(I103="N",T103*Supuestos!$B$4,T103*Supuestos!$C$4)*100</f>
        <v>7.0179414529090138</v>
      </c>
      <c r="V103" s="20">
        <f t="shared" si="9"/>
        <v>14.249192682926829</v>
      </c>
      <c r="W103" s="2">
        <f t="shared" si="7"/>
        <v>3936</v>
      </c>
      <c r="X103" s="2">
        <f t="shared" si="8"/>
        <v>168.43059486981633</v>
      </c>
    </row>
    <row r="104" spans="1:24" x14ac:dyDescent="0.25">
      <c r="A104" s="6" t="s">
        <v>48</v>
      </c>
      <c r="B104" s="6" t="s">
        <v>921</v>
      </c>
      <c r="C104" s="6" t="s">
        <v>407</v>
      </c>
      <c r="D104" s="6" t="s">
        <v>72</v>
      </c>
      <c r="E104" s="11" t="str">
        <f t="shared" si="5"/>
        <v>AUTOMOVIL</v>
      </c>
      <c r="F104" s="6" t="s">
        <v>414</v>
      </c>
      <c r="G104" s="11">
        <v>1000</v>
      </c>
      <c r="H104" s="6" t="s">
        <v>1050</v>
      </c>
      <c r="I104" s="6" t="str">
        <f t="shared" si="6"/>
        <v>N</v>
      </c>
      <c r="J104" s="17" t="s">
        <v>9</v>
      </c>
      <c r="K104" s="6">
        <v>100</v>
      </c>
      <c r="L104" s="9">
        <v>23</v>
      </c>
      <c r="M104" s="21">
        <v>23</v>
      </c>
      <c r="N104" s="2">
        <v>26490</v>
      </c>
      <c r="O104" s="2" t="s">
        <v>1053</v>
      </c>
      <c r="P104" s="2" t="s">
        <v>1090</v>
      </c>
      <c r="Q104" s="2" t="s">
        <v>429</v>
      </c>
      <c r="R104" s="2">
        <v>2500</v>
      </c>
      <c r="S104" s="2"/>
      <c r="T104" s="2">
        <v>132</v>
      </c>
      <c r="U104" s="39">
        <f>IF(I104="N",T104*Supuestos!$B$4,T104*Supuestos!$C$4)*100</f>
        <v>5.6485870230731088</v>
      </c>
      <c r="V104" s="20">
        <f t="shared" si="9"/>
        <v>17.703542424242425</v>
      </c>
      <c r="W104" s="2">
        <f t="shared" si="7"/>
        <v>3036</v>
      </c>
      <c r="X104" s="2">
        <f t="shared" si="8"/>
        <v>129.91750153068151</v>
      </c>
    </row>
    <row r="105" spans="1:24" x14ac:dyDescent="0.25">
      <c r="A105" s="6" t="s">
        <v>15</v>
      </c>
      <c r="B105" s="6" t="s">
        <v>520</v>
      </c>
      <c r="C105" s="6" t="s">
        <v>400</v>
      </c>
      <c r="D105" s="6" t="s">
        <v>72</v>
      </c>
      <c r="E105" s="11" t="str">
        <f t="shared" si="5"/>
        <v>AUTOMOVIL</v>
      </c>
      <c r="F105" s="6" t="s">
        <v>11</v>
      </c>
      <c r="G105" s="11">
        <v>2000</v>
      </c>
      <c r="H105" s="6" t="s">
        <v>1050</v>
      </c>
      <c r="I105" s="6" t="str">
        <f t="shared" si="6"/>
        <v>N</v>
      </c>
      <c r="J105" s="17" t="s">
        <v>420</v>
      </c>
      <c r="K105" s="6">
        <v>292</v>
      </c>
      <c r="L105" s="9">
        <v>22</v>
      </c>
      <c r="M105" s="21">
        <v>22</v>
      </c>
      <c r="N105" s="2">
        <v>91990</v>
      </c>
      <c r="O105" s="2" t="s">
        <v>1060</v>
      </c>
      <c r="P105" s="2" t="s">
        <v>1110</v>
      </c>
      <c r="Q105" s="2" t="s">
        <v>424</v>
      </c>
      <c r="R105" s="2">
        <v>2290</v>
      </c>
      <c r="S105" s="2"/>
      <c r="T105" s="2">
        <v>48</v>
      </c>
      <c r="U105" s="39">
        <f>IF(I105="N",T105*Supuestos!$B$4,T105*Supuestos!$C$4)*100</f>
        <v>2.054031644753858</v>
      </c>
      <c r="V105" s="20">
        <f t="shared" si="9"/>
        <v>48.68474166666666</v>
      </c>
      <c r="W105" s="2">
        <f t="shared" si="7"/>
        <v>1056</v>
      </c>
      <c r="X105" s="2">
        <f t="shared" si="8"/>
        <v>45.188696184584877</v>
      </c>
    </row>
    <row r="106" spans="1:24" x14ac:dyDescent="0.25">
      <c r="A106" s="6" t="s">
        <v>36</v>
      </c>
      <c r="B106" s="6" t="s">
        <v>739</v>
      </c>
      <c r="C106" s="6" t="s">
        <v>404</v>
      </c>
      <c r="D106" s="6" t="s">
        <v>72</v>
      </c>
      <c r="E106" s="11" t="str">
        <f t="shared" si="5"/>
        <v>AUTOMOVIL</v>
      </c>
      <c r="F106" s="6" t="s">
        <v>14</v>
      </c>
      <c r="G106" s="11"/>
      <c r="H106" s="6" t="s">
        <v>1051</v>
      </c>
      <c r="I106" s="6" t="str">
        <f t="shared" si="6"/>
        <v>E</v>
      </c>
      <c r="J106" s="17" t="s">
        <v>418</v>
      </c>
      <c r="K106" s="6">
        <v>190</v>
      </c>
      <c r="L106" s="9">
        <v>25</v>
      </c>
      <c r="M106" s="21">
        <v>25</v>
      </c>
      <c r="N106" s="2">
        <v>38990</v>
      </c>
      <c r="O106" s="2" t="s">
        <v>1341</v>
      </c>
      <c r="P106" s="2"/>
      <c r="Q106" s="2"/>
      <c r="R106" s="2"/>
      <c r="S106" s="2">
        <v>5.4</v>
      </c>
      <c r="T106" s="2"/>
      <c r="U106" s="39">
        <f>IF(I106="N",T106*Supuestos!$B$4,T106*Supuestos!$C$4)*100</f>
        <v>0</v>
      </c>
      <c r="V106" s="20">
        <f t="shared" si="9"/>
        <v>0</v>
      </c>
      <c r="W106" s="2">
        <f t="shared" si="7"/>
        <v>0</v>
      </c>
      <c r="X106" s="2">
        <f t="shared" si="8"/>
        <v>0</v>
      </c>
    </row>
    <row r="107" spans="1:24" x14ac:dyDescent="0.25">
      <c r="A107" s="6" t="s">
        <v>17</v>
      </c>
      <c r="B107" s="6" t="s">
        <v>569</v>
      </c>
      <c r="C107" s="6" t="s">
        <v>403</v>
      </c>
      <c r="D107" s="6" t="s">
        <v>72</v>
      </c>
      <c r="E107" s="11" t="str">
        <f t="shared" si="5"/>
        <v>AUTOMOVIL</v>
      </c>
      <c r="F107" s="6" t="s">
        <v>14</v>
      </c>
      <c r="G107" s="11"/>
      <c r="H107" s="6" t="s">
        <v>1051</v>
      </c>
      <c r="I107" s="6" t="str">
        <f t="shared" si="6"/>
        <v>E</v>
      </c>
      <c r="J107" s="17" t="s">
        <v>418</v>
      </c>
      <c r="K107" s="6">
        <v>173</v>
      </c>
      <c r="L107" s="9">
        <v>21</v>
      </c>
      <c r="M107" s="21">
        <v>21</v>
      </c>
      <c r="N107" s="2">
        <v>40990</v>
      </c>
      <c r="O107" s="2" t="s">
        <v>1060</v>
      </c>
      <c r="P107" s="2" t="s">
        <v>1331</v>
      </c>
      <c r="Q107" s="2"/>
      <c r="R107" s="2">
        <v>1780</v>
      </c>
      <c r="S107" s="2">
        <v>6.7</v>
      </c>
      <c r="T107" s="2"/>
      <c r="U107" s="39">
        <f>IF(I107="N",T107*Supuestos!$B$4,T107*Supuestos!$C$4)*100</f>
        <v>0</v>
      </c>
      <c r="V107" s="20">
        <f t="shared" si="9"/>
        <v>0</v>
      </c>
      <c r="W107" s="2">
        <f t="shared" si="7"/>
        <v>0</v>
      </c>
      <c r="X107" s="2">
        <f t="shared" si="8"/>
        <v>0</v>
      </c>
    </row>
    <row r="108" spans="1:24" x14ac:dyDescent="0.25">
      <c r="A108" s="6" t="s">
        <v>48</v>
      </c>
      <c r="B108" s="6" t="s">
        <v>322</v>
      </c>
      <c r="C108" s="6" t="s">
        <v>403</v>
      </c>
      <c r="D108" s="6" t="s">
        <v>72</v>
      </c>
      <c r="E108" s="11" t="str">
        <f t="shared" si="5"/>
        <v>AUTOMOVIL</v>
      </c>
      <c r="F108" s="6" t="s">
        <v>21</v>
      </c>
      <c r="G108" s="11">
        <v>1000</v>
      </c>
      <c r="H108" s="6" t="s">
        <v>1050</v>
      </c>
      <c r="I108" s="6" t="str">
        <f t="shared" si="6"/>
        <v>N</v>
      </c>
      <c r="J108" s="17" t="s">
        <v>9</v>
      </c>
      <c r="K108" s="6">
        <v>79</v>
      </c>
      <c r="L108" s="9">
        <v>21</v>
      </c>
      <c r="M108" s="21">
        <v>21</v>
      </c>
      <c r="N108" s="2">
        <v>18290</v>
      </c>
      <c r="O108" s="2" t="s">
        <v>1060</v>
      </c>
      <c r="P108" s="2" t="s">
        <v>427</v>
      </c>
      <c r="Q108" s="2"/>
      <c r="R108" s="2">
        <v>1163</v>
      </c>
      <c r="S108" s="2"/>
      <c r="T108" s="2">
        <v>129</v>
      </c>
      <c r="U108" s="39">
        <f>IF(I108="N",T108*Supuestos!$B$4,T108*Supuestos!$C$4)*100</f>
        <v>5.5202100452759923</v>
      </c>
      <c r="V108" s="20">
        <f t="shared" si="9"/>
        <v>18.115252713178297</v>
      </c>
      <c r="W108" s="2">
        <f t="shared" si="7"/>
        <v>2709</v>
      </c>
      <c r="X108" s="2">
        <f t="shared" si="8"/>
        <v>115.92441095079585</v>
      </c>
    </row>
    <row r="109" spans="1:24" x14ac:dyDescent="0.25">
      <c r="A109" s="6" t="s">
        <v>52</v>
      </c>
      <c r="B109" s="6" t="s">
        <v>995</v>
      </c>
      <c r="C109" s="6" t="s">
        <v>404</v>
      </c>
      <c r="D109" s="6" t="s">
        <v>72</v>
      </c>
      <c r="E109" s="11" t="str">
        <f t="shared" si="5"/>
        <v>AUTOMOVIL</v>
      </c>
      <c r="F109" s="6" t="s">
        <v>21</v>
      </c>
      <c r="G109" s="11">
        <v>1500</v>
      </c>
      <c r="H109" s="6" t="s">
        <v>1050</v>
      </c>
      <c r="I109" s="6" t="str">
        <f t="shared" si="6"/>
        <v>N</v>
      </c>
      <c r="J109" s="17" t="s">
        <v>9</v>
      </c>
      <c r="K109" s="6">
        <v>107</v>
      </c>
      <c r="L109" s="9">
        <v>22</v>
      </c>
      <c r="M109" s="21">
        <v>22</v>
      </c>
      <c r="N109" s="2">
        <v>23990</v>
      </c>
      <c r="O109" s="2" t="s">
        <v>1053</v>
      </c>
      <c r="P109" s="2" t="s">
        <v>1096</v>
      </c>
      <c r="Q109" s="2" t="s">
        <v>429</v>
      </c>
      <c r="R109" s="2">
        <v>1550</v>
      </c>
      <c r="S109" s="2"/>
      <c r="T109" s="2">
        <v>144</v>
      </c>
      <c r="U109" s="39">
        <f>IF(I109="N",T109*Supuestos!$B$4,T109*Supuestos!$C$4)*100</f>
        <v>6.1620949342615727</v>
      </c>
      <c r="V109" s="20">
        <f t="shared" si="9"/>
        <v>16.228247222222222</v>
      </c>
      <c r="W109" s="2">
        <f t="shared" si="7"/>
        <v>3168</v>
      </c>
      <c r="X109" s="2">
        <f t="shared" si="8"/>
        <v>135.56608855375461</v>
      </c>
    </row>
    <row r="110" spans="1:24" x14ac:dyDescent="0.25">
      <c r="A110" s="6" t="s">
        <v>53</v>
      </c>
      <c r="B110" s="6" t="s">
        <v>1016</v>
      </c>
      <c r="C110" s="6" t="s">
        <v>404</v>
      </c>
      <c r="D110" s="6" t="s">
        <v>72</v>
      </c>
      <c r="E110" s="11" t="str">
        <f t="shared" si="5"/>
        <v>AUTOMOVIL</v>
      </c>
      <c r="F110" s="6"/>
      <c r="G110" s="11">
        <v>1400</v>
      </c>
      <c r="H110" s="6" t="s">
        <v>1050</v>
      </c>
      <c r="I110" s="6" t="str">
        <f t="shared" si="6"/>
        <v>N</v>
      </c>
      <c r="J110" s="17" t="s">
        <v>9</v>
      </c>
      <c r="K110" s="6">
        <v>150</v>
      </c>
      <c r="L110" s="9">
        <v>20</v>
      </c>
      <c r="M110" s="21">
        <v>20</v>
      </c>
      <c r="N110" s="2">
        <v>35990</v>
      </c>
      <c r="O110" s="2" t="s">
        <v>1053</v>
      </c>
      <c r="P110" s="2" t="s">
        <v>1088</v>
      </c>
      <c r="Q110" s="2" t="s">
        <v>424</v>
      </c>
      <c r="R110" s="2">
        <v>1700</v>
      </c>
      <c r="S110" s="2"/>
      <c r="T110" s="2">
        <v>148</v>
      </c>
      <c r="U110" s="39">
        <f>IF(I110="N",T110*Supuestos!$B$4,T110*Supuestos!$C$4)*100</f>
        <v>6.3332642379910613</v>
      </c>
      <c r="V110" s="20">
        <f t="shared" si="9"/>
        <v>15.789645945945946</v>
      </c>
      <c r="W110" s="2">
        <f t="shared" si="7"/>
        <v>2960</v>
      </c>
      <c r="X110" s="2">
        <f t="shared" si="8"/>
        <v>126.66528475982122</v>
      </c>
    </row>
    <row r="111" spans="1:24" x14ac:dyDescent="0.25">
      <c r="A111" s="6" t="s">
        <v>80</v>
      </c>
      <c r="B111" s="6" t="s">
        <v>508</v>
      </c>
      <c r="C111" s="6" t="s">
        <v>404</v>
      </c>
      <c r="D111" s="6" t="s">
        <v>72</v>
      </c>
      <c r="E111" s="11" t="str">
        <f t="shared" si="5"/>
        <v>AUTOMOVIL</v>
      </c>
      <c r="F111" s="6" t="s">
        <v>14</v>
      </c>
      <c r="G111" s="11"/>
      <c r="H111" s="6" t="s">
        <v>1051</v>
      </c>
      <c r="I111" s="6" t="str">
        <f t="shared" si="6"/>
        <v>E</v>
      </c>
      <c r="J111" s="17" t="s">
        <v>418</v>
      </c>
      <c r="K111" s="6">
        <v>134</v>
      </c>
      <c r="L111" s="9">
        <v>19</v>
      </c>
      <c r="M111" s="21">
        <v>19</v>
      </c>
      <c r="N111" s="2">
        <v>34900</v>
      </c>
      <c r="O111" s="2" t="s">
        <v>1341</v>
      </c>
      <c r="P111" s="2"/>
      <c r="Q111" s="2"/>
      <c r="R111" s="2"/>
      <c r="S111" s="2">
        <v>5.4</v>
      </c>
      <c r="T111" s="2"/>
      <c r="U111" s="39">
        <f>IF(I111="N",T111*Supuestos!$B$4,T111*Supuestos!$C$4)*100</f>
        <v>0</v>
      </c>
      <c r="V111" s="20">
        <f t="shared" si="9"/>
        <v>0</v>
      </c>
      <c r="W111" s="2">
        <f t="shared" si="7"/>
        <v>0</v>
      </c>
      <c r="X111" s="2">
        <f t="shared" si="8"/>
        <v>0</v>
      </c>
    </row>
    <row r="112" spans="1:24" x14ac:dyDescent="0.25">
      <c r="A112" s="6" t="s">
        <v>53</v>
      </c>
      <c r="B112" s="6" t="s">
        <v>391</v>
      </c>
      <c r="C112" s="6" t="s">
        <v>407</v>
      </c>
      <c r="D112" s="6" t="s">
        <v>72</v>
      </c>
      <c r="E112" s="11" t="str">
        <f t="shared" si="5"/>
        <v>AUTOMOVIL</v>
      </c>
      <c r="F112" s="6" t="s">
        <v>21</v>
      </c>
      <c r="G112" s="11">
        <v>1600</v>
      </c>
      <c r="H112" s="6" t="s">
        <v>1050</v>
      </c>
      <c r="I112" s="6" t="str">
        <f t="shared" si="6"/>
        <v>N</v>
      </c>
      <c r="J112" s="17" t="s">
        <v>9</v>
      </c>
      <c r="K112" s="6">
        <v>110</v>
      </c>
      <c r="L112" s="9">
        <v>18</v>
      </c>
      <c r="M112" s="21">
        <v>18</v>
      </c>
      <c r="N112" s="2">
        <v>22690</v>
      </c>
      <c r="O112" s="2" t="s">
        <v>1053</v>
      </c>
      <c r="P112" s="2" t="s">
        <v>1084</v>
      </c>
      <c r="Q112" s="2" t="s">
        <v>422</v>
      </c>
      <c r="R112" s="2">
        <v>1510</v>
      </c>
      <c r="S112" s="2"/>
      <c r="T112" s="2">
        <v>156</v>
      </c>
      <c r="U112" s="39">
        <f>IF(I112="N",T112*Supuestos!$B$4,T112*Supuestos!$C$4)*100</f>
        <v>6.6756028454500376</v>
      </c>
      <c r="V112" s="20">
        <f t="shared" si="9"/>
        <v>14.979920512820513</v>
      </c>
      <c r="W112" s="2">
        <f t="shared" si="7"/>
        <v>2808</v>
      </c>
      <c r="X112" s="2">
        <f t="shared" si="8"/>
        <v>120.16085121810067</v>
      </c>
    </row>
    <row r="113" spans="1:24" x14ac:dyDescent="0.25">
      <c r="A113" s="6" t="s">
        <v>46</v>
      </c>
      <c r="B113" s="6" t="s">
        <v>283</v>
      </c>
      <c r="C113" s="6" t="s">
        <v>404</v>
      </c>
      <c r="D113" s="6" t="s">
        <v>72</v>
      </c>
      <c r="E113" s="11" t="str">
        <f t="shared" si="5"/>
        <v>AUTOMOVIL</v>
      </c>
      <c r="F113" s="6" t="s">
        <v>24</v>
      </c>
      <c r="G113" s="11">
        <v>1600</v>
      </c>
      <c r="H113" s="6" t="s">
        <v>1050</v>
      </c>
      <c r="I113" s="6" t="str">
        <f t="shared" si="6"/>
        <v>N</v>
      </c>
      <c r="J113" s="17" t="s">
        <v>9</v>
      </c>
      <c r="K113" s="6">
        <v>118</v>
      </c>
      <c r="L113" s="9">
        <v>18</v>
      </c>
      <c r="M113" s="21">
        <v>18</v>
      </c>
      <c r="N113" s="2">
        <v>28490</v>
      </c>
      <c r="O113" s="2" t="s">
        <v>1053</v>
      </c>
      <c r="P113" s="2" t="s">
        <v>1079</v>
      </c>
      <c r="Q113" s="2" t="s">
        <v>429</v>
      </c>
      <c r="R113" s="2">
        <v>1644</v>
      </c>
      <c r="S113" s="2"/>
      <c r="T113" s="2">
        <v>135</v>
      </c>
      <c r="U113" s="39">
        <f>IF(I113="N",T113*Supuestos!$B$4,T113*Supuestos!$C$4)*100</f>
        <v>5.7769640008702243</v>
      </c>
      <c r="V113" s="20">
        <f t="shared" si="9"/>
        <v>17.31013037037037</v>
      </c>
      <c r="W113" s="2">
        <f t="shared" si="7"/>
        <v>2430</v>
      </c>
      <c r="X113" s="2">
        <f t="shared" si="8"/>
        <v>103.98535201566403</v>
      </c>
    </row>
    <row r="114" spans="1:24" x14ac:dyDescent="0.25">
      <c r="A114" s="6" t="s">
        <v>34</v>
      </c>
      <c r="B114" s="6" t="s">
        <v>215</v>
      </c>
      <c r="C114" s="6" t="s">
        <v>407</v>
      </c>
      <c r="D114" s="6" t="s">
        <v>72</v>
      </c>
      <c r="E114" s="11" t="str">
        <f t="shared" si="5"/>
        <v>AUTOMOVIL</v>
      </c>
      <c r="F114" s="6" t="s">
        <v>21</v>
      </c>
      <c r="G114" s="11">
        <v>1600</v>
      </c>
      <c r="H114" s="6" t="s">
        <v>1050</v>
      </c>
      <c r="I114" s="6" t="str">
        <f t="shared" si="6"/>
        <v>N</v>
      </c>
      <c r="J114" s="17" t="s">
        <v>9</v>
      </c>
      <c r="K114" s="6">
        <v>123</v>
      </c>
      <c r="L114" s="9">
        <v>15</v>
      </c>
      <c r="M114" s="9">
        <v>15</v>
      </c>
      <c r="N114" s="2">
        <v>24690</v>
      </c>
      <c r="O114" s="2" t="s">
        <v>1053</v>
      </c>
      <c r="P114" s="2" t="s">
        <v>1072</v>
      </c>
      <c r="Q114" s="2" t="s">
        <v>429</v>
      </c>
      <c r="R114" s="2">
        <v>1420</v>
      </c>
      <c r="S114" s="2"/>
      <c r="T114" s="2">
        <v>132</v>
      </c>
      <c r="U114" s="39">
        <f>IF(I114="N",T114*Supuestos!$B$4,T114*Supuestos!$C$4)*100</f>
        <v>5.6485870230731088</v>
      </c>
      <c r="V114" s="20">
        <f t="shared" si="9"/>
        <v>17.703542424242425</v>
      </c>
      <c r="W114" s="2">
        <f t="shared" si="7"/>
        <v>1980</v>
      </c>
      <c r="X114" s="2">
        <f t="shared" si="8"/>
        <v>84.728805346096635</v>
      </c>
    </row>
    <row r="115" spans="1:24" x14ac:dyDescent="0.25">
      <c r="A115" s="6" t="s">
        <v>475</v>
      </c>
      <c r="B115" s="6" t="s">
        <v>761</v>
      </c>
      <c r="C115" s="6" t="s">
        <v>411</v>
      </c>
      <c r="D115" s="6" t="s">
        <v>72</v>
      </c>
      <c r="E115" s="11" t="str">
        <f t="shared" si="5"/>
        <v>AUTOMOVIL</v>
      </c>
      <c r="F115" s="6" t="s">
        <v>14</v>
      </c>
      <c r="G115" s="11"/>
      <c r="H115" s="6" t="s">
        <v>1051</v>
      </c>
      <c r="I115" s="6" t="str">
        <f t="shared" si="6"/>
        <v>E</v>
      </c>
      <c r="J115" s="17" t="s">
        <v>418</v>
      </c>
      <c r="K115" s="6">
        <v>4.7</v>
      </c>
      <c r="L115" s="9">
        <v>15</v>
      </c>
      <c r="M115" s="21">
        <v>15</v>
      </c>
      <c r="N115" s="2">
        <v>9980</v>
      </c>
      <c r="O115" s="2" t="s">
        <v>1341</v>
      </c>
      <c r="P115" s="2"/>
      <c r="Q115" s="2"/>
      <c r="R115" s="2"/>
      <c r="S115" s="2">
        <v>8.4</v>
      </c>
      <c r="T115" s="2"/>
      <c r="U115" s="39">
        <f>IF(I115="N",T115*Supuestos!$B$4,T115*Supuestos!$C$4)*100</f>
        <v>0</v>
      </c>
      <c r="V115" s="20">
        <f t="shared" si="9"/>
        <v>0</v>
      </c>
      <c r="W115" s="2">
        <f t="shared" si="7"/>
        <v>0</v>
      </c>
      <c r="X115" s="2">
        <f t="shared" si="8"/>
        <v>0</v>
      </c>
    </row>
    <row r="116" spans="1:24" x14ac:dyDescent="0.25">
      <c r="A116" s="6" t="s">
        <v>50</v>
      </c>
      <c r="B116" s="6" t="s">
        <v>966</v>
      </c>
      <c r="C116" s="6" t="s">
        <v>407</v>
      </c>
      <c r="D116" s="6" t="s">
        <v>72</v>
      </c>
      <c r="E116" s="11" t="str">
        <f t="shared" si="5"/>
        <v>AUTOMOVIL</v>
      </c>
      <c r="F116" s="6" t="s">
        <v>35</v>
      </c>
      <c r="G116" s="11">
        <v>1500</v>
      </c>
      <c r="H116" s="6" t="s">
        <v>1050</v>
      </c>
      <c r="I116" s="6" t="str">
        <f t="shared" si="6"/>
        <v>N</v>
      </c>
      <c r="J116" s="17" t="s">
        <v>9</v>
      </c>
      <c r="K116" s="6">
        <v>104</v>
      </c>
      <c r="L116" s="9">
        <v>15</v>
      </c>
      <c r="M116" s="21">
        <v>15</v>
      </c>
      <c r="N116" s="2">
        <v>27490</v>
      </c>
      <c r="O116" s="2" t="s">
        <v>1060</v>
      </c>
      <c r="P116" s="2" t="s">
        <v>1066</v>
      </c>
      <c r="Q116" s="2" t="s">
        <v>424</v>
      </c>
      <c r="R116" s="2">
        <v>1430</v>
      </c>
      <c r="S116" s="2"/>
      <c r="T116" s="2">
        <v>131</v>
      </c>
      <c r="U116" s="39">
        <f>IF(I116="N",T116*Supuestos!$B$4,T116*Supuestos!$C$4)*100</f>
        <v>5.6057946971407366</v>
      </c>
      <c r="V116" s="20">
        <f t="shared" si="9"/>
        <v>17.838683969465649</v>
      </c>
      <c r="W116" s="2">
        <f t="shared" si="7"/>
        <v>1965</v>
      </c>
      <c r="X116" s="2">
        <f t="shared" si="8"/>
        <v>84.086920457111049</v>
      </c>
    </row>
    <row r="117" spans="1:24" x14ac:dyDescent="0.25">
      <c r="A117" s="6" t="s">
        <v>50</v>
      </c>
      <c r="B117" s="6" t="s">
        <v>332</v>
      </c>
      <c r="C117" s="6" t="s">
        <v>404</v>
      </c>
      <c r="D117" s="6" t="s">
        <v>72</v>
      </c>
      <c r="E117" s="11" t="str">
        <f t="shared" si="5"/>
        <v>AUTOMOVIL</v>
      </c>
      <c r="F117" s="6" t="s">
        <v>35</v>
      </c>
      <c r="G117" s="11">
        <v>1200</v>
      </c>
      <c r="H117" s="6" t="s">
        <v>1050</v>
      </c>
      <c r="I117" s="6" t="str">
        <f t="shared" si="6"/>
        <v>N</v>
      </c>
      <c r="J117" s="17" t="s">
        <v>9</v>
      </c>
      <c r="K117" s="6">
        <v>82</v>
      </c>
      <c r="L117" s="9">
        <v>16</v>
      </c>
      <c r="M117" s="21">
        <v>16</v>
      </c>
      <c r="N117" s="2">
        <v>21290</v>
      </c>
      <c r="O117" s="2" t="s">
        <v>1053</v>
      </c>
      <c r="P117" s="2" t="s">
        <v>1059</v>
      </c>
      <c r="Q117" s="2" t="s">
        <v>428</v>
      </c>
      <c r="R117" s="2">
        <v>1315</v>
      </c>
      <c r="S117" s="2"/>
      <c r="T117" s="2">
        <v>117</v>
      </c>
      <c r="U117" s="39">
        <f>IF(I117="N",T117*Supuestos!$B$4,T117*Supuestos!$C$4)*100</f>
        <v>5.0067021340875284</v>
      </c>
      <c r="V117" s="20">
        <f t="shared" si="9"/>
        <v>19.973227350427351</v>
      </c>
      <c r="W117" s="2">
        <f t="shared" si="7"/>
        <v>1872</v>
      </c>
      <c r="X117" s="2">
        <f t="shared" si="8"/>
        <v>80.107234145400454</v>
      </c>
    </row>
    <row r="118" spans="1:24" x14ac:dyDescent="0.25">
      <c r="A118" s="6" t="s">
        <v>62</v>
      </c>
      <c r="B118" s="6" t="s">
        <v>311</v>
      </c>
      <c r="C118" s="6" t="s">
        <v>404</v>
      </c>
      <c r="D118" s="6" t="s">
        <v>72</v>
      </c>
      <c r="E118" s="11" t="str">
        <f t="shared" si="5"/>
        <v>AUTOMOVIL</v>
      </c>
      <c r="F118" s="6" t="s">
        <v>57</v>
      </c>
      <c r="G118" s="11">
        <v>1200</v>
      </c>
      <c r="H118" s="6" t="s">
        <v>1050</v>
      </c>
      <c r="I118" s="6" t="str">
        <f t="shared" si="6"/>
        <v>N</v>
      </c>
      <c r="J118" s="17" t="s">
        <v>9</v>
      </c>
      <c r="K118" s="6">
        <v>130</v>
      </c>
      <c r="L118" s="9">
        <v>14</v>
      </c>
      <c r="M118" s="21"/>
      <c r="N118" s="2"/>
      <c r="O118" s="2"/>
      <c r="P118" s="2"/>
      <c r="Q118" s="2"/>
      <c r="R118" s="2"/>
      <c r="S118" s="2"/>
      <c r="T118" s="2"/>
      <c r="U118" s="39">
        <f>IF(I118="N",T118*Supuestos!$B$4,T118*Supuestos!$C$4)*100</f>
        <v>0</v>
      </c>
      <c r="V118" s="20">
        <f t="shared" si="9"/>
        <v>0</v>
      </c>
      <c r="W118" s="2">
        <f t="shared" si="7"/>
        <v>0</v>
      </c>
      <c r="X118" s="2">
        <f t="shared" si="8"/>
        <v>0</v>
      </c>
    </row>
    <row r="119" spans="1:24" x14ac:dyDescent="0.25">
      <c r="A119" s="6" t="s">
        <v>18</v>
      </c>
      <c r="B119" s="6" t="s">
        <v>588</v>
      </c>
      <c r="C119" s="6" t="s">
        <v>411</v>
      </c>
      <c r="D119" s="6" t="s">
        <v>72</v>
      </c>
      <c r="E119" s="11" t="str">
        <f t="shared" si="5"/>
        <v>AUTOMOVIL</v>
      </c>
      <c r="F119" s="6"/>
      <c r="G119" s="11"/>
      <c r="H119" s="6" t="s">
        <v>1051</v>
      </c>
      <c r="I119" s="6" t="str">
        <f t="shared" si="6"/>
        <v>E</v>
      </c>
      <c r="J119" s="17" t="s">
        <v>418</v>
      </c>
      <c r="K119" s="6">
        <v>0</v>
      </c>
      <c r="L119" s="9">
        <v>13</v>
      </c>
      <c r="M119" s="21">
        <v>13</v>
      </c>
      <c r="N119" s="2">
        <v>23990</v>
      </c>
      <c r="O119" s="2" t="s">
        <v>1341</v>
      </c>
      <c r="P119" s="2"/>
      <c r="Q119" s="2"/>
      <c r="R119" s="2"/>
      <c r="S119" s="2">
        <v>8.4</v>
      </c>
      <c r="T119" s="2"/>
      <c r="U119" s="39">
        <f>IF(I119="N",T119*Supuestos!$B$4,T119*Supuestos!$C$4)*100</f>
        <v>0</v>
      </c>
      <c r="V119" s="20">
        <f t="shared" si="9"/>
        <v>0</v>
      </c>
      <c r="W119" s="2">
        <f t="shared" si="7"/>
        <v>0</v>
      </c>
      <c r="X119" s="2">
        <f t="shared" si="8"/>
        <v>0</v>
      </c>
    </row>
    <row r="120" spans="1:24" x14ac:dyDescent="0.25">
      <c r="A120" s="6" t="s">
        <v>478</v>
      </c>
      <c r="B120" s="6" t="s">
        <v>792</v>
      </c>
      <c r="C120" s="6" t="s">
        <v>407</v>
      </c>
      <c r="D120" s="6" t="s">
        <v>72</v>
      </c>
      <c r="E120" s="11" t="str">
        <f t="shared" si="5"/>
        <v>AUTOMOVIL</v>
      </c>
      <c r="F120" s="6" t="s">
        <v>14</v>
      </c>
      <c r="G120" s="11"/>
      <c r="H120" s="6" t="s">
        <v>1051</v>
      </c>
      <c r="I120" s="6" t="str">
        <f t="shared" si="6"/>
        <v>E</v>
      </c>
      <c r="J120" s="17" t="s">
        <v>418</v>
      </c>
      <c r="K120" s="6">
        <v>107</v>
      </c>
      <c r="L120" s="9">
        <v>13</v>
      </c>
      <c r="M120" s="21">
        <v>13</v>
      </c>
      <c r="N120" s="2">
        <v>26490</v>
      </c>
      <c r="O120" s="2" t="s">
        <v>1060</v>
      </c>
      <c r="P120" s="2" t="s">
        <v>1345</v>
      </c>
      <c r="Q120" s="2"/>
      <c r="R120" s="2">
        <v>1475</v>
      </c>
      <c r="S120" s="2">
        <v>8.1</v>
      </c>
      <c r="T120" s="2"/>
      <c r="U120" s="39">
        <f>IF(I120="N",T120*Supuestos!$B$4,T120*Supuestos!$C$4)*100</f>
        <v>0</v>
      </c>
      <c r="V120" s="20">
        <f t="shared" si="9"/>
        <v>0</v>
      </c>
      <c r="W120" s="2">
        <f t="shared" si="7"/>
        <v>0</v>
      </c>
      <c r="X120" s="2">
        <f t="shared" si="8"/>
        <v>0</v>
      </c>
    </row>
    <row r="121" spans="1:24" x14ac:dyDescent="0.25">
      <c r="A121" s="6" t="s">
        <v>17</v>
      </c>
      <c r="B121" s="6" t="s">
        <v>574</v>
      </c>
      <c r="C121" s="6" t="s">
        <v>404</v>
      </c>
      <c r="D121" s="6" t="s">
        <v>72</v>
      </c>
      <c r="E121" s="11" t="str">
        <f t="shared" si="5"/>
        <v>AUTOMOVIL</v>
      </c>
      <c r="F121" s="6"/>
      <c r="G121" s="11"/>
      <c r="H121" s="6" t="s">
        <v>1051</v>
      </c>
      <c r="I121" s="6" t="str">
        <f t="shared" si="6"/>
        <v>E</v>
      </c>
      <c r="J121" s="17" t="s">
        <v>418</v>
      </c>
      <c r="K121" s="6">
        <v>523</v>
      </c>
      <c r="L121" s="9">
        <v>13</v>
      </c>
      <c r="M121" s="21">
        <v>13</v>
      </c>
      <c r="N121" s="2">
        <v>62990</v>
      </c>
      <c r="O121" s="2" t="s">
        <v>1060</v>
      </c>
      <c r="P121" s="2" t="s">
        <v>1333</v>
      </c>
      <c r="Q121" s="2"/>
      <c r="R121" s="2">
        <v>2631</v>
      </c>
      <c r="S121" s="2">
        <v>6.3</v>
      </c>
      <c r="T121" s="2"/>
      <c r="U121" s="39">
        <f>IF(I121="N",T121*Supuestos!$B$4,T121*Supuestos!$C$4)*100</f>
        <v>0</v>
      </c>
      <c r="V121" s="20">
        <f t="shared" si="9"/>
        <v>0</v>
      </c>
      <c r="W121" s="2">
        <f t="shared" si="7"/>
        <v>0</v>
      </c>
      <c r="X121" s="2">
        <f t="shared" si="8"/>
        <v>0</v>
      </c>
    </row>
    <row r="122" spans="1:24" x14ac:dyDescent="0.25">
      <c r="A122" s="6" t="s">
        <v>46</v>
      </c>
      <c r="B122" s="6" t="s">
        <v>284</v>
      </c>
      <c r="C122" s="6" t="s">
        <v>404</v>
      </c>
      <c r="D122" s="6" t="s">
        <v>72</v>
      </c>
      <c r="E122" s="11" t="str">
        <f t="shared" si="5"/>
        <v>AUTOMOVIL</v>
      </c>
      <c r="F122" s="6" t="s">
        <v>24</v>
      </c>
      <c r="G122" s="11">
        <v>1600</v>
      </c>
      <c r="H122" s="6" t="s">
        <v>1050</v>
      </c>
      <c r="I122" s="6" t="str">
        <f t="shared" si="6"/>
        <v>N</v>
      </c>
      <c r="J122" s="17" t="s">
        <v>9</v>
      </c>
      <c r="K122" s="6">
        <v>118</v>
      </c>
      <c r="L122" s="9">
        <v>13</v>
      </c>
      <c r="M122" s="21">
        <v>13</v>
      </c>
      <c r="N122" s="2">
        <v>23990</v>
      </c>
      <c r="O122" s="2" t="s">
        <v>1053</v>
      </c>
      <c r="P122" s="2" t="s">
        <v>1079</v>
      </c>
      <c r="Q122" s="2" t="s">
        <v>429</v>
      </c>
      <c r="R122" s="2">
        <v>1532</v>
      </c>
      <c r="S122" s="2"/>
      <c r="T122" s="2">
        <v>137</v>
      </c>
      <c r="U122" s="39">
        <f>IF(I122="N",T122*Supuestos!$B$4,T122*Supuestos!$C$4)*100</f>
        <v>5.8625486527349686</v>
      </c>
      <c r="V122" s="20">
        <f t="shared" si="9"/>
        <v>17.057427737226277</v>
      </c>
      <c r="W122" s="2">
        <f t="shared" si="7"/>
        <v>1781</v>
      </c>
      <c r="X122" s="2">
        <f t="shared" si="8"/>
        <v>76.213132485554596</v>
      </c>
    </row>
    <row r="123" spans="1:24" x14ac:dyDescent="0.25">
      <c r="A123" s="6" t="s">
        <v>34</v>
      </c>
      <c r="B123" s="6" t="s">
        <v>212</v>
      </c>
      <c r="C123" s="6" t="s">
        <v>407</v>
      </c>
      <c r="D123" s="6" t="s">
        <v>72</v>
      </c>
      <c r="E123" s="11" t="str">
        <f t="shared" si="5"/>
        <v>AUTOMOVIL</v>
      </c>
      <c r="F123" s="6" t="s">
        <v>21</v>
      </c>
      <c r="G123" s="11">
        <v>1600</v>
      </c>
      <c r="H123" s="6" t="s">
        <v>1050</v>
      </c>
      <c r="I123" s="6" t="str">
        <f t="shared" si="6"/>
        <v>N</v>
      </c>
      <c r="J123" s="17" t="s">
        <v>9</v>
      </c>
      <c r="K123" s="6">
        <v>123</v>
      </c>
      <c r="L123" s="9">
        <v>12</v>
      </c>
      <c r="M123" s="9">
        <v>12</v>
      </c>
      <c r="N123" s="2">
        <v>20690</v>
      </c>
      <c r="O123" s="2" t="s">
        <v>1053</v>
      </c>
      <c r="P123" s="2" t="s">
        <v>1072</v>
      </c>
      <c r="Q123" s="2" t="s">
        <v>429</v>
      </c>
      <c r="R123" s="2">
        <v>1420</v>
      </c>
      <c r="S123" s="2"/>
      <c r="T123" s="2">
        <v>132</v>
      </c>
      <c r="U123" s="39">
        <f>IF(I123="N",T123*Supuestos!$B$4,T123*Supuestos!$C$4)*100</f>
        <v>5.6485870230731088</v>
      </c>
      <c r="V123" s="20">
        <f t="shared" si="9"/>
        <v>17.703542424242425</v>
      </c>
      <c r="W123" s="2">
        <f t="shared" si="7"/>
        <v>1584</v>
      </c>
      <c r="X123" s="2">
        <f t="shared" si="8"/>
        <v>67.783044276877305</v>
      </c>
    </row>
    <row r="124" spans="1:24" x14ac:dyDescent="0.25">
      <c r="A124" s="6" t="s">
        <v>43</v>
      </c>
      <c r="B124" s="6" t="s">
        <v>857</v>
      </c>
      <c r="C124" s="6" t="s">
        <v>400</v>
      </c>
      <c r="D124" s="6" t="s">
        <v>72</v>
      </c>
      <c r="E124" s="11" t="str">
        <f t="shared" si="5"/>
        <v>AUTOMOVIL</v>
      </c>
      <c r="F124" s="6" t="s">
        <v>416</v>
      </c>
      <c r="G124" s="11">
        <v>2000</v>
      </c>
      <c r="H124" s="6" t="s">
        <v>1050</v>
      </c>
      <c r="I124" s="6" t="str">
        <f t="shared" si="6"/>
        <v>N</v>
      </c>
      <c r="J124" s="17" t="s">
        <v>9</v>
      </c>
      <c r="K124" s="6">
        <v>192</v>
      </c>
      <c r="L124" s="9">
        <v>12</v>
      </c>
      <c r="M124" s="21">
        <v>12</v>
      </c>
      <c r="N124" s="2">
        <v>77990</v>
      </c>
      <c r="O124" s="2" t="s">
        <v>1060</v>
      </c>
      <c r="P124" s="2" t="s">
        <v>1111</v>
      </c>
      <c r="Q124" s="2" t="s">
        <v>424</v>
      </c>
      <c r="R124" s="2">
        <v>1745</v>
      </c>
      <c r="S124" s="2"/>
      <c r="T124" s="2">
        <v>147</v>
      </c>
      <c r="U124" s="39">
        <f>IF(I124="N",T124*Supuestos!$B$4,T124*Supuestos!$C$4)*100</f>
        <v>6.2904719120586883</v>
      </c>
      <c r="V124" s="20">
        <f t="shared" si="9"/>
        <v>15.897058503401363</v>
      </c>
      <c r="W124" s="2">
        <f t="shared" si="7"/>
        <v>1764</v>
      </c>
      <c r="X124" s="2">
        <f t="shared" si="8"/>
        <v>75.485662944704259</v>
      </c>
    </row>
    <row r="125" spans="1:24" x14ac:dyDescent="0.25">
      <c r="A125" s="6" t="s">
        <v>52</v>
      </c>
      <c r="B125" s="6" t="s">
        <v>991</v>
      </c>
      <c r="C125" s="6" t="s">
        <v>404</v>
      </c>
      <c r="D125" s="6" t="s">
        <v>72</v>
      </c>
      <c r="E125" s="11" t="str">
        <f t="shared" si="5"/>
        <v>AUTOMOVIL</v>
      </c>
      <c r="F125" s="6" t="s">
        <v>21</v>
      </c>
      <c r="G125" s="11">
        <v>1500</v>
      </c>
      <c r="H125" s="6" t="s">
        <v>1050</v>
      </c>
      <c r="I125" s="6" t="str">
        <f t="shared" si="6"/>
        <v>N</v>
      </c>
      <c r="J125" s="17" t="s">
        <v>9</v>
      </c>
      <c r="K125" s="6">
        <v>107</v>
      </c>
      <c r="L125" s="9">
        <v>13</v>
      </c>
      <c r="M125" s="21">
        <v>13</v>
      </c>
      <c r="N125" s="2">
        <v>28490</v>
      </c>
      <c r="O125" s="2" t="s">
        <v>1053</v>
      </c>
      <c r="P125" s="2" t="s">
        <v>1096</v>
      </c>
      <c r="Q125" s="2" t="s">
        <v>429</v>
      </c>
      <c r="R125" s="2">
        <v>1550</v>
      </c>
      <c r="S125" s="2"/>
      <c r="T125" s="2">
        <v>137</v>
      </c>
      <c r="U125" s="39">
        <f>IF(I125="N",T125*Supuestos!$B$4,T125*Supuestos!$C$4)*100</f>
        <v>5.8625486527349686</v>
      </c>
      <c r="V125" s="20">
        <f t="shared" si="9"/>
        <v>17.057427737226277</v>
      </c>
      <c r="W125" s="2">
        <f t="shared" si="7"/>
        <v>1781</v>
      </c>
      <c r="X125" s="2">
        <f t="shared" si="8"/>
        <v>76.213132485554596</v>
      </c>
    </row>
    <row r="126" spans="1:24" x14ac:dyDescent="0.25">
      <c r="A126" s="6" t="s">
        <v>62</v>
      </c>
      <c r="B126" s="6" t="s">
        <v>901</v>
      </c>
      <c r="C126" s="6" t="s">
        <v>407</v>
      </c>
      <c r="D126" s="6" t="s">
        <v>72</v>
      </c>
      <c r="E126" s="11" t="str">
        <f t="shared" si="5"/>
        <v>AUTOMOVIL</v>
      </c>
      <c r="F126" s="6" t="s">
        <v>412</v>
      </c>
      <c r="G126" s="11"/>
      <c r="H126" s="6" t="s">
        <v>1051</v>
      </c>
      <c r="I126" s="6" t="str">
        <f t="shared" si="6"/>
        <v>E</v>
      </c>
      <c r="J126" s="17" t="s">
        <v>418</v>
      </c>
      <c r="K126" s="6">
        <v>136</v>
      </c>
      <c r="L126" s="9">
        <v>12</v>
      </c>
      <c r="M126" s="21">
        <v>12</v>
      </c>
      <c r="N126" s="2">
        <v>43000</v>
      </c>
      <c r="O126" s="2" t="s">
        <v>1060</v>
      </c>
      <c r="P126" s="2" t="s">
        <v>1346</v>
      </c>
      <c r="Q126" s="2"/>
      <c r="R126" s="2">
        <v>1910</v>
      </c>
      <c r="S126" s="2">
        <v>7.6</v>
      </c>
      <c r="T126" s="2"/>
      <c r="U126" s="39">
        <f>IF(I126="N",T126*Supuestos!$B$4,T126*Supuestos!$C$4)*100</f>
        <v>0</v>
      </c>
      <c r="V126" s="20">
        <f t="shared" si="9"/>
        <v>0</v>
      </c>
      <c r="W126" s="2">
        <f t="shared" si="7"/>
        <v>0</v>
      </c>
      <c r="X126" s="2">
        <f t="shared" si="8"/>
        <v>0</v>
      </c>
    </row>
    <row r="127" spans="1:24" x14ac:dyDescent="0.25">
      <c r="A127" s="6" t="s">
        <v>53</v>
      </c>
      <c r="B127" s="6" t="s">
        <v>389</v>
      </c>
      <c r="C127" s="6" t="s">
        <v>407</v>
      </c>
      <c r="D127" s="6" t="s">
        <v>72</v>
      </c>
      <c r="E127" s="11" t="str">
        <f t="shared" si="5"/>
        <v>AUTOMOVIL</v>
      </c>
      <c r="F127" s="6" t="s">
        <v>21</v>
      </c>
      <c r="G127" s="11">
        <v>1600</v>
      </c>
      <c r="H127" s="6" t="s">
        <v>1050</v>
      </c>
      <c r="I127" s="6" t="str">
        <f t="shared" si="6"/>
        <v>N</v>
      </c>
      <c r="J127" s="17" t="s">
        <v>9</v>
      </c>
      <c r="K127" s="6">
        <v>110</v>
      </c>
      <c r="L127" s="9">
        <v>11</v>
      </c>
      <c r="M127" s="21">
        <v>11</v>
      </c>
      <c r="N127" s="2">
        <v>26990</v>
      </c>
      <c r="O127" s="2" t="s">
        <v>1053</v>
      </c>
      <c r="P127" s="2" t="s">
        <v>1084</v>
      </c>
      <c r="Q127" s="2" t="s">
        <v>422</v>
      </c>
      <c r="R127" s="2">
        <v>1510</v>
      </c>
      <c r="S127" s="2"/>
      <c r="T127" s="2">
        <v>156</v>
      </c>
      <c r="U127" s="39">
        <f>IF(I127="N",T127*Supuestos!$B$4,T127*Supuestos!$C$4)*100</f>
        <v>6.6756028454500376</v>
      </c>
      <c r="V127" s="20">
        <f t="shared" si="9"/>
        <v>14.979920512820513</v>
      </c>
      <c r="W127" s="2">
        <f t="shared" si="7"/>
        <v>1716</v>
      </c>
      <c r="X127" s="2">
        <f t="shared" si="8"/>
        <v>73.431631299950411</v>
      </c>
    </row>
    <row r="128" spans="1:24" x14ac:dyDescent="0.25">
      <c r="A128" s="6" t="s">
        <v>484</v>
      </c>
      <c r="B128" s="6" t="s">
        <v>1044</v>
      </c>
      <c r="C128" s="6" t="s">
        <v>411</v>
      </c>
      <c r="D128" s="6" t="s">
        <v>72</v>
      </c>
      <c r="E128" s="11" t="str">
        <f t="shared" si="5"/>
        <v>AUTOMOVIL</v>
      </c>
      <c r="F128" s="6" t="s">
        <v>14</v>
      </c>
      <c r="G128" s="11"/>
      <c r="H128" s="6" t="s">
        <v>1051</v>
      </c>
      <c r="I128" s="6" t="str">
        <f t="shared" si="6"/>
        <v>E</v>
      </c>
      <c r="J128" s="17" t="s">
        <v>418</v>
      </c>
      <c r="K128" s="6">
        <v>20</v>
      </c>
      <c r="L128" s="9">
        <v>11</v>
      </c>
      <c r="M128" s="21">
        <v>11</v>
      </c>
      <c r="N128" s="2">
        <v>19900</v>
      </c>
      <c r="O128" s="2" t="s">
        <v>1341</v>
      </c>
      <c r="P128" s="2"/>
      <c r="Q128" s="2"/>
      <c r="R128" s="2"/>
      <c r="S128" s="2">
        <v>8.4</v>
      </c>
      <c r="T128" s="2"/>
      <c r="U128" s="39">
        <f>IF(I128="N",T128*Supuestos!$B$4,T128*Supuestos!$C$4)*100</f>
        <v>0</v>
      </c>
      <c r="V128" s="20">
        <f t="shared" si="9"/>
        <v>0</v>
      </c>
      <c r="W128" s="2">
        <f t="shared" si="7"/>
        <v>0</v>
      </c>
      <c r="X128" s="2">
        <f t="shared" si="8"/>
        <v>0</v>
      </c>
    </row>
    <row r="129" spans="1:24" x14ac:dyDescent="0.25">
      <c r="A129" s="6" t="s">
        <v>46</v>
      </c>
      <c r="B129" s="6" t="s">
        <v>282</v>
      </c>
      <c r="C129" s="6" t="s">
        <v>404</v>
      </c>
      <c r="D129" s="6" t="s">
        <v>72</v>
      </c>
      <c r="E129" s="11" t="str">
        <f t="shared" si="5"/>
        <v>AUTOMOVIL</v>
      </c>
      <c r="F129" s="6" t="s">
        <v>24</v>
      </c>
      <c r="G129" s="11">
        <v>1600</v>
      </c>
      <c r="H129" s="6" t="s">
        <v>1050</v>
      </c>
      <c r="I129" s="6" t="str">
        <f t="shared" si="6"/>
        <v>N</v>
      </c>
      <c r="J129" s="17" t="s">
        <v>9</v>
      </c>
      <c r="K129" s="6">
        <v>118</v>
      </c>
      <c r="L129" s="9">
        <v>12</v>
      </c>
      <c r="M129" s="21">
        <v>12</v>
      </c>
      <c r="N129" s="2">
        <v>25490</v>
      </c>
      <c r="O129" s="2" t="s">
        <v>1053</v>
      </c>
      <c r="P129" s="2" t="s">
        <v>1079</v>
      </c>
      <c r="Q129" s="2" t="s">
        <v>429</v>
      </c>
      <c r="R129" s="2">
        <v>1532</v>
      </c>
      <c r="S129" s="2"/>
      <c r="T129" s="2">
        <v>137</v>
      </c>
      <c r="U129" s="39">
        <f>IF(I129="N",T129*Supuestos!$B$4,T129*Supuestos!$C$4)*100</f>
        <v>5.8625486527349686</v>
      </c>
      <c r="V129" s="20">
        <f t="shared" si="9"/>
        <v>17.057427737226277</v>
      </c>
      <c r="W129" s="2">
        <f t="shared" si="7"/>
        <v>1644</v>
      </c>
      <c r="X129" s="2">
        <f t="shared" si="8"/>
        <v>70.350583832819623</v>
      </c>
    </row>
    <row r="130" spans="1:24" x14ac:dyDescent="0.25">
      <c r="A130" s="6" t="s">
        <v>43</v>
      </c>
      <c r="B130" s="6" t="s">
        <v>860</v>
      </c>
      <c r="C130" s="6" t="s">
        <v>400</v>
      </c>
      <c r="D130" s="6" t="s">
        <v>72</v>
      </c>
      <c r="E130" s="11" t="str">
        <f t="shared" ref="E130:E193" si="10">IF(D130="COMERCIAL","UTILITARIO",IF(C130="SUV Y CROSSOVER","SUV","AUTOMOVIL"))</f>
        <v>AUTOMOVIL</v>
      </c>
      <c r="F130" s="6" t="s">
        <v>415</v>
      </c>
      <c r="G130" s="11">
        <v>2000</v>
      </c>
      <c r="H130" s="6" t="s">
        <v>1050</v>
      </c>
      <c r="I130" s="6" t="str">
        <f t="shared" ref="I130:I193" si="11">IF(H130="NAFTA","N",IF(H130="DIESEL","D",IF(H130="ELÉCTRICO","E","")))</f>
        <v>N</v>
      </c>
      <c r="J130" s="17" t="s">
        <v>9</v>
      </c>
      <c r="K130" s="6">
        <v>231</v>
      </c>
      <c r="L130" s="9">
        <v>10</v>
      </c>
      <c r="M130" s="21">
        <v>10</v>
      </c>
      <c r="N130" s="2">
        <v>72990</v>
      </c>
      <c r="O130" s="2" t="s">
        <v>1060</v>
      </c>
      <c r="P130" s="2" t="s">
        <v>1112</v>
      </c>
      <c r="Q130" s="2" t="s">
        <v>424</v>
      </c>
      <c r="R130" s="2">
        <v>1795</v>
      </c>
      <c r="S130" s="2"/>
      <c r="T130" s="2">
        <v>149</v>
      </c>
      <c r="U130" s="39">
        <f>IF(I130="N",T130*Supuestos!$B$4,T130*Supuestos!$C$4)*100</f>
        <v>6.3760565639234335</v>
      </c>
      <c r="V130" s="20">
        <f t="shared" si="9"/>
        <v>15.683675167785234</v>
      </c>
      <c r="W130" s="2">
        <f t="shared" ref="W130:W193" si="12">T130*M130</f>
        <v>1490</v>
      </c>
      <c r="X130" s="2">
        <f t="shared" ref="X130:X193" si="13">+U130*M130</f>
        <v>63.760565639234336</v>
      </c>
    </row>
    <row r="131" spans="1:24" x14ac:dyDescent="0.25">
      <c r="A131" s="6" t="s">
        <v>90</v>
      </c>
      <c r="B131" s="6" t="s">
        <v>290</v>
      </c>
      <c r="C131" s="6" t="s">
        <v>407</v>
      </c>
      <c r="D131" s="6" t="s">
        <v>72</v>
      </c>
      <c r="E131" s="11" t="str">
        <f t="shared" si="10"/>
        <v>AUTOMOVIL</v>
      </c>
      <c r="F131" s="6" t="s">
        <v>57</v>
      </c>
      <c r="G131" s="11">
        <v>1200</v>
      </c>
      <c r="H131" s="6" t="s">
        <v>1050</v>
      </c>
      <c r="I131" s="6" t="str">
        <f t="shared" si="11"/>
        <v>N</v>
      </c>
      <c r="J131" s="17" t="s">
        <v>9</v>
      </c>
      <c r="K131" s="6">
        <v>100</v>
      </c>
      <c r="L131" s="9">
        <v>10</v>
      </c>
      <c r="M131" s="21"/>
      <c r="N131" s="2"/>
      <c r="O131" s="2"/>
      <c r="P131" s="2"/>
      <c r="Q131" s="2"/>
      <c r="R131" s="2"/>
      <c r="S131" s="2"/>
      <c r="T131" s="2"/>
      <c r="U131" s="39">
        <f>IF(I131="N",T131*Supuestos!$B$4,T131*Supuestos!$C$4)*100</f>
        <v>0</v>
      </c>
      <c r="V131" s="20">
        <f t="shared" ref="V131:V194" si="14">IF(U131&gt;0,100/U131,0)</f>
        <v>0</v>
      </c>
      <c r="W131" s="2">
        <f t="shared" si="12"/>
        <v>0</v>
      </c>
      <c r="X131" s="2">
        <f t="shared" si="13"/>
        <v>0</v>
      </c>
    </row>
    <row r="132" spans="1:24" x14ac:dyDescent="0.25">
      <c r="A132" s="6" t="s">
        <v>15</v>
      </c>
      <c r="B132" s="6" t="s">
        <v>112</v>
      </c>
      <c r="C132" s="6" t="s">
        <v>400</v>
      </c>
      <c r="D132" s="6" t="s">
        <v>72</v>
      </c>
      <c r="E132" s="11" t="str">
        <f t="shared" si="10"/>
        <v>AUTOMOVIL</v>
      </c>
      <c r="F132" s="6" t="s">
        <v>11</v>
      </c>
      <c r="G132" s="11">
        <v>2000</v>
      </c>
      <c r="H132" s="6" t="s">
        <v>1050</v>
      </c>
      <c r="I132" s="6" t="str">
        <f t="shared" si="11"/>
        <v>N</v>
      </c>
      <c r="J132" s="17" t="s">
        <v>9</v>
      </c>
      <c r="K132" s="6">
        <v>265</v>
      </c>
      <c r="L132" s="9">
        <v>9</v>
      </c>
      <c r="M132" s="21">
        <v>9</v>
      </c>
      <c r="N132" s="2">
        <v>73990</v>
      </c>
      <c r="O132" s="2" t="s">
        <v>1060</v>
      </c>
      <c r="P132" s="2" t="s">
        <v>1113</v>
      </c>
      <c r="Q132" s="2" t="s">
        <v>424</v>
      </c>
      <c r="R132" s="2">
        <v>2000</v>
      </c>
      <c r="S132" s="2"/>
      <c r="T132" s="2">
        <v>156</v>
      </c>
      <c r="U132" s="39">
        <f>IF(I132="N",T132*Supuestos!$B$4,T132*Supuestos!$C$4)*100</f>
        <v>6.6756028454500376</v>
      </c>
      <c r="V132" s="20">
        <f t="shared" si="14"/>
        <v>14.979920512820513</v>
      </c>
      <c r="W132" s="2">
        <f t="shared" si="12"/>
        <v>1404</v>
      </c>
      <c r="X132" s="2">
        <f t="shared" si="13"/>
        <v>60.080425609050337</v>
      </c>
    </row>
    <row r="133" spans="1:24" x14ac:dyDescent="0.25">
      <c r="A133" s="6" t="s">
        <v>42</v>
      </c>
      <c r="B133" s="6" t="s">
        <v>820</v>
      </c>
      <c r="C133" s="6" t="s">
        <v>400</v>
      </c>
      <c r="D133" s="6" t="s">
        <v>72</v>
      </c>
      <c r="E133" s="11" t="str">
        <f t="shared" si="10"/>
        <v>AUTOMOVIL</v>
      </c>
      <c r="F133" s="6" t="s">
        <v>11</v>
      </c>
      <c r="G133" s="11">
        <v>2000</v>
      </c>
      <c r="H133" s="6" t="s">
        <v>1050</v>
      </c>
      <c r="I133" s="6" t="str">
        <f t="shared" si="11"/>
        <v>N</v>
      </c>
      <c r="J133" s="17" t="s">
        <v>9</v>
      </c>
      <c r="K133" s="6">
        <v>306</v>
      </c>
      <c r="L133" s="9">
        <v>9</v>
      </c>
      <c r="M133" s="21">
        <v>9</v>
      </c>
      <c r="N133" s="2">
        <v>104990</v>
      </c>
      <c r="O133" s="2" t="s">
        <v>1060</v>
      </c>
      <c r="P133" s="2" t="s">
        <v>1114</v>
      </c>
      <c r="Q133" s="2" t="s">
        <v>424</v>
      </c>
      <c r="R133" s="2">
        <v>2130</v>
      </c>
      <c r="S133" s="2"/>
      <c r="T133" s="2">
        <v>175</v>
      </c>
      <c r="U133" s="39">
        <f>IF(I133="N",T133*Supuestos!$B$4,T133*Supuestos!$C$4)*100</f>
        <v>7.4886570381651056</v>
      </c>
      <c r="V133" s="20">
        <f t="shared" si="14"/>
        <v>13.353529142857143</v>
      </c>
      <c r="W133" s="2">
        <f t="shared" si="12"/>
        <v>1575</v>
      </c>
      <c r="X133" s="2">
        <f t="shared" si="13"/>
        <v>67.397913343485953</v>
      </c>
    </row>
    <row r="134" spans="1:24" x14ac:dyDescent="0.25">
      <c r="A134" s="6" t="s">
        <v>42</v>
      </c>
      <c r="B134" s="6" t="s">
        <v>248</v>
      </c>
      <c r="C134" s="6" t="s">
        <v>400</v>
      </c>
      <c r="D134" s="6" t="s">
        <v>72</v>
      </c>
      <c r="E134" s="11" t="str">
        <f t="shared" si="10"/>
        <v>AUTOMOVIL</v>
      </c>
      <c r="F134" s="6" t="s">
        <v>11</v>
      </c>
      <c r="G134" s="11">
        <v>2000</v>
      </c>
      <c r="H134" s="6" t="s">
        <v>1050</v>
      </c>
      <c r="I134" s="6" t="str">
        <f t="shared" si="11"/>
        <v>N</v>
      </c>
      <c r="J134" s="17" t="s">
        <v>419</v>
      </c>
      <c r="K134" s="6">
        <v>258</v>
      </c>
      <c r="L134" s="9">
        <v>9</v>
      </c>
      <c r="M134" s="21">
        <v>9</v>
      </c>
      <c r="N134" s="2">
        <v>79990</v>
      </c>
      <c r="O134" s="2" t="s">
        <v>1060</v>
      </c>
      <c r="P134" s="2" t="s">
        <v>1115</v>
      </c>
      <c r="Q134" s="2" t="s">
        <v>424</v>
      </c>
      <c r="R134" s="2">
        <v>2200</v>
      </c>
      <c r="S134" s="2"/>
      <c r="T134" s="2">
        <v>166</v>
      </c>
      <c r="U134" s="39">
        <f>IF(I134="N",T134*Supuestos!$B$4,T134*Supuestos!$C$4)*100</f>
        <v>7.1035261047737581</v>
      </c>
      <c r="V134" s="20">
        <f t="shared" si="14"/>
        <v>14.077515662650601</v>
      </c>
      <c r="W134" s="2">
        <f t="shared" si="12"/>
        <v>1494</v>
      </c>
      <c r="X134" s="2">
        <f t="shared" si="13"/>
        <v>63.931734942963821</v>
      </c>
    </row>
    <row r="135" spans="1:24" x14ac:dyDescent="0.25">
      <c r="A135" s="6" t="s">
        <v>17</v>
      </c>
      <c r="B135" s="6" t="s">
        <v>573</v>
      </c>
      <c r="C135" s="6" t="s">
        <v>404</v>
      </c>
      <c r="D135" s="6" t="s">
        <v>72</v>
      </c>
      <c r="E135" s="11" t="str">
        <f t="shared" si="10"/>
        <v>AUTOMOVIL</v>
      </c>
      <c r="F135" s="6"/>
      <c r="G135" s="11"/>
      <c r="H135" s="6" t="s">
        <v>1051</v>
      </c>
      <c r="I135" s="6" t="str">
        <f t="shared" si="11"/>
        <v>E</v>
      </c>
      <c r="J135" s="17" t="s">
        <v>418</v>
      </c>
      <c r="K135" s="6">
        <v>208</v>
      </c>
      <c r="L135" s="9">
        <v>10</v>
      </c>
      <c r="M135" s="21">
        <v>10</v>
      </c>
      <c r="N135" s="2">
        <v>53990</v>
      </c>
      <c r="O135" s="2" t="s">
        <v>1060</v>
      </c>
      <c r="P135" s="2" t="s">
        <v>1333</v>
      </c>
      <c r="Q135" s="2"/>
      <c r="R135" s="2">
        <v>2631</v>
      </c>
      <c r="S135" s="2">
        <v>6.3</v>
      </c>
      <c r="T135" s="2"/>
      <c r="U135" s="39">
        <f>IF(I135="N",T135*Supuestos!$B$4,T135*Supuestos!$C$4)*100</f>
        <v>0</v>
      </c>
      <c r="V135" s="20">
        <f t="shared" si="14"/>
        <v>0</v>
      </c>
      <c r="W135" s="2">
        <f t="shared" si="12"/>
        <v>0</v>
      </c>
      <c r="X135" s="2">
        <f t="shared" si="13"/>
        <v>0</v>
      </c>
    </row>
    <row r="136" spans="1:24" x14ac:dyDescent="0.25">
      <c r="A136" s="6" t="s">
        <v>52</v>
      </c>
      <c r="B136" s="6" t="s">
        <v>993</v>
      </c>
      <c r="C136" s="6" t="s">
        <v>404</v>
      </c>
      <c r="D136" s="6" t="s">
        <v>72</v>
      </c>
      <c r="E136" s="11" t="str">
        <f t="shared" si="10"/>
        <v>AUTOMOVIL</v>
      </c>
      <c r="F136" s="6" t="s">
        <v>21</v>
      </c>
      <c r="G136" s="11">
        <v>1500</v>
      </c>
      <c r="H136" s="6" t="s">
        <v>1050</v>
      </c>
      <c r="I136" s="6" t="str">
        <f t="shared" si="11"/>
        <v>N</v>
      </c>
      <c r="J136" s="17" t="s">
        <v>9</v>
      </c>
      <c r="K136" s="6">
        <v>107</v>
      </c>
      <c r="L136" s="9">
        <v>9</v>
      </c>
      <c r="M136" s="21">
        <v>9</v>
      </c>
      <c r="N136" s="2">
        <v>27990</v>
      </c>
      <c r="O136" s="2" t="s">
        <v>1053</v>
      </c>
      <c r="P136" s="2" t="s">
        <v>1096</v>
      </c>
      <c r="Q136" s="2" t="s">
        <v>429</v>
      </c>
      <c r="R136" s="2">
        <v>1550</v>
      </c>
      <c r="S136" s="2"/>
      <c r="T136" s="2">
        <v>137</v>
      </c>
      <c r="U136" s="39">
        <f>IF(I136="N",T136*Supuestos!$B$4,T136*Supuestos!$C$4)*100</f>
        <v>5.8625486527349686</v>
      </c>
      <c r="V136" s="20">
        <f t="shared" si="14"/>
        <v>17.057427737226277</v>
      </c>
      <c r="W136" s="2">
        <f t="shared" si="12"/>
        <v>1233</v>
      </c>
      <c r="X136" s="2">
        <f t="shared" si="13"/>
        <v>52.762937874614721</v>
      </c>
    </row>
    <row r="137" spans="1:24" x14ac:dyDescent="0.25">
      <c r="A137" s="6" t="s">
        <v>10</v>
      </c>
      <c r="B137" s="6" t="s">
        <v>96</v>
      </c>
      <c r="C137" s="6" t="s">
        <v>400</v>
      </c>
      <c r="D137" s="6" t="s">
        <v>72</v>
      </c>
      <c r="E137" s="11" t="str">
        <f t="shared" si="10"/>
        <v>AUTOMOVIL</v>
      </c>
      <c r="F137" s="6" t="s">
        <v>11</v>
      </c>
      <c r="G137" s="11">
        <v>1395</v>
      </c>
      <c r="H137" s="6" t="s">
        <v>1050</v>
      </c>
      <c r="I137" s="6" t="str">
        <f t="shared" si="11"/>
        <v>N</v>
      </c>
      <c r="J137" s="17" t="s">
        <v>9</v>
      </c>
      <c r="K137" s="6">
        <v>150</v>
      </c>
      <c r="L137" s="9">
        <v>8</v>
      </c>
      <c r="M137" s="6">
        <v>8</v>
      </c>
      <c r="N137" s="2">
        <v>53400</v>
      </c>
      <c r="O137" s="2" t="s">
        <v>1053</v>
      </c>
      <c r="P137" s="2"/>
      <c r="Q137" s="2" t="s">
        <v>422</v>
      </c>
      <c r="R137" s="2">
        <v>1590</v>
      </c>
      <c r="S137" s="2"/>
      <c r="T137" s="2">
        <v>140</v>
      </c>
      <c r="U137" s="39">
        <f>IF(I137="N",T137*Supuestos!$B$4,T137*Supuestos!$C$4)*100</f>
        <v>5.9909256305320842</v>
      </c>
      <c r="V137" s="20">
        <f t="shared" si="14"/>
        <v>16.69191142857143</v>
      </c>
      <c r="W137" s="2">
        <f t="shared" si="12"/>
        <v>1120</v>
      </c>
      <c r="X137" s="2">
        <f t="shared" si="13"/>
        <v>47.927405044256673</v>
      </c>
    </row>
    <row r="138" spans="1:24" x14ac:dyDescent="0.25">
      <c r="A138" s="6" t="s">
        <v>52</v>
      </c>
      <c r="B138" s="6" t="s">
        <v>371</v>
      </c>
      <c r="C138" s="6" t="s">
        <v>404</v>
      </c>
      <c r="D138" s="6" t="s">
        <v>72</v>
      </c>
      <c r="E138" s="11" t="str">
        <f t="shared" si="10"/>
        <v>AUTOMOVIL</v>
      </c>
      <c r="F138" s="6" t="s">
        <v>21</v>
      </c>
      <c r="G138" s="11">
        <v>2000</v>
      </c>
      <c r="H138" s="6" t="s">
        <v>1050</v>
      </c>
      <c r="I138" s="6" t="str">
        <f t="shared" si="11"/>
        <v>N</v>
      </c>
      <c r="J138" s="17" t="s">
        <v>9</v>
      </c>
      <c r="K138" s="6">
        <v>170</v>
      </c>
      <c r="L138" s="9">
        <v>9</v>
      </c>
      <c r="M138" s="21">
        <v>9</v>
      </c>
      <c r="N138" s="2">
        <v>38990</v>
      </c>
      <c r="O138" s="2" t="s">
        <v>1060</v>
      </c>
      <c r="P138" s="2" t="s">
        <v>1094</v>
      </c>
      <c r="Q138" s="2" t="s">
        <v>424</v>
      </c>
      <c r="R138" s="2">
        <v>1745</v>
      </c>
      <c r="S138" s="2"/>
      <c r="T138" s="2">
        <v>151</v>
      </c>
      <c r="U138" s="39">
        <f>IF(I138="N",T138*Supuestos!$B$4,T138*Supuestos!$C$4)*100</f>
        <v>6.4616412157881777</v>
      </c>
      <c r="V138" s="20">
        <f t="shared" si="14"/>
        <v>15.475944370860926</v>
      </c>
      <c r="W138" s="2">
        <f t="shared" si="12"/>
        <v>1359</v>
      </c>
      <c r="X138" s="2">
        <f t="shared" si="13"/>
        <v>58.154770942093599</v>
      </c>
    </row>
    <row r="139" spans="1:24" x14ac:dyDescent="0.25">
      <c r="A139" s="6" t="s">
        <v>42</v>
      </c>
      <c r="B139" s="6" t="s">
        <v>822</v>
      </c>
      <c r="C139" s="6" t="s">
        <v>400</v>
      </c>
      <c r="D139" s="6" t="s">
        <v>72</v>
      </c>
      <c r="E139" s="11" t="str">
        <f t="shared" si="10"/>
        <v>AUTOMOVIL</v>
      </c>
      <c r="F139" s="6" t="s">
        <v>1047</v>
      </c>
      <c r="G139" s="11">
        <v>2000</v>
      </c>
      <c r="H139" s="6" t="s">
        <v>1050</v>
      </c>
      <c r="I139" s="6" t="str">
        <f t="shared" si="11"/>
        <v>N</v>
      </c>
      <c r="J139" s="17" t="s">
        <v>419</v>
      </c>
      <c r="K139" s="6">
        <v>408</v>
      </c>
      <c r="L139" s="9">
        <v>8</v>
      </c>
      <c r="M139" s="21">
        <v>8</v>
      </c>
      <c r="N139" s="2">
        <v>144990</v>
      </c>
      <c r="O139" s="2" t="s">
        <v>1060</v>
      </c>
      <c r="P139" s="2" t="s">
        <v>1116</v>
      </c>
      <c r="Q139" s="2" t="s">
        <v>456</v>
      </c>
      <c r="R139" s="2">
        <v>2350</v>
      </c>
      <c r="S139" s="2"/>
      <c r="T139" s="2">
        <v>201</v>
      </c>
      <c r="U139" s="39">
        <f>IF(I139="N",T139*Supuestos!$B$4,T139*Supuestos!$C$4)*100</f>
        <v>8.6012575124067787</v>
      </c>
      <c r="V139" s="20">
        <f t="shared" si="14"/>
        <v>11.626206965174131</v>
      </c>
      <c r="W139" s="2">
        <f t="shared" si="12"/>
        <v>1608</v>
      </c>
      <c r="X139" s="2">
        <f t="shared" si="13"/>
        <v>68.81006009925423</v>
      </c>
    </row>
    <row r="140" spans="1:24" x14ac:dyDescent="0.25">
      <c r="A140" s="6" t="s">
        <v>43</v>
      </c>
      <c r="B140" s="6" t="s">
        <v>859</v>
      </c>
      <c r="C140" s="6" t="s">
        <v>400</v>
      </c>
      <c r="D140" s="6" t="s">
        <v>72</v>
      </c>
      <c r="E140" s="11" t="str">
        <f t="shared" si="10"/>
        <v>AUTOMOVIL</v>
      </c>
      <c r="F140" s="6" t="s">
        <v>415</v>
      </c>
      <c r="G140" s="11"/>
      <c r="H140" s="6" t="s">
        <v>1051</v>
      </c>
      <c r="I140" s="6" t="str">
        <f t="shared" si="11"/>
        <v>E</v>
      </c>
      <c r="J140" s="17" t="s">
        <v>418</v>
      </c>
      <c r="K140" s="6">
        <v>184</v>
      </c>
      <c r="L140" s="9">
        <v>8</v>
      </c>
      <c r="M140" s="21">
        <v>8</v>
      </c>
      <c r="N140" s="2">
        <v>59990</v>
      </c>
      <c r="O140" s="2" t="s">
        <v>1060</v>
      </c>
      <c r="P140" s="2" t="s">
        <v>1356</v>
      </c>
      <c r="Q140" s="2"/>
      <c r="R140" s="2">
        <v>2055</v>
      </c>
      <c r="S140" s="2">
        <v>6.3</v>
      </c>
      <c r="T140" s="2"/>
      <c r="U140" s="39">
        <f>IF(I140="N",T140*Supuestos!$B$4,T140*Supuestos!$C$4)*100</f>
        <v>0</v>
      </c>
      <c r="V140" s="20">
        <f t="shared" si="14"/>
        <v>0</v>
      </c>
      <c r="W140" s="2">
        <f t="shared" si="12"/>
        <v>0</v>
      </c>
      <c r="X140" s="2">
        <f t="shared" si="13"/>
        <v>0</v>
      </c>
    </row>
    <row r="141" spans="1:24" x14ac:dyDescent="0.25">
      <c r="A141" s="6" t="s">
        <v>48</v>
      </c>
      <c r="B141" s="6" t="s">
        <v>924</v>
      </c>
      <c r="C141" s="6" t="s">
        <v>411</v>
      </c>
      <c r="D141" s="6" t="s">
        <v>72</v>
      </c>
      <c r="E141" s="11" t="str">
        <f t="shared" si="10"/>
        <v>AUTOMOVIL</v>
      </c>
      <c r="F141" s="6"/>
      <c r="G141" s="11"/>
      <c r="H141" s="6" t="s">
        <v>1051</v>
      </c>
      <c r="I141" s="6" t="str">
        <f t="shared" si="11"/>
        <v>E</v>
      </c>
      <c r="J141" s="17" t="s">
        <v>418</v>
      </c>
      <c r="K141" s="6"/>
      <c r="L141" s="9">
        <v>8</v>
      </c>
      <c r="M141" s="21">
        <v>8</v>
      </c>
      <c r="N141" s="2">
        <v>29990</v>
      </c>
      <c r="O141" s="2" t="s">
        <v>1060</v>
      </c>
      <c r="P141" s="2" t="s">
        <v>1344</v>
      </c>
      <c r="Q141" s="2"/>
      <c r="R141" s="2">
        <v>1300</v>
      </c>
      <c r="S141" s="2">
        <v>8.4</v>
      </c>
      <c r="T141" s="2"/>
      <c r="U141" s="39">
        <f>IF(I141="N",T141*Supuestos!$B$4,T141*Supuestos!$C$4)*100</f>
        <v>0</v>
      </c>
      <c r="V141" s="20">
        <f t="shared" si="14"/>
        <v>0</v>
      </c>
      <c r="W141" s="2">
        <f t="shared" si="12"/>
        <v>0</v>
      </c>
      <c r="X141" s="2">
        <f t="shared" si="13"/>
        <v>0</v>
      </c>
    </row>
    <row r="142" spans="1:24" x14ac:dyDescent="0.25">
      <c r="A142" s="6" t="s">
        <v>53</v>
      </c>
      <c r="B142" s="6" t="s">
        <v>1009</v>
      </c>
      <c r="C142" s="6" t="s">
        <v>411</v>
      </c>
      <c r="D142" s="6" t="s">
        <v>72</v>
      </c>
      <c r="E142" s="11" t="str">
        <f t="shared" si="10"/>
        <v>AUTOMOVIL</v>
      </c>
      <c r="F142" s="6" t="s">
        <v>412</v>
      </c>
      <c r="G142" s="11"/>
      <c r="H142" s="6" t="s">
        <v>1051</v>
      </c>
      <c r="I142" s="6" t="str">
        <f t="shared" si="11"/>
        <v>E</v>
      </c>
      <c r="J142" s="17" t="s">
        <v>418</v>
      </c>
      <c r="K142" s="6">
        <v>82</v>
      </c>
      <c r="L142" s="9">
        <v>8</v>
      </c>
      <c r="M142" s="21">
        <v>8</v>
      </c>
      <c r="N142" s="2">
        <v>38990</v>
      </c>
      <c r="O142" s="2" t="s">
        <v>1341</v>
      </c>
      <c r="P142" s="2"/>
      <c r="Q142" s="2"/>
      <c r="R142" s="2"/>
      <c r="S142" s="2">
        <v>8.4</v>
      </c>
      <c r="T142" s="2"/>
      <c r="U142" s="39">
        <f>IF(I142="N",T142*Supuestos!$B$4,T142*Supuestos!$C$4)*100</f>
        <v>0</v>
      </c>
      <c r="V142" s="20">
        <f t="shared" si="14"/>
        <v>0</v>
      </c>
      <c r="W142" s="2">
        <f t="shared" si="12"/>
        <v>0</v>
      </c>
      <c r="X142" s="2">
        <f t="shared" si="13"/>
        <v>0</v>
      </c>
    </row>
    <row r="143" spans="1:24" x14ac:dyDescent="0.25">
      <c r="A143" s="6" t="s">
        <v>10</v>
      </c>
      <c r="B143" s="6" t="s">
        <v>97</v>
      </c>
      <c r="C143" s="6" t="s">
        <v>400</v>
      </c>
      <c r="D143" s="6" t="s">
        <v>72</v>
      </c>
      <c r="E143" s="11" t="str">
        <f t="shared" si="10"/>
        <v>AUTOMOVIL</v>
      </c>
      <c r="F143" s="6" t="s">
        <v>11</v>
      </c>
      <c r="G143" s="11">
        <v>1395</v>
      </c>
      <c r="H143" s="6" t="s">
        <v>1050</v>
      </c>
      <c r="I143" s="6" t="str">
        <f t="shared" si="11"/>
        <v>N</v>
      </c>
      <c r="J143" s="17" t="s">
        <v>9</v>
      </c>
      <c r="K143" s="6">
        <v>150</v>
      </c>
      <c r="L143" s="9">
        <v>7</v>
      </c>
      <c r="M143" s="6">
        <v>7</v>
      </c>
      <c r="N143" s="2">
        <v>56800</v>
      </c>
      <c r="O143" s="2" t="s">
        <v>1053</v>
      </c>
      <c r="P143" s="2"/>
      <c r="Q143" s="2" t="s">
        <v>422</v>
      </c>
      <c r="R143" s="2">
        <v>1590</v>
      </c>
      <c r="S143" s="2"/>
      <c r="T143" s="2">
        <v>140</v>
      </c>
      <c r="U143" s="39">
        <f>IF(I143="N",T143*Supuestos!$B$4,T143*Supuestos!$C$4)*100</f>
        <v>5.9909256305320842</v>
      </c>
      <c r="V143" s="20">
        <f t="shared" si="14"/>
        <v>16.69191142857143</v>
      </c>
      <c r="W143" s="2">
        <f t="shared" si="12"/>
        <v>980</v>
      </c>
      <c r="X143" s="2">
        <f t="shared" si="13"/>
        <v>41.936479413724591</v>
      </c>
    </row>
    <row r="144" spans="1:24" x14ac:dyDescent="0.25">
      <c r="A144" s="6" t="s">
        <v>19</v>
      </c>
      <c r="B144" s="6" t="s">
        <v>600</v>
      </c>
      <c r="C144" s="6" t="s">
        <v>400</v>
      </c>
      <c r="D144" s="6" t="s">
        <v>72</v>
      </c>
      <c r="E144" s="11" t="str">
        <f t="shared" si="10"/>
        <v>AUTOMOVIL</v>
      </c>
      <c r="F144" s="6" t="s">
        <v>16</v>
      </c>
      <c r="G144" s="11">
        <v>6200</v>
      </c>
      <c r="H144" s="6" t="s">
        <v>1050</v>
      </c>
      <c r="I144" s="6" t="str">
        <f t="shared" si="11"/>
        <v>N</v>
      </c>
      <c r="J144" s="17" t="s">
        <v>9</v>
      </c>
      <c r="K144" s="6">
        <v>461</v>
      </c>
      <c r="L144" s="9">
        <v>7</v>
      </c>
      <c r="M144" s="21">
        <v>7</v>
      </c>
      <c r="N144" s="2">
        <v>99990</v>
      </c>
      <c r="O144" s="2" t="s">
        <v>1060</v>
      </c>
      <c r="P144" s="2" t="s">
        <v>1117</v>
      </c>
      <c r="Q144" s="2" t="s">
        <v>1118</v>
      </c>
      <c r="R144" s="2">
        <v>2057</v>
      </c>
      <c r="S144" s="2"/>
      <c r="T144" s="2">
        <v>271</v>
      </c>
      <c r="U144" s="39">
        <f>IF(I144="N",T144*Supuestos!$B$4,T144*Supuestos!$C$4)*100</f>
        <v>11.596720327672822</v>
      </c>
      <c r="V144" s="20">
        <f t="shared" si="14"/>
        <v>8.6231276752767521</v>
      </c>
      <c r="W144" s="2">
        <f t="shared" si="12"/>
        <v>1897</v>
      </c>
      <c r="X144" s="2">
        <f t="shared" si="13"/>
        <v>81.177042293709746</v>
      </c>
    </row>
    <row r="145" spans="1:24" x14ac:dyDescent="0.25">
      <c r="A145" s="6" t="s">
        <v>82</v>
      </c>
      <c r="B145" s="6" t="s">
        <v>647</v>
      </c>
      <c r="C145" s="6" t="s">
        <v>407</v>
      </c>
      <c r="D145" s="6" t="s">
        <v>72</v>
      </c>
      <c r="E145" s="11" t="str">
        <f t="shared" si="10"/>
        <v>AUTOMOVIL</v>
      </c>
      <c r="F145" s="6"/>
      <c r="G145" s="11"/>
      <c r="H145" s="6" t="s">
        <v>1051</v>
      </c>
      <c r="I145" s="6" t="str">
        <f t="shared" si="11"/>
        <v>E</v>
      </c>
      <c r="J145" s="17" t="s">
        <v>418</v>
      </c>
      <c r="K145" s="6">
        <v>0</v>
      </c>
      <c r="L145" s="9">
        <v>7</v>
      </c>
      <c r="M145" s="21">
        <v>7</v>
      </c>
      <c r="N145" s="2">
        <v>23990</v>
      </c>
      <c r="O145" s="2" t="s">
        <v>1341</v>
      </c>
      <c r="P145" s="2"/>
      <c r="Q145" s="2"/>
      <c r="R145" s="2"/>
      <c r="S145" s="2">
        <v>8.1</v>
      </c>
      <c r="T145" s="2"/>
      <c r="U145" s="39">
        <f>IF(I145="N",T145*Supuestos!$B$4,T145*Supuestos!$C$4)*100</f>
        <v>0</v>
      </c>
      <c r="V145" s="20">
        <f t="shared" si="14"/>
        <v>0</v>
      </c>
      <c r="W145" s="2">
        <f t="shared" si="12"/>
        <v>0</v>
      </c>
      <c r="X145" s="2">
        <f t="shared" si="13"/>
        <v>0</v>
      </c>
    </row>
    <row r="146" spans="1:24" x14ac:dyDescent="0.25">
      <c r="A146" s="6" t="s">
        <v>83</v>
      </c>
      <c r="B146" s="6" t="s">
        <v>678</v>
      </c>
      <c r="C146" s="6" t="s">
        <v>411</v>
      </c>
      <c r="D146" s="6" t="s">
        <v>72</v>
      </c>
      <c r="E146" s="11" t="str">
        <f t="shared" si="10"/>
        <v>AUTOMOVIL</v>
      </c>
      <c r="F146" s="6" t="s">
        <v>14</v>
      </c>
      <c r="G146" s="11"/>
      <c r="H146" s="6" t="s">
        <v>1051</v>
      </c>
      <c r="I146" s="6" t="str">
        <f t="shared" si="11"/>
        <v>E</v>
      </c>
      <c r="J146" s="17" t="s">
        <v>418</v>
      </c>
      <c r="K146" s="6">
        <v>5.3</v>
      </c>
      <c r="L146" s="9">
        <v>7</v>
      </c>
      <c r="M146" s="21">
        <v>7</v>
      </c>
      <c r="N146" s="2">
        <v>11750</v>
      </c>
      <c r="O146" s="2" t="s">
        <v>1341</v>
      </c>
      <c r="P146" s="2"/>
      <c r="Q146" s="2"/>
      <c r="R146" s="2"/>
      <c r="S146" s="2">
        <v>8.4</v>
      </c>
      <c r="T146" s="2"/>
      <c r="U146" s="39">
        <f>IF(I146="N",T146*Supuestos!$B$4,T146*Supuestos!$C$4)*100</f>
        <v>0</v>
      </c>
      <c r="V146" s="20">
        <f t="shared" si="14"/>
        <v>0</v>
      </c>
      <c r="W146" s="2">
        <f t="shared" si="12"/>
        <v>0</v>
      </c>
      <c r="X146" s="2">
        <f t="shared" si="13"/>
        <v>0</v>
      </c>
    </row>
    <row r="147" spans="1:24" x14ac:dyDescent="0.25">
      <c r="A147" s="6" t="s">
        <v>87</v>
      </c>
      <c r="B147" s="6" t="s">
        <v>244</v>
      </c>
      <c r="C147" s="6" t="s">
        <v>411</v>
      </c>
      <c r="D147" s="6" t="s">
        <v>72</v>
      </c>
      <c r="E147" s="11" t="str">
        <f t="shared" si="10"/>
        <v>AUTOMOVIL</v>
      </c>
      <c r="F147" s="6" t="s">
        <v>14</v>
      </c>
      <c r="G147" s="11"/>
      <c r="H147" s="6" t="s">
        <v>1051</v>
      </c>
      <c r="I147" s="6" t="str">
        <f t="shared" si="11"/>
        <v>E</v>
      </c>
      <c r="J147" s="17" t="s">
        <v>418</v>
      </c>
      <c r="K147" s="6">
        <v>3</v>
      </c>
      <c r="L147" s="9">
        <v>7</v>
      </c>
      <c r="M147" s="21">
        <v>7</v>
      </c>
      <c r="N147" s="2">
        <v>6980</v>
      </c>
      <c r="O147" s="2" t="s">
        <v>1341</v>
      </c>
      <c r="P147" s="2"/>
      <c r="Q147" s="2"/>
      <c r="R147" s="2"/>
      <c r="S147" s="2">
        <v>8.4</v>
      </c>
      <c r="T147" s="2"/>
      <c r="U147" s="39">
        <f>IF(I147="N",T147*Supuestos!$B$4,T147*Supuestos!$C$4)*100</f>
        <v>0</v>
      </c>
      <c r="V147" s="20">
        <f t="shared" si="14"/>
        <v>0</v>
      </c>
      <c r="W147" s="2">
        <f t="shared" si="12"/>
        <v>0</v>
      </c>
      <c r="X147" s="2">
        <f t="shared" si="13"/>
        <v>0</v>
      </c>
    </row>
    <row r="148" spans="1:24" x14ac:dyDescent="0.25">
      <c r="A148" s="6" t="s">
        <v>34</v>
      </c>
      <c r="B148" s="6" t="s">
        <v>224</v>
      </c>
      <c r="C148" s="6" t="s">
        <v>404</v>
      </c>
      <c r="D148" s="6" t="s">
        <v>72</v>
      </c>
      <c r="E148" s="11" t="str">
        <f t="shared" si="10"/>
        <v>AUTOMOVIL</v>
      </c>
      <c r="F148" s="6" t="s">
        <v>20</v>
      </c>
      <c r="G148" s="11">
        <v>2000</v>
      </c>
      <c r="H148" s="6" t="s">
        <v>1050</v>
      </c>
      <c r="I148" s="6" t="str">
        <f t="shared" si="11"/>
        <v>N</v>
      </c>
      <c r="J148" s="17" t="s">
        <v>421</v>
      </c>
      <c r="K148" s="6">
        <v>205</v>
      </c>
      <c r="L148" s="9">
        <v>8</v>
      </c>
      <c r="M148" s="21"/>
      <c r="N148" s="2"/>
      <c r="O148" s="2"/>
      <c r="P148" s="2"/>
      <c r="Q148" s="2"/>
      <c r="R148" s="2"/>
      <c r="S148" s="2"/>
      <c r="T148" s="2"/>
      <c r="U148" s="39">
        <f>IF(I148="N",T148*Supuestos!$B$4,T148*Supuestos!$C$4)*100</f>
        <v>0</v>
      </c>
      <c r="V148" s="20">
        <f t="shared" si="14"/>
        <v>0</v>
      </c>
      <c r="W148" s="2">
        <f t="shared" si="12"/>
        <v>0</v>
      </c>
      <c r="X148" s="2">
        <f t="shared" si="13"/>
        <v>0</v>
      </c>
    </row>
    <row r="149" spans="1:24" x14ac:dyDescent="0.25">
      <c r="A149" s="6" t="s">
        <v>15</v>
      </c>
      <c r="B149" s="6" t="s">
        <v>516</v>
      </c>
      <c r="C149" s="6" t="s">
        <v>400</v>
      </c>
      <c r="D149" s="6" t="s">
        <v>72</v>
      </c>
      <c r="E149" s="11" t="str">
        <f t="shared" si="10"/>
        <v>AUTOMOVIL</v>
      </c>
      <c r="F149" s="6" t="s">
        <v>24</v>
      </c>
      <c r="G149" s="11">
        <v>3000</v>
      </c>
      <c r="H149" s="6" t="s">
        <v>1050</v>
      </c>
      <c r="I149" s="6" t="str">
        <f t="shared" si="11"/>
        <v>N</v>
      </c>
      <c r="J149" s="17" t="s">
        <v>9</v>
      </c>
      <c r="K149" s="6">
        <v>387</v>
      </c>
      <c r="L149" s="9">
        <v>6</v>
      </c>
      <c r="M149" s="21"/>
      <c r="N149" s="2"/>
      <c r="O149" s="2"/>
      <c r="P149" s="2"/>
      <c r="Q149" s="2"/>
      <c r="R149" s="2"/>
      <c r="S149" s="2"/>
      <c r="T149" s="2"/>
      <c r="U149" s="39">
        <f>IF(I149="N",T149*Supuestos!$B$4,T149*Supuestos!$C$4)*100</f>
        <v>0</v>
      </c>
      <c r="V149" s="20">
        <f t="shared" si="14"/>
        <v>0</v>
      </c>
      <c r="W149" s="2">
        <f t="shared" si="12"/>
        <v>0</v>
      </c>
      <c r="X149" s="2">
        <f t="shared" si="13"/>
        <v>0</v>
      </c>
    </row>
    <row r="150" spans="1:24" x14ac:dyDescent="0.25">
      <c r="A150" s="6" t="s">
        <v>15</v>
      </c>
      <c r="B150" s="6" t="s">
        <v>517</v>
      </c>
      <c r="C150" s="6" t="s">
        <v>400</v>
      </c>
      <c r="D150" s="6" t="s">
        <v>72</v>
      </c>
      <c r="E150" s="11" t="str">
        <f t="shared" si="10"/>
        <v>AUTOMOVIL</v>
      </c>
      <c r="F150" s="6" t="s">
        <v>11</v>
      </c>
      <c r="G150" s="11">
        <v>2000</v>
      </c>
      <c r="H150" s="6" t="s">
        <v>1050</v>
      </c>
      <c r="I150" s="6" t="str">
        <f t="shared" si="11"/>
        <v>N</v>
      </c>
      <c r="J150" s="17" t="s">
        <v>9</v>
      </c>
      <c r="K150" s="6">
        <v>184</v>
      </c>
      <c r="L150" s="9">
        <v>6</v>
      </c>
      <c r="M150" s="21"/>
      <c r="N150" s="2"/>
      <c r="O150" s="2"/>
      <c r="P150" s="2"/>
      <c r="Q150" s="2"/>
      <c r="R150" s="2"/>
      <c r="S150" s="2"/>
      <c r="T150" s="2"/>
      <c r="U150" s="39">
        <f>IF(I150="N",T150*Supuestos!$B$4,T150*Supuestos!$C$4)*100</f>
        <v>0</v>
      </c>
      <c r="V150" s="20">
        <f t="shared" si="14"/>
        <v>0</v>
      </c>
      <c r="W150" s="2">
        <f t="shared" si="12"/>
        <v>0</v>
      </c>
      <c r="X150" s="2">
        <f t="shared" si="13"/>
        <v>0</v>
      </c>
    </row>
    <row r="151" spans="1:24" x14ac:dyDescent="0.25">
      <c r="A151" s="6" t="s">
        <v>62</v>
      </c>
      <c r="B151" s="6" t="s">
        <v>895</v>
      </c>
      <c r="C151" s="6" t="s">
        <v>404</v>
      </c>
      <c r="D151" s="6" t="s">
        <v>72</v>
      </c>
      <c r="E151" s="11" t="str">
        <f t="shared" si="10"/>
        <v>AUTOMOVIL</v>
      </c>
      <c r="F151" s="6" t="s">
        <v>57</v>
      </c>
      <c r="G151" s="11">
        <v>1600</v>
      </c>
      <c r="H151" s="6" t="s">
        <v>1050</v>
      </c>
      <c r="I151" s="6" t="str">
        <f t="shared" si="11"/>
        <v>N</v>
      </c>
      <c r="J151" s="17" t="s">
        <v>9</v>
      </c>
      <c r="K151" s="6">
        <v>115</v>
      </c>
      <c r="L151" s="9">
        <v>7</v>
      </c>
      <c r="M151" s="21"/>
      <c r="N151" s="2"/>
      <c r="O151" s="2"/>
      <c r="P151" s="2"/>
      <c r="Q151" s="2"/>
      <c r="R151" s="2"/>
      <c r="S151" s="2"/>
      <c r="T151" s="2"/>
      <c r="U151" s="39">
        <f>IF(I151="N",T151*Supuestos!$B$4,T151*Supuestos!$C$4)*100</f>
        <v>0</v>
      </c>
      <c r="V151" s="20">
        <f t="shared" si="14"/>
        <v>0</v>
      </c>
      <c r="W151" s="2">
        <f t="shared" si="12"/>
        <v>0</v>
      </c>
      <c r="X151" s="2">
        <f t="shared" si="13"/>
        <v>0</v>
      </c>
    </row>
    <row r="152" spans="1:24" x14ac:dyDescent="0.25">
      <c r="A152" s="6" t="s">
        <v>42</v>
      </c>
      <c r="B152" s="6" t="s">
        <v>821</v>
      </c>
      <c r="C152" s="6" t="s">
        <v>400</v>
      </c>
      <c r="D152" s="6" t="s">
        <v>72</v>
      </c>
      <c r="E152" s="11" t="str">
        <f t="shared" si="10"/>
        <v>AUTOMOVIL</v>
      </c>
      <c r="F152" s="6" t="s">
        <v>1047</v>
      </c>
      <c r="G152" s="11">
        <v>2000</v>
      </c>
      <c r="H152" s="6" t="s">
        <v>1050</v>
      </c>
      <c r="I152" s="6" t="str">
        <f t="shared" si="11"/>
        <v>N</v>
      </c>
      <c r="J152" s="17" t="s">
        <v>420</v>
      </c>
      <c r="K152" s="6">
        <v>320</v>
      </c>
      <c r="L152" s="9">
        <v>6</v>
      </c>
      <c r="M152" s="21"/>
      <c r="N152" s="2"/>
      <c r="O152" s="2"/>
      <c r="P152" s="2"/>
      <c r="Q152" s="2"/>
      <c r="R152" s="2"/>
      <c r="S152" s="2"/>
      <c r="T152" s="2"/>
      <c r="U152" s="39">
        <f>IF(I152="N",T152*Supuestos!$B$4,T152*Supuestos!$C$4)*100</f>
        <v>0</v>
      </c>
      <c r="V152" s="20">
        <f t="shared" si="14"/>
        <v>0</v>
      </c>
      <c r="W152" s="2">
        <f t="shared" si="12"/>
        <v>0</v>
      </c>
      <c r="X152" s="2">
        <f t="shared" si="13"/>
        <v>0</v>
      </c>
    </row>
    <row r="153" spans="1:24" x14ac:dyDescent="0.25">
      <c r="A153" s="6" t="s">
        <v>33</v>
      </c>
      <c r="B153" s="6" t="s">
        <v>697</v>
      </c>
      <c r="C153" s="6" t="s">
        <v>404</v>
      </c>
      <c r="D153" s="6" t="s">
        <v>72</v>
      </c>
      <c r="E153" s="11" t="str">
        <f t="shared" si="10"/>
        <v>AUTOMOVIL</v>
      </c>
      <c r="F153" s="6" t="s">
        <v>25</v>
      </c>
      <c r="G153" s="11">
        <v>2000</v>
      </c>
      <c r="H153" s="6" t="s">
        <v>1050</v>
      </c>
      <c r="I153" s="6" t="str">
        <f t="shared" si="11"/>
        <v>N</v>
      </c>
      <c r="J153" s="17" t="s">
        <v>421</v>
      </c>
      <c r="K153" s="6">
        <v>184</v>
      </c>
      <c r="L153" s="9">
        <v>7</v>
      </c>
      <c r="M153" s="21"/>
      <c r="N153" s="2"/>
      <c r="O153" s="2"/>
      <c r="P153" s="2"/>
      <c r="Q153" s="2"/>
      <c r="R153" s="2"/>
      <c r="S153" s="2"/>
      <c r="T153" s="2"/>
      <c r="U153" s="39">
        <f>IF(I153="N",T153*Supuestos!$B$4,T153*Supuestos!$C$4)*100</f>
        <v>0</v>
      </c>
      <c r="V153" s="20">
        <f t="shared" si="14"/>
        <v>0</v>
      </c>
      <c r="W153" s="2">
        <f t="shared" si="12"/>
        <v>0</v>
      </c>
      <c r="X153" s="2">
        <f t="shared" si="13"/>
        <v>0</v>
      </c>
    </row>
    <row r="154" spans="1:24" x14ac:dyDescent="0.25">
      <c r="A154" s="6" t="s">
        <v>10</v>
      </c>
      <c r="B154" s="6" t="s">
        <v>486</v>
      </c>
      <c r="C154" s="6" t="s">
        <v>400</v>
      </c>
      <c r="D154" s="6" t="s">
        <v>72</v>
      </c>
      <c r="E154" s="11" t="str">
        <f t="shared" si="10"/>
        <v>AUTOMOVIL</v>
      </c>
      <c r="F154" s="6" t="s">
        <v>11</v>
      </c>
      <c r="G154" s="11">
        <v>1395</v>
      </c>
      <c r="H154" s="6" t="s">
        <v>1050</v>
      </c>
      <c r="I154" s="6" t="str">
        <f t="shared" si="11"/>
        <v>N</v>
      </c>
      <c r="J154" s="17" t="s">
        <v>9</v>
      </c>
      <c r="K154" s="6">
        <v>150</v>
      </c>
      <c r="L154" s="9">
        <v>5</v>
      </c>
      <c r="M154" s="6">
        <v>5</v>
      </c>
      <c r="N154" s="2">
        <v>49800</v>
      </c>
      <c r="O154" s="2" t="s">
        <v>1053</v>
      </c>
      <c r="P154" s="2"/>
      <c r="Q154" s="2" t="s">
        <v>422</v>
      </c>
      <c r="R154" s="2">
        <v>1590</v>
      </c>
      <c r="S154" s="2"/>
      <c r="T154" s="2">
        <v>140</v>
      </c>
      <c r="U154" s="39">
        <f>IF(I154="N",T154*Supuestos!$B$4,T154*Supuestos!$C$4)*100</f>
        <v>5.9909256305320842</v>
      </c>
      <c r="V154" s="20">
        <f t="shared" si="14"/>
        <v>16.69191142857143</v>
      </c>
      <c r="W154" s="2">
        <f t="shared" si="12"/>
        <v>700</v>
      </c>
      <c r="X154" s="2">
        <f t="shared" si="13"/>
        <v>29.954628152660419</v>
      </c>
    </row>
    <row r="155" spans="1:24" x14ac:dyDescent="0.25">
      <c r="A155" s="6" t="s">
        <v>15</v>
      </c>
      <c r="B155" s="6" t="s">
        <v>524</v>
      </c>
      <c r="C155" s="6" t="s">
        <v>400</v>
      </c>
      <c r="D155" s="6" t="s">
        <v>72</v>
      </c>
      <c r="E155" s="11" t="str">
        <f t="shared" si="10"/>
        <v>AUTOMOVIL</v>
      </c>
      <c r="F155" s="6" t="s">
        <v>11</v>
      </c>
      <c r="G155" s="11">
        <v>2000</v>
      </c>
      <c r="H155" s="6" t="s">
        <v>1050</v>
      </c>
      <c r="I155" s="6" t="str">
        <f t="shared" si="11"/>
        <v>N</v>
      </c>
      <c r="J155" s="17" t="s">
        <v>9</v>
      </c>
      <c r="K155" s="6">
        <v>0</v>
      </c>
      <c r="L155" s="9">
        <v>5</v>
      </c>
      <c r="M155" s="21"/>
      <c r="N155" s="2"/>
      <c r="O155" s="2"/>
      <c r="P155" s="2"/>
      <c r="Q155" s="2"/>
      <c r="R155" s="2"/>
      <c r="S155" s="2"/>
      <c r="T155" s="2"/>
      <c r="U155" s="39">
        <f>IF(I155="N",T155*Supuestos!$B$4,T155*Supuestos!$C$4)*100</f>
        <v>0</v>
      </c>
      <c r="V155" s="20">
        <f t="shared" si="14"/>
        <v>0</v>
      </c>
      <c r="W155" s="2">
        <f t="shared" si="12"/>
        <v>0</v>
      </c>
      <c r="X155" s="2">
        <f t="shared" si="13"/>
        <v>0</v>
      </c>
    </row>
    <row r="156" spans="1:24" x14ac:dyDescent="0.25">
      <c r="A156" s="6" t="s">
        <v>15</v>
      </c>
      <c r="B156" s="6" t="s">
        <v>527</v>
      </c>
      <c r="C156" s="6" t="s">
        <v>400</v>
      </c>
      <c r="D156" s="6" t="s">
        <v>72</v>
      </c>
      <c r="E156" s="11" t="str">
        <f t="shared" si="10"/>
        <v>AUTOMOVIL</v>
      </c>
      <c r="F156" s="6" t="s">
        <v>11</v>
      </c>
      <c r="G156" s="11">
        <v>2000</v>
      </c>
      <c r="H156" s="6" t="s">
        <v>1050</v>
      </c>
      <c r="I156" s="6" t="str">
        <f t="shared" si="11"/>
        <v>N</v>
      </c>
      <c r="J156" s="17" t="s">
        <v>9</v>
      </c>
      <c r="K156" s="6">
        <v>258</v>
      </c>
      <c r="L156" s="9">
        <v>5</v>
      </c>
      <c r="M156" s="21"/>
      <c r="N156" s="2"/>
      <c r="O156" s="2"/>
      <c r="P156" s="2"/>
      <c r="Q156" s="2"/>
      <c r="R156" s="2"/>
      <c r="S156" s="2"/>
      <c r="T156" s="2"/>
      <c r="U156" s="39">
        <f>IF(I156="N",T156*Supuestos!$B$4,T156*Supuestos!$C$4)*100</f>
        <v>0</v>
      </c>
      <c r="V156" s="20">
        <f t="shared" si="14"/>
        <v>0</v>
      </c>
      <c r="W156" s="2">
        <f t="shared" si="12"/>
        <v>0</v>
      </c>
      <c r="X156" s="2">
        <f t="shared" si="13"/>
        <v>0</v>
      </c>
    </row>
    <row r="157" spans="1:24" x14ac:dyDescent="0.25">
      <c r="A157" s="6" t="s">
        <v>15</v>
      </c>
      <c r="B157" s="6" t="s">
        <v>531</v>
      </c>
      <c r="C157" s="6" t="s">
        <v>400</v>
      </c>
      <c r="D157" s="6" t="s">
        <v>72</v>
      </c>
      <c r="E157" s="11" t="str">
        <f t="shared" si="10"/>
        <v>AUTOMOVIL</v>
      </c>
      <c r="F157" s="6" t="s">
        <v>11</v>
      </c>
      <c r="G157" s="11"/>
      <c r="H157" s="6" t="s">
        <v>1051</v>
      </c>
      <c r="I157" s="6" t="str">
        <f t="shared" si="11"/>
        <v>E</v>
      </c>
      <c r="J157" s="17" t="s">
        <v>418</v>
      </c>
      <c r="K157" s="6">
        <v>335</v>
      </c>
      <c r="L157" s="9">
        <v>5</v>
      </c>
      <c r="M157" s="21">
        <v>5</v>
      </c>
      <c r="N157" s="2">
        <v>125990</v>
      </c>
      <c r="O157" s="2" t="s">
        <v>1060</v>
      </c>
      <c r="P157" s="2" t="s">
        <v>1351</v>
      </c>
      <c r="Q157" s="2"/>
      <c r="R157" s="2">
        <v>2605</v>
      </c>
      <c r="S157" s="2">
        <v>6.3</v>
      </c>
      <c r="T157" s="2"/>
      <c r="U157" s="39">
        <f>IF(I157="N",T157*Supuestos!$B$4,T157*Supuestos!$C$4)*100</f>
        <v>0</v>
      </c>
      <c r="V157" s="20">
        <f t="shared" si="14"/>
        <v>0</v>
      </c>
      <c r="W157" s="2">
        <f t="shared" si="12"/>
        <v>0</v>
      </c>
      <c r="X157" s="2">
        <f t="shared" si="13"/>
        <v>0</v>
      </c>
    </row>
    <row r="158" spans="1:24" x14ac:dyDescent="0.25">
      <c r="A158" s="6" t="s">
        <v>474</v>
      </c>
      <c r="B158" s="6" t="s">
        <v>760</v>
      </c>
      <c r="C158" s="6" t="s">
        <v>411</v>
      </c>
      <c r="D158" s="6" t="s">
        <v>72</v>
      </c>
      <c r="E158" s="11" t="str">
        <f t="shared" si="10"/>
        <v>AUTOMOVIL</v>
      </c>
      <c r="F158" s="6" t="s">
        <v>14</v>
      </c>
      <c r="G158" s="11"/>
      <c r="H158" s="6" t="s">
        <v>1051</v>
      </c>
      <c r="I158" s="6" t="str">
        <f t="shared" si="11"/>
        <v>E</v>
      </c>
      <c r="J158" s="17" t="s">
        <v>418</v>
      </c>
      <c r="K158" s="6">
        <v>0</v>
      </c>
      <c r="L158" s="9">
        <v>5</v>
      </c>
      <c r="M158" s="21">
        <v>5</v>
      </c>
      <c r="N158" s="2">
        <v>10980</v>
      </c>
      <c r="O158" s="2" t="s">
        <v>1341</v>
      </c>
      <c r="P158" s="2"/>
      <c r="Q158" s="2"/>
      <c r="R158" s="2"/>
      <c r="S158" s="2">
        <v>8.4</v>
      </c>
      <c r="T158" s="2"/>
      <c r="U158" s="39">
        <f>IF(I158="N",T158*Supuestos!$B$4,T158*Supuestos!$C$4)*100</f>
        <v>0</v>
      </c>
      <c r="V158" s="20">
        <f t="shared" si="14"/>
        <v>0</v>
      </c>
      <c r="W158" s="2">
        <f t="shared" si="12"/>
        <v>0</v>
      </c>
      <c r="X158" s="2">
        <f t="shared" si="13"/>
        <v>0</v>
      </c>
    </row>
    <row r="159" spans="1:24" x14ac:dyDescent="0.25">
      <c r="A159" s="6" t="s">
        <v>42</v>
      </c>
      <c r="B159" s="6" t="s">
        <v>823</v>
      </c>
      <c r="C159" s="6" t="s">
        <v>400</v>
      </c>
      <c r="D159" s="6" t="s">
        <v>72</v>
      </c>
      <c r="E159" s="11" t="str">
        <f t="shared" si="10"/>
        <v>AUTOMOVIL</v>
      </c>
      <c r="F159" s="6" t="s">
        <v>51</v>
      </c>
      <c r="G159" s="11">
        <v>2000</v>
      </c>
      <c r="H159" s="6" t="s">
        <v>1050</v>
      </c>
      <c r="I159" s="6" t="str">
        <f t="shared" si="11"/>
        <v>N</v>
      </c>
      <c r="J159" s="17" t="s">
        <v>9</v>
      </c>
      <c r="K159" s="6">
        <v>306</v>
      </c>
      <c r="L159" s="9">
        <v>5</v>
      </c>
      <c r="M159" s="21"/>
      <c r="N159" s="2"/>
      <c r="O159" s="2"/>
      <c r="P159" s="2"/>
      <c r="Q159" s="2"/>
      <c r="R159" s="2"/>
      <c r="S159" s="2"/>
      <c r="T159" s="2"/>
      <c r="U159" s="39">
        <f>IF(I159="N",T159*Supuestos!$B$4,T159*Supuestos!$C$4)*100</f>
        <v>0</v>
      </c>
      <c r="V159" s="20">
        <f t="shared" si="14"/>
        <v>0</v>
      </c>
      <c r="W159" s="2">
        <f t="shared" si="12"/>
        <v>0</v>
      </c>
      <c r="X159" s="2">
        <f t="shared" si="13"/>
        <v>0</v>
      </c>
    </row>
    <row r="160" spans="1:24" x14ac:dyDescent="0.25">
      <c r="A160" s="6" t="s">
        <v>90</v>
      </c>
      <c r="B160" s="6" t="s">
        <v>882</v>
      </c>
      <c r="C160" s="6" t="s">
        <v>407</v>
      </c>
      <c r="D160" s="6" t="s">
        <v>72</v>
      </c>
      <c r="E160" s="11" t="str">
        <f t="shared" si="10"/>
        <v>AUTOMOVIL</v>
      </c>
      <c r="F160" s="6" t="s">
        <v>57</v>
      </c>
      <c r="G160" s="11">
        <v>1200</v>
      </c>
      <c r="H160" s="6" t="s">
        <v>1050</v>
      </c>
      <c r="I160" s="6" t="str">
        <f t="shared" si="11"/>
        <v>N</v>
      </c>
      <c r="J160" s="17" t="s">
        <v>9</v>
      </c>
      <c r="K160" s="6">
        <v>130</v>
      </c>
      <c r="L160" s="9">
        <v>5</v>
      </c>
      <c r="M160" s="21"/>
      <c r="N160" s="2"/>
      <c r="O160" s="2"/>
      <c r="P160" s="2"/>
      <c r="Q160" s="2"/>
      <c r="R160" s="2"/>
      <c r="S160" s="2"/>
      <c r="T160" s="2"/>
      <c r="U160" s="39">
        <f>IF(I160="N",T160*Supuestos!$B$4,T160*Supuestos!$C$4)*100</f>
        <v>0</v>
      </c>
      <c r="V160" s="20">
        <f t="shared" si="14"/>
        <v>0</v>
      </c>
      <c r="W160" s="2">
        <f t="shared" si="12"/>
        <v>0</v>
      </c>
      <c r="X160" s="2">
        <f t="shared" si="13"/>
        <v>0</v>
      </c>
    </row>
    <row r="161" spans="1:24" x14ac:dyDescent="0.25">
      <c r="A161" s="6" t="s">
        <v>17</v>
      </c>
      <c r="B161" s="6" t="s">
        <v>567</v>
      </c>
      <c r="C161" s="6" t="s">
        <v>404</v>
      </c>
      <c r="D161" s="6" t="s">
        <v>72</v>
      </c>
      <c r="E161" s="11" t="str">
        <f t="shared" si="10"/>
        <v>AUTOMOVIL</v>
      </c>
      <c r="F161" s="6" t="s">
        <v>14</v>
      </c>
      <c r="G161" s="11"/>
      <c r="H161" s="6" t="s">
        <v>1051</v>
      </c>
      <c r="I161" s="6" t="str">
        <f t="shared" si="11"/>
        <v>E</v>
      </c>
      <c r="J161" s="17" t="s">
        <v>418</v>
      </c>
      <c r="K161" s="6">
        <v>509</v>
      </c>
      <c r="L161" s="9">
        <v>6</v>
      </c>
      <c r="M161" s="21">
        <v>6</v>
      </c>
      <c r="N161" s="2">
        <v>81990</v>
      </c>
      <c r="O161" s="2" t="s">
        <v>1060</v>
      </c>
      <c r="P161" s="2" t="s">
        <v>1334</v>
      </c>
      <c r="Q161" s="2"/>
      <c r="R161" s="2">
        <v>2660</v>
      </c>
      <c r="S161" s="2">
        <v>5</v>
      </c>
      <c r="T161" s="2"/>
      <c r="U161" s="39">
        <f>IF(I161="N",T161*Supuestos!$B$4,T161*Supuestos!$C$4)*100</f>
        <v>0</v>
      </c>
      <c r="V161" s="20">
        <f t="shared" si="14"/>
        <v>0</v>
      </c>
      <c r="W161" s="2">
        <f t="shared" si="12"/>
        <v>0</v>
      </c>
      <c r="X161" s="2">
        <f t="shared" si="13"/>
        <v>0</v>
      </c>
    </row>
    <row r="162" spans="1:24" x14ac:dyDescent="0.25">
      <c r="A162" s="6" t="s">
        <v>53</v>
      </c>
      <c r="B162" s="6" t="s">
        <v>1011</v>
      </c>
      <c r="C162" s="6" t="s">
        <v>404</v>
      </c>
      <c r="D162" s="6" t="s">
        <v>72</v>
      </c>
      <c r="E162" s="11" t="str">
        <f t="shared" si="10"/>
        <v>AUTOMOVIL</v>
      </c>
      <c r="F162" s="6"/>
      <c r="G162" s="11">
        <v>1400</v>
      </c>
      <c r="H162" s="6" t="s">
        <v>1050</v>
      </c>
      <c r="I162" s="6" t="str">
        <f t="shared" si="11"/>
        <v>N</v>
      </c>
      <c r="J162" s="17" t="s">
        <v>9</v>
      </c>
      <c r="K162" s="6">
        <v>150</v>
      </c>
      <c r="L162" s="9">
        <v>6</v>
      </c>
      <c r="M162" s="21">
        <v>6</v>
      </c>
      <c r="N162" s="2">
        <v>81990</v>
      </c>
      <c r="O162" s="2" t="s">
        <v>1053</v>
      </c>
      <c r="P162" s="2" t="s">
        <v>1086</v>
      </c>
      <c r="Q162" s="2" t="s">
        <v>422</v>
      </c>
      <c r="R162" s="2">
        <v>1880</v>
      </c>
      <c r="S162" s="2"/>
      <c r="T162" s="2">
        <v>144</v>
      </c>
      <c r="U162" s="39">
        <f>IF(I162="N",T162*Supuestos!$B$4,T162*Supuestos!$C$4)*100</f>
        <v>6.1620949342615727</v>
      </c>
      <c r="V162" s="20">
        <f t="shared" si="14"/>
        <v>16.228247222222222</v>
      </c>
      <c r="W162" s="2">
        <f t="shared" si="12"/>
        <v>864</v>
      </c>
      <c r="X162" s="2">
        <f t="shared" si="13"/>
        <v>36.972569605569433</v>
      </c>
    </row>
    <row r="163" spans="1:24" x14ac:dyDescent="0.25">
      <c r="A163" s="6" t="s">
        <v>62</v>
      </c>
      <c r="B163" s="6" t="s">
        <v>904</v>
      </c>
      <c r="C163" s="6" t="s">
        <v>404</v>
      </c>
      <c r="D163" s="6" t="s">
        <v>72</v>
      </c>
      <c r="E163" s="11" t="str">
        <f t="shared" si="10"/>
        <v>AUTOMOVIL</v>
      </c>
      <c r="F163" s="6" t="s">
        <v>57</v>
      </c>
      <c r="G163" s="11">
        <v>1600</v>
      </c>
      <c r="H163" s="6" t="s">
        <v>1052</v>
      </c>
      <c r="I163" s="6" t="str">
        <f t="shared" si="11"/>
        <v>D</v>
      </c>
      <c r="J163" s="17" t="s">
        <v>22</v>
      </c>
      <c r="K163" s="6">
        <v>0</v>
      </c>
      <c r="L163" s="9">
        <v>5</v>
      </c>
      <c r="M163" s="21"/>
      <c r="N163" s="2"/>
      <c r="O163" s="2"/>
      <c r="P163" s="2"/>
      <c r="Q163" s="2"/>
      <c r="R163" s="2"/>
      <c r="S163" s="2"/>
      <c r="T163" s="2"/>
      <c r="U163" s="39">
        <f>IF(I163="N",T163*Supuestos!$B$4,T163*Supuestos!$C$4)*100</f>
        <v>0</v>
      </c>
      <c r="V163" s="20">
        <f t="shared" si="14"/>
        <v>0</v>
      </c>
      <c r="W163" s="2">
        <f t="shared" si="12"/>
        <v>0</v>
      </c>
      <c r="X163" s="2">
        <f t="shared" si="13"/>
        <v>0</v>
      </c>
    </row>
    <row r="164" spans="1:24" x14ac:dyDescent="0.25">
      <c r="A164" s="6" t="s">
        <v>10</v>
      </c>
      <c r="B164" s="6" t="s">
        <v>487</v>
      </c>
      <c r="C164" s="6" t="s">
        <v>400</v>
      </c>
      <c r="D164" s="6" t="s">
        <v>72</v>
      </c>
      <c r="E164" s="11" t="str">
        <f t="shared" si="10"/>
        <v>AUTOMOVIL</v>
      </c>
      <c r="F164" s="6" t="s">
        <v>11</v>
      </c>
      <c r="G164" s="11">
        <v>1395</v>
      </c>
      <c r="H164" s="6" t="s">
        <v>1050</v>
      </c>
      <c r="I164" s="6" t="str">
        <f t="shared" si="11"/>
        <v>N</v>
      </c>
      <c r="J164" s="17" t="s">
        <v>9</v>
      </c>
      <c r="K164" s="6">
        <v>150</v>
      </c>
      <c r="L164" s="9">
        <v>4</v>
      </c>
      <c r="M164" s="6">
        <v>4</v>
      </c>
      <c r="N164" s="2">
        <v>58800</v>
      </c>
      <c r="O164" s="2" t="s">
        <v>1053</v>
      </c>
      <c r="P164" s="2"/>
      <c r="Q164" s="2" t="s">
        <v>422</v>
      </c>
      <c r="R164" s="2">
        <v>1590</v>
      </c>
      <c r="S164" s="2"/>
      <c r="T164" s="2">
        <v>140</v>
      </c>
      <c r="U164" s="39">
        <f>IF(I164="N",T164*Supuestos!$B$4,T164*Supuestos!$C$4)*100</f>
        <v>5.9909256305320842</v>
      </c>
      <c r="V164" s="20">
        <f t="shared" si="14"/>
        <v>16.69191142857143</v>
      </c>
      <c r="W164" s="2">
        <f t="shared" si="12"/>
        <v>560</v>
      </c>
      <c r="X164" s="2">
        <f t="shared" si="13"/>
        <v>23.963702522128337</v>
      </c>
    </row>
    <row r="165" spans="1:24" x14ac:dyDescent="0.25">
      <c r="A165" s="6" t="s">
        <v>10</v>
      </c>
      <c r="B165" s="6" t="s">
        <v>98</v>
      </c>
      <c r="C165" s="6" t="s">
        <v>400</v>
      </c>
      <c r="D165" s="6" t="s">
        <v>72</v>
      </c>
      <c r="E165" s="11" t="str">
        <f t="shared" si="10"/>
        <v>AUTOMOVIL</v>
      </c>
      <c r="F165" s="6" t="s">
        <v>11</v>
      </c>
      <c r="G165" s="11">
        <v>2000</v>
      </c>
      <c r="H165" s="6" t="s">
        <v>1050</v>
      </c>
      <c r="I165" s="6" t="str">
        <f t="shared" si="11"/>
        <v>N</v>
      </c>
      <c r="J165" s="17" t="s">
        <v>419</v>
      </c>
      <c r="K165" s="6">
        <v>245</v>
      </c>
      <c r="L165" s="9">
        <v>4</v>
      </c>
      <c r="M165" s="21"/>
      <c r="N165" s="2"/>
      <c r="O165" s="2"/>
      <c r="P165" s="2"/>
      <c r="Q165" s="2"/>
      <c r="R165" s="2"/>
      <c r="S165" s="2"/>
      <c r="T165" s="2"/>
      <c r="U165" s="39">
        <f>IF(I165="N",T165*Supuestos!$B$4,T165*Supuestos!$C$4)*100</f>
        <v>0</v>
      </c>
      <c r="V165" s="20">
        <f t="shared" si="14"/>
        <v>0</v>
      </c>
      <c r="W165" s="2">
        <f t="shared" si="12"/>
        <v>0</v>
      </c>
      <c r="X165" s="2">
        <f t="shared" si="13"/>
        <v>0</v>
      </c>
    </row>
    <row r="166" spans="1:24" x14ac:dyDescent="0.25">
      <c r="A166" s="6" t="s">
        <v>10</v>
      </c>
      <c r="B166" s="6" t="s">
        <v>500</v>
      </c>
      <c r="C166" s="6" t="s">
        <v>400</v>
      </c>
      <c r="D166" s="6" t="s">
        <v>72</v>
      </c>
      <c r="E166" s="11" t="str">
        <f t="shared" si="10"/>
        <v>AUTOMOVIL</v>
      </c>
      <c r="F166" s="6" t="s">
        <v>11</v>
      </c>
      <c r="G166" s="11"/>
      <c r="H166" s="6" t="s">
        <v>1051</v>
      </c>
      <c r="I166" s="6" t="str">
        <f t="shared" si="11"/>
        <v>E</v>
      </c>
      <c r="J166" s="17" t="s">
        <v>418</v>
      </c>
      <c r="K166" s="6">
        <v>590</v>
      </c>
      <c r="L166" s="9">
        <v>4</v>
      </c>
      <c r="M166" s="21">
        <v>4</v>
      </c>
      <c r="N166" s="2">
        <v>206000</v>
      </c>
      <c r="O166" s="2" t="s">
        <v>1060</v>
      </c>
      <c r="P166" s="2" t="s">
        <v>1357</v>
      </c>
      <c r="Q166" s="2"/>
      <c r="R166" s="2">
        <v>2860</v>
      </c>
      <c r="S166" s="2">
        <v>5.2</v>
      </c>
      <c r="T166" s="2"/>
      <c r="U166" s="39">
        <f>IF(I166="N",T166*Supuestos!$B$4,T166*Supuestos!$C$4)*100</f>
        <v>0</v>
      </c>
      <c r="V166" s="20">
        <f t="shared" si="14"/>
        <v>0</v>
      </c>
      <c r="W166" s="2">
        <f t="shared" si="12"/>
        <v>0</v>
      </c>
      <c r="X166" s="2">
        <f t="shared" si="13"/>
        <v>0</v>
      </c>
    </row>
    <row r="167" spans="1:24" x14ac:dyDescent="0.25">
      <c r="A167" s="6" t="s">
        <v>52</v>
      </c>
      <c r="B167" s="6" t="s">
        <v>370</v>
      </c>
      <c r="C167" s="6" t="s">
        <v>404</v>
      </c>
      <c r="D167" s="6" t="s">
        <v>72</v>
      </c>
      <c r="E167" s="11" t="str">
        <f t="shared" si="10"/>
        <v>AUTOMOVIL</v>
      </c>
      <c r="F167" s="6" t="s">
        <v>21</v>
      </c>
      <c r="G167" s="11">
        <v>2000</v>
      </c>
      <c r="H167" s="6" t="s">
        <v>1050</v>
      </c>
      <c r="I167" s="6" t="str">
        <f t="shared" si="11"/>
        <v>N</v>
      </c>
      <c r="J167" s="17" t="s">
        <v>9</v>
      </c>
      <c r="K167" s="6">
        <v>170</v>
      </c>
      <c r="L167" s="9">
        <v>5</v>
      </c>
      <c r="M167" s="21">
        <v>5</v>
      </c>
      <c r="N167" s="2">
        <v>44990</v>
      </c>
      <c r="O167" s="2" t="s">
        <v>1060</v>
      </c>
      <c r="P167" s="2" t="s">
        <v>1095</v>
      </c>
      <c r="Q167" s="2" t="s">
        <v>424</v>
      </c>
      <c r="R167" s="2">
        <v>1825</v>
      </c>
      <c r="S167" s="2"/>
      <c r="T167" s="2">
        <v>142</v>
      </c>
      <c r="U167" s="39">
        <f>IF(I167="N",T167*Supuestos!$B$4,T167*Supuestos!$C$4)*100</f>
        <v>6.0765102823968293</v>
      </c>
      <c r="V167" s="20">
        <f t="shared" si="14"/>
        <v>16.456814084507041</v>
      </c>
      <c r="W167" s="2">
        <f t="shared" si="12"/>
        <v>710</v>
      </c>
      <c r="X167" s="2">
        <f t="shared" si="13"/>
        <v>30.382551411984146</v>
      </c>
    </row>
    <row r="168" spans="1:24" x14ac:dyDescent="0.25">
      <c r="A168" s="6" t="s">
        <v>15</v>
      </c>
      <c r="B168" s="6" t="s">
        <v>513</v>
      </c>
      <c r="C168" s="6" t="s">
        <v>400</v>
      </c>
      <c r="D168" s="6" t="s">
        <v>72</v>
      </c>
      <c r="E168" s="11" t="str">
        <f t="shared" si="10"/>
        <v>AUTOMOVIL</v>
      </c>
      <c r="F168" s="6" t="s">
        <v>11</v>
      </c>
      <c r="G168" s="11">
        <v>1500</v>
      </c>
      <c r="H168" s="6" t="s">
        <v>1050</v>
      </c>
      <c r="I168" s="6" t="str">
        <f t="shared" si="11"/>
        <v>N</v>
      </c>
      <c r="J168" s="17" t="s">
        <v>9</v>
      </c>
      <c r="K168" s="6">
        <v>140</v>
      </c>
      <c r="L168" s="9">
        <v>4</v>
      </c>
      <c r="M168" s="21"/>
      <c r="N168" s="2"/>
      <c r="O168" s="2"/>
      <c r="P168" s="2"/>
      <c r="Q168" s="2"/>
      <c r="R168" s="2"/>
      <c r="S168" s="2"/>
      <c r="T168" s="2"/>
      <c r="U168" s="39">
        <f>IF(I168="N",T168*Supuestos!$B$4,T168*Supuestos!$C$4)*100</f>
        <v>0</v>
      </c>
      <c r="V168" s="20">
        <f t="shared" si="14"/>
        <v>0</v>
      </c>
      <c r="W168" s="2">
        <f t="shared" si="12"/>
        <v>0</v>
      </c>
      <c r="X168" s="2">
        <f t="shared" si="13"/>
        <v>0</v>
      </c>
    </row>
    <row r="169" spans="1:24" x14ac:dyDescent="0.25">
      <c r="A169" s="6" t="s">
        <v>15</v>
      </c>
      <c r="B169" s="6" t="s">
        <v>114</v>
      </c>
      <c r="C169" s="6" t="s">
        <v>400</v>
      </c>
      <c r="D169" s="6" t="s">
        <v>72</v>
      </c>
      <c r="E169" s="11" t="str">
        <f t="shared" si="10"/>
        <v>AUTOMOVIL</v>
      </c>
      <c r="F169" s="6" t="s">
        <v>11</v>
      </c>
      <c r="G169" s="11">
        <v>1500</v>
      </c>
      <c r="H169" s="6" t="s">
        <v>1050</v>
      </c>
      <c r="I169" s="6" t="str">
        <f t="shared" si="11"/>
        <v>N</v>
      </c>
      <c r="J169" s="17" t="s">
        <v>9</v>
      </c>
      <c r="K169" s="6">
        <v>140</v>
      </c>
      <c r="L169" s="9">
        <v>4</v>
      </c>
      <c r="M169" s="21"/>
      <c r="N169" s="2"/>
      <c r="O169" s="2"/>
      <c r="P169" s="2"/>
      <c r="Q169" s="2"/>
      <c r="R169" s="2"/>
      <c r="S169" s="2"/>
      <c r="T169" s="2"/>
      <c r="U169" s="39">
        <f>IF(I169="N",T169*Supuestos!$B$4,T169*Supuestos!$C$4)*100</f>
        <v>0</v>
      </c>
      <c r="V169" s="20">
        <f t="shared" si="14"/>
        <v>0</v>
      </c>
      <c r="W169" s="2">
        <f t="shared" si="12"/>
        <v>0</v>
      </c>
      <c r="X169" s="2">
        <f t="shared" si="13"/>
        <v>0</v>
      </c>
    </row>
    <row r="170" spans="1:24" x14ac:dyDescent="0.25">
      <c r="A170" s="6" t="s">
        <v>53</v>
      </c>
      <c r="B170" s="6" t="s">
        <v>395</v>
      </c>
      <c r="C170" s="6" t="s">
        <v>404</v>
      </c>
      <c r="D170" s="6" t="s">
        <v>72</v>
      </c>
      <c r="E170" s="11" t="str">
        <f t="shared" si="10"/>
        <v>AUTOMOVIL</v>
      </c>
      <c r="F170" s="6" t="s">
        <v>21</v>
      </c>
      <c r="G170" s="11">
        <v>1600</v>
      </c>
      <c r="H170" s="6" t="s">
        <v>1050</v>
      </c>
      <c r="I170" s="6" t="str">
        <f t="shared" si="11"/>
        <v>N</v>
      </c>
      <c r="J170" s="17" t="s">
        <v>9</v>
      </c>
      <c r="K170" s="6">
        <v>110</v>
      </c>
      <c r="L170" s="9">
        <v>5</v>
      </c>
      <c r="M170" s="21">
        <v>5</v>
      </c>
      <c r="N170" s="2">
        <v>23990</v>
      </c>
      <c r="O170" s="2" t="s">
        <v>1060</v>
      </c>
      <c r="P170" s="2" t="s">
        <v>430</v>
      </c>
      <c r="Q170" s="2" t="s">
        <v>429</v>
      </c>
      <c r="R170" s="2">
        <v>1550</v>
      </c>
      <c r="S170" s="2"/>
      <c r="T170" s="2">
        <v>158</v>
      </c>
      <c r="U170" s="39">
        <f>IF(I170="N",T170*Supuestos!$B$4,T170*Supuestos!$C$4)*100</f>
        <v>6.7611874973147819</v>
      </c>
      <c r="V170" s="20">
        <f t="shared" si="14"/>
        <v>14.790301265822784</v>
      </c>
      <c r="W170" s="2">
        <f t="shared" si="12"/>
        <v>790</v>
      </c>
      <c r="X170" s="2">
        <f t="shared" si="13"/>
        <v>33.80593748657391</v>
      </c>
    </row>
    <row r="171" spans="1:24" x14ac:dyDescent="0.25">
      <c r="A171" s="6" t="s">
        <v>91</v>
      </c>
      <c r="B171" s="6" t="s">
        <v>947</v>
      </c>
      <c r="C171" s="6" t="s">
        <v>407</v>
      </c>
      <c r="D171" s="6" t="s">
        <v>72</v>
      </c>
      <c r="E171" s="11" t="str">
        <f t="shared" si="10"/>
        <v>AUTOMOVIL</v>
      </c>
      <c r="F171" s="6" t="s">
        <v>57</v>
      </c>
      <c r="G171" s="11">
        <v>1600</v>
      </c>
      <c r="H171" s="6" t="s">
        <v>1050</v>
      </c>
      <c r="I171" s="6" t="str">
        <f t="shared" si="11"/>
        <v>N</v>
      </c>
      <c r="J171" s="17" t="s">
        <v>9</v>
      </c>
      <c r="K171" s="6">
        <v>0</v>
      </c>
      <c r="L171" s="9">
        <v>4</v>
      </c>
      <c r="M171" s="21"/>
      <c r="N171" s="2"/>
      <c r="O171" s="2"/>
      <c r="P171" s="2"/>
      <c r="Q171" s="2"/>
      <c r="R171" s="2"/>
      <c r="S171" s="2"/>
      <c r="T171" s="2"/>
      <c r="U171" s="39">
        <f>IF(I171="N",T171*Supuestos!$B$4,T171*Supuestos!$C$4)*100</f>
        <v>0</v>
      </c>
      <c r="V171" s="20">
        <f t="shared" si="14"/>
        <v>0</v>
      </c>
      <c r="W171" s="2">
        <f t="shared" si="12"/>
        <v>0</v>
      </c>
      <c r="X171" s="2">
        <f t="shared" si="13"/>
        <v>0</v>
      </c>
    </row>
    <row r="172" spans="1:24" x14ac:dyDescent="0.25">
      <c r="A172" s="6" t="s">
        <v>10</v>
      </c>
      <c r="B172" s="6" t="s">
        <v>490</v>
      </c>
      <c r="C172" s="6" t="s">
        <v>400</v>
      </c>
      <c r="D172" s="6" t="s">
        <v>72</v>
      </c>
      <c r="E172" s="11" t="str">
        <f t="shared" si="10"/>
        <v>AUTOMOVIL</v>
      </c>
      <c r="F172" s="6" t="s">
        <v>11</v>
      </c>
      <c r="G172" s="11">
        <v>1395</v>
      </c>
      <c r="H172" s="6" t="s">
        <v>1050</v>
      </c>
      <c r="I172" s="6" t="str">
        <f t="shared" si="11"/>
        <v>N</v>
      </c>
      <c r="J172" s="17" t="s">
        <v>9</v>
      </c>
      <c r="K172" s="6">
        <v>150</v>
      </c>
      <c r="L172" s="9">
        <v>3</v>
      </c>
      <c r="M172" s="6">
        <v>3</v>
      </c>
      <c r="N172" s="2">
        <v>55600</v>
      </c>
      <c r="O172" s="2" t="s">
        <v>1053</v>
      </c>
      <c r="P172" s="2"/>
      <c r="Q172" s="2" t="s">
        <v>422</v>
      </c>
      <c r="R172" s="2">
        <v>2500</v>
      </c>
      <c r="S172" s="2"/>
      <c r="T172" s="2">
        <v>138</v>
      </c>
      <c r="U172" s="39">
        <f>IF(I172="N",T172*Supuestos!$B$4,T172*Supuestos!$C$4)*100</f>
        <v>5.9053409786673408</v>
      </c>
      <c r="V172" s="20">
        <f t="shared" si="14"/>
        <v>16.933823188405796</v>
      </c>
      <c r="W172" s="2">
        <f t="shared" si="12"/>
        <v>414</v>
      </c>
      <c r="X172" s="2">
        <f t="shared" si="13"/>
        <v>17.716022936002023</v>
      </c>
    </row>
    <row r="173" spans="1:24" x14ac:dyDescent="0.25">
      <c r="A173" s="6" t="s">
        <v>15</v>
      </c>
      <c r="B173" s="6" t="s">
        <v>523</v>
      </c>
      <c r="C173" s="6" t="s">
        <v>400</v>
      </c>
      <c r="D173" s="6" t="s">
        <v>72</v>
      </c>
      <c r="E173" s="11" t="str">
        <f t="shared" si="10"/>
        <v>AUTOMOVIL</v>
      </c>
      <c r="F173" s="6" t="s">
        <v>11</v>
      </c>
      <c r="G173" s="11">
        <v>3000</v>
      </c>
      <c r="H173" s="6" t="s">
        <v>1050</v>
      </c>
      <c r="I173" s="6" t="str">
        <f t="shared" si="11"/>
        <v>N</v>
      </c>
      <c r="J173" s="17" t="s">
        <v>9</v>
      </c>
      <c r="K173" s="6">
        <v>374</v>
      </c>
      <c r="L173" s="9">
        <v>3</v>
      </c>
      <c r="M173" s="21"/>
      <c r="N173" s="2"/>
      <c r="O173" s="2"/>
      <c r="P173" s="2"/>
      <c r="Q173" s="2"/>
      <c r="R173" s="2"/>
      <c r="S173" s="2"/>
      <c r="T173" s="2"/>
      <c r="U173" s="39">
        <f>IF(I173="N",T173*Supuestos!$B$4,T173*Supuestos!$C$4)*100</f>
        <v>0</v>
      </c>
      <c r="V173" s="20">
        <f t="shared" si="14"/>
        <v>0</v>
      </c>
      <c r="W173" s="2">
        <f t="shared" si="12"/>
        <v>0</v>
      </c>
      <c r="X173" s="2">
        <f t="shared" si="13"/>
        <v>0</v>
      </c>
    </row>
    <row r="174" spans="1:24" x14ac:dyDescent="0.25">
      <c r="A174" s="6" t="s">
        <v>15</v>
      </c>
      <c r="B174" s="6" t="s">
        <v>528</v>
      </c>
      <c r="C174" s="6" t="s">
        <v>400</v>
      </c>
      <c r="D174" s="6" t="s">
        <v>72</v>
      </c>
      <c r="E174" s="11" t="str">
        <f t="shared" si="10"/>
        <v>AUTOMOVIL</v>
      </c>
      <c r="F174" s="6" t="s">
        <v>11</v>
      </c>
      <c r="G174" s="11">
        <v>3000</v>
      </c>
      <c r="H174" s="6" t="s">
        <v>1050</v>
      </c>
      <c r="I174" s="6" t="str">
        <f t="shared" si="11"/>
        <v>N</v>
      </c>
      <c r="J174" s="17" t="s">
        <v>9</v>
      </c>
      <c r="K174" s="6">
        <v>374</v>
      </c>
      <c r="L174" s="9">
        <v>3</v>
      </c>
      <c r="M174" s="21"/>
      <c r="N174" s="2"/>
      <c r="O174" s="2"/>
      <c r="P174" s="2"/>
      <c r="Q174" s="2"/>
      <c r="R174" s="2"/>
      <c r="S174" s="2"/>
      <c r="T174" s="2"/>
      <c r="U174" s="39">
        <f>IF(I174="N",T174*Supuestos!$B$4,T174*Supuestos!$C$4)*100</f>
        <v>0</v>
      </c>
      <c r="V174" s="20">
        <f t="shared" si="14"/>
        <v>0</v>
      </c>
      <c r="W174" s="2">
        <f t="shared" si="12"/>
        <v>0</v>
      </c>
      <c r="X174" s="2">
        <f t="shared" si="13"/>
        <v>0</v>
      </c>
    </row>
    <row r="175" spans="1:24" x14ac:dyDescent="0.25">
      <c r="A175" s="6" t="s">
        <v>15</v>
      </c>
      <c r="B175" s="6" t="s">
        <v>538</v>
      </c>
      <c r="C175" s="6" t="s">
        <v>400</v>
      </c>
      <c r="D175" s="6" t="s">
        <v>72</v>
      </c>
      <c r="E175" s="11" t="str">
        <f t="shared" si="10"/>
        <v>AUTOMOVIL</v>
      </c>
      <c r="F175" s="6" t="s">
        <v>24</v>
      </c>
      <c r="G175" s="11">
        <v>3000</v>
      </c>
      <c r="H175" s="6" t="s">
        <v>1050</v>
      </c>
      <c r="I175" s="6" t="str">
        <f t="shared" si="11"/>
        <v>N</v>
      </c>
      <c r="J175" s="17" t="s">
        <v>9</v>
      </c>
      <c r="K175" s="6">
        <v>460</v>
      </c>
      <c r="L175" s="9">
        <v>3</v>
      </c>
      <c r="M175" s="21"/>
      <c r="N175" s="2"/>
      <c r="O175" s="2"/>
      <c r="P175" s="2"/>
      <c r="Q175" s="2"/>
      <c r="R175" s="2"/>
      <c r="S175" s="2"/>
      <c r="T175" s="2"/>
      <c r="U175" s="39">
        <f>IF(I175="N",T175*Supuestos!$B$4,T175*Supuestos!$C$4)*100</f>
        <v>0</v>
      </c>
      <c r="V175" s="20">
        <f t="shared" si="14"/>
        <v>0</v>
      </c>
      <c r="W175" s="2">
        <f t="shared" si="12"/>
        <v>0</v>
      </c>
      <c r="X175" s="2">
        <f t="shared" si="13"/>
        <v>0</v>
      </c>
    </row>
    <row r="176" spans="1:24" x14ac:dyDescent="0.25">
      <c r="A176" s="6" t="s">
        <v>15</v>
      </c>
      <c r="B176" s="6" t="s">
        <v>116</v>
      </c>
      <c r="C176" s="6" t="s">
        <v>400</v>
      </c>
      <c r="D176" s="6" t="s">
        <v>72</v>
      </c>
      <c r="E176" s="11" t="str">
        <f t="shared" si="10"/>
        <v>AUTOMOVIL</v>
      </c>
      <c r="F176" s="6" t="s">
        <v>11</v>
      </c>
      <c r="G176" s="11">
        <v>3000</v>
      </c>
      <c r="H176" s="6" t="s">
        <v>1050</v>
      </c>
      <c r="I176" s="6" t="str">
        <f t="shared" si="11"/>
        <v>N</v>
      </c>
      <c r="J176" s="17" t="s">
        <v>9</v>
      </c>
      <c r="K176" s="6">
        <v>510</v>
      </c>
      <c r="L176" s="9">
        <v>3</v>
      </c>
      <c r="M176" s="21"/>
      <c r="N176" s="2"/>
      <c r="O176" s="2"/>
      <c r="P176" s="2"/>
      <c r="Q176" s="2"/>
      <c r="R176" s="2"/>
      <c r="S176" s="2"/>
      <c r="T176" s="2"/>
      <c r="U176" s="39">
        <f>IF(I176="N",T176*Supuestos!$B$4,T176*Supuestos!$C$4)*100</f>
        <v>0</v>
      </c>
      <c r="V176" s="20">
        <f t="shared" si="14"/>
        <v>0</v>
      </c>
      <c r="W176" s="2">
        <f t="shared" si="12"/>
        <v>0</v>
      </c>
      <c r="X176" s="2">
        <f t="shared" si="13"/>
        <v>0</v>
      </c>
    </row>
    <row r="177" spans="1:24" x14ac:dyDescent="0.25">
      <c r="A177" s="6" t="s">
        <v>19</v>
      </c>
      <c r="B177" s="6" t="s">
        <v>158</v>
      </c>
      <c r="C177" s="6" t="s">
        <v>403</v>
      </c>
      <c r="D177" s="6" t="s">
        <v>72</v>
      </c>
      <c r="E177" s="11" t="str">
        <f t="shared" si="10"/>
        <v>AUTOMOVIL</v>
      </c>
      <c r="F177" s="6" t="s">
        <v>21</v>
      </c>
      <c r="G177" s="11">
        <v>1000</v>
      </c>
      <c r="H177" s="6" t="s">
        <v>1050</v>
      </c>
      <c r="I177" s="6" t="str">
        <f t="shared" si="11"/>
        <v>N</v>
      </c>
      <c r="J177" s="17" t="s">
        <v>9</v>
      </c>
      <c r="K177" s="6">
        <v>80</v>
      </c>
      <c r="L177" s="9">
        <v>3</v>
      </c>
      <c r="M177" s="21">
        <v>3</v>
      </c>
      <c r="N177" s="2">
        <v>15790</v>
      </c>
      <c r="O177" s="2" t="s">
        <v>1060</v>
      </c>
      <c r="P177" s="2" t="s">
        <v>425</v>
      </c>
      <c r="Q177" s="2" t="s">
        <v>424</v>
      </c>
      <c r="R177" s="2">
        <v>1514</v>
      </c>
      <c r="S177" s="2"/>
      <c r="T177" s="2">
        <v>131</v>
      </c>
      <c r="U177" s="39">
        <f>IF(I177="N",T177*Supuestos!$B$4,T177*Supuestos!$C$4)*100</f>
        <v>5.6057946971407366</v>
      </c>
      <c r="V177" s="20">
        <f t="shared" si="14"/>
        <v>17.838683969465649</v>
      </c>
      <c r="W177" s="2">
        <f t="shared" si="12"/>
        <v>393</v>
      </c>
      <c r="X177" s="2">
        <f t="shared" si="13"/>
        <v>16.817384091422209</v>
      </c>
    </row>
    <row r="178" spans="1:24" x14ac:dyDescent="0.25">
      <c r="A178" s="6" t="s">
        <v>34</v>
      </c>
      <c r="B178" s="6" t="s">
        <v>208</v>
      </c>
      <c r="C178" s="6" t="s">
        <v>403</v>
      </c>
      <c r="D178" s="6" t="s">
        <v>72</v>
      </c>
      <c r="E178" s="11" t="str">
        <f t="shared" si="10"/>
        <v>AUTOMOVIL</v>
      </c>
      <c r="F178" s="6" t="s">
        <v>21</v>
      </c>
      <c r="G178" s="11">
        <v>1000</v>
      </c>
      <c r="H178" s="6" t="s">
        <v>1050</v>
      </c>
      <c r="I178" s="6" t="str">
        <f t="shared" si="11"/>
        <v>N</v>
      </c>
      <c r="J178" s="17" t="s">
        <v>9</v>
      </c>
      <c r="K178" s="6">
        <v>80</v>
      </c>
      <c r="L178" s="9">
        <v>3</v>
      </c>
      <c r="M178" s="9">
        <v>3</v>
      </c>
      <c r="N178" s="2">
        <v>16990</v>
      </c>
      <c r="O178" s="2" t="s">
        <v>1053</v>
      </c>
      <c r="P178" s="2" t="s">
        <v>1072</v>
      </c>
      <c r="Q178" s="2" t="s">
        <v>429</v>
      </c>
      <c r="R178" s="2">
        <v>1420</v>
      </c>
      <c r="S178" s="2"/>
      <c r="T178" s="2">
        <v>132</v>
      </c>
      <c r="U178" s="39">
        <f>IF(I178="N",T178*Supuestos!$B$4,T178*Supuestos!$C$4)*100</f>
        <v>5.6485870230731088</v>
      </c>
      <c r="V178" s="20">
        <f t="shared" si="14"/>
        <v>17.703542424242425</v>
      </c>
      <c r="W178" s="2">
        <f t="shared" si="12"/>
        <v>396</v>
      </c>
      <c r="X178" s="2">
        <f t="shared" si="13"/>
        <v>16.945761069219326</v>
      </c>
    </row>
    <row r="179" spans="1:24" x14ac:dyDescent="0.25">
      <c r="A179" s="6" t="s">
        <v>34</v>
      </c>
      <c r="B179" s="6" t="s">
        <v>211</v>
      </c>
      <c r="C179" s="6" t="s">
        <v>403</v>
      </c>
      <c r="D179" s="6" t="s">
        <v>72</v>
      </c>
      <c r="E179" s="11" t="str">
        <f t="shared" si="10"/>
        <v>AUTOMOVIL</v>
      </c>
      <c r="F179" s="6" t="s">
        <v>21</v>
      </c>
      <c r="G179" s="11">
        <v>1600</v>
      </c>
      <c r="H179" s="6" t="s">
        <v>1050</v>
      </c>
      <c r="I179" s="6" t="str">
        <f t="shared" si="11"/>
        <v>N</v>
      </c>
      <c r="J179" s="17" t="s">
        <v>9</v>
      </c>
      <c r="K179" s="6">
        <v>123</v>
      </c>
      <c r="L179" s="9">
        <v>3</v>
      </c>
      <c r="M179" s="9">
        <v>3</v>
      </c>
      <c r="N179" s="2">
        <v>21690</v>
      </c>
      <c r="O179" s="2" t="s">
        <v>1053</v>
      </c>
      <c r="P179" s="2" t="s">
        <v>1072</v>
      </c>
      <c r="Q179" s="2" t="s">
        <v>429</v>
      </c>
      <c r="R179" s="2">
        <v>1420</v>
      </c>
      <c r="S179" s="2"/>
      <c r="T179" s="2">
        <v>132</v>
      </c>
      <c r="U179" s="39">
        <f>IF(I179="N",T179*Supuestos!$B$4,T179*Supuestos!$C$4)*100</f>
        <v>5.6485870230731088</v>
      </c>
      <c r="V179" s="20">
        <f t="shared" si="14"/>
        <v>17.703542424242425</v>
      </c>
      <c r="W179" s="2">
        <f t="shared" si="12"/>
        <v>396</v>
      </c>
      <c r="X179" s="2">
        <f t="shared" si="13"/>
        <v>16.945761069219326</v>
      </c>
    </row>
    <row r="180" spans="1:24" x14ac:dyDescent="0.25">
      <c r="A180" s="6" t="s">
        <v>34</v>
      </c>
      <c r="B180" s="6" t="s">
        <v>216</v>
      </c>
      <c r="C180" s="6" t="s">
        <v>403</v>
      </c>
      <c r="D180" s="6" t="s">
        <v>72</v>
      </c>
      <c r="E180" s="11" t="str">
        <f t="shared" si="10"/>
        <v>AUTOMOVIL</v>
      </c>
      <c r="F180" s="6" t="s">
        <v>21</v>
      </c>
      <c r="G180" s="11">
        <v>1600</v>
      </c>
      <c r="H180" s="6" t="s">
        <v>1050</v>
      </c>
      <c r="I180" s="6" t="str">
        <f t="shared" si="11"/>
        <v>N</v>
      </c>
      <c r="J180" s="17" t="s">
        <v>9</v>
      </c>
      <c r="K180" s="6">
        <v>123</v>
      </c>
      <c r="L180" s="9">
        <v>3</v>
      </c>
      <c r="M180" s="9">
        <v>3</v>
      </c>
      <c r="N180" s="2">
        <v>25990</v>
      </c>
      <c r="O180" s="2" t="s">
        <v>1053</v>
      </c>
      <c r="P180" s="2" t="s">
        <v>1072</v>
      </c>
      <c r="Q180" s="2" t="s">
        <v>429</v>
      </c>
      <c r="R180" s="2">
        <v>1420</v>
      </c>
      <c r="S180" s="2"/>
      <c r="T180" s="2">
        <v>132</v>
      </c>
      <c r="U180" s="39">
        <f>IF(I180="N",T180*Supuestos!$B$4,T180*Supuestos!$C$4)*100</f>
        <v>5.6485870230731088</v>
      </c>
      <c r="V180" s="20">
        <f t="shared" si="14"/>
        <v>17.703542424242425</v>
      </c>
      <c r="W180" s="2">
        <f t="shared" si="12"/>
        <v>396</v>
      </c>
      <c r="X180" s="2">
        <f t="shared" si="13"/>
        <v>16.945761069219326</v>
      </c>
    </row>
    <row r="181" spans="1:24" x14ac:dyDescent="0.25">
      <c r="A181" s="6" t="s">
        <v>13</v>
      </c>
      <c r="B181" s="6" t="s">
        <v>505</v>
      </c>
      <c r="C181" s="6" t="s">
        <v>404</v>
      </c>
      <c r="D181" s="6" t="s">
        <v>72</v>
      </c>
      <c r="E181" s="11" t="str">
        <f t="shared" si="10"/>
        <v>AUTOMOVIL</v>
      </c>
      <c r="F181" s="6" t="s">
        <v>14</v>
      </c>
      <c r="G181" s="11"/>
      <c r="H181" s="6" t="s">
        <v>1051</v>
      </c>
      <c r="I181" s="6" t="str">
        <f t="shared" si="11"/>
        <v>E</v>
      </c>
      <c r="J181" s="17" t="s">
        <v>418</v>
      </c>
      <c r="K181" s="6">
        <v>160</v>
      </c>
      <c r="L181" s="9">
        <v>4</v>
      </c>
      <c r="M181" s="21">
        <v>4</v>
      </c>
      <c r="N181" s="2">
        <v>33490</v>
      </c>
      <c r="O181" s="2" t="s">
        <v>1060</v>
      </c>
      <c r="P181" s="2" t="s">
        <v>1360</v>
      </c>
      <c r="Q181" s="2"/>
      <c r="R181" s="2">
        <v>1955</v>
      </c>
      <c r="S181" s="2">
        <v>4.5999999999999996</v>
      </c>
      <c r="T181" s="2"/>
      <c r="U181" s="39">
        <f>IF(I181="N",T181*Supuestos!$B$4,T181*Supuestos!$C$4)*100</f>
        <v>0</v>
      </c>
      <c r="V181" s="20">
        <f t="shared" si="14"/>
        <v>0</v>
      </c>
      <c r="W181" s="2">
        <f t="shared" si="12"/>
        <v>0</v>
      </c>
      <c r="X181" s="2">
        <f t="shared" si="13"/>
        <v>0</v>
      </c>
    </row>
    <row r="182" spans="1:24" x14ac:dyDescent="0.25">
      <c r="A182" s="6" t="s">
        <v>41</v>
      </c>
      <c r="B182" s="6" t="s">
        <v>247</v>
      </c>
      <c r="C182" s="6" t="s">
        <v>400</v>
      </c>
      <c r="D182" s="6" t="s">
        <v>72</v>
      </c>
      <c r="E182" s="11" t="str">
        <f t="shared" si="10"/>
        <v>AUTOMOVIL</v>
      </c>
      <c r="F182" s="6" t="s">
        <v>45</v>
      </c>
      <c r="G182" s="11">
        <v>2000</v>
      </c>
      <c r="H182" s="6" t="s">
        <v>1050</v>
      </c>
      <c r="I182" s="6" t="str">
        <f t="shared" si="11"/>
        <v>N</v>
      </c>
      <c r="J182" s="17" t="s">
        <v>9</v>
      </c>
      <c r="K182" s="6">
        <v>184</v>
      </c>
      <c r="L182" s="9">
        <v>3</v>
      </c>
      <c r="M182" s="21"/>
      <c r="N182" s="2"/>
      <c r="O182" s="2"/>
      <c r="P182" s="2"/>
      <c r="Q182" s="2"/>
      <c r="R182" s="2"/>
      <c r="S182" s="2"/>
      <c r="T182" s="2"/>
      <c r="U182" s="39">
        <f>IF(I182="N",T182*Supuestos!$B$4,T182*Supuestos!$C$4)*100</f>
        <v>0</v>
      </c>
      <c r="V182" s="20">
        <f t="shared" si="14"/>
        <v>0</v>
      </c>
      <c r="W182" s="2">
        <f t="shared" si="12"/>
        <v>0</v>
      </c>
      <c r="X182" s="2">
        <f t="shared" si="13"/>
        <v>0</v>
      </c>
    </row>
    <row r="183" spans="1:24" x14ac:dyDescent="0.25">
      <c r="A183" s="6" t="s">
        <v>43</v>
      </c>
      <c r="B183" s="6" t="s">
        <v>853</v>
      </c>
      <c r="C183" s="6" t="s">
        <v>400</v>
      </c>
      <c r="D183" s="6" t="s">
        <v>72</v>
      </c>
      <c r="E183" s="11" t="str">
        <f t="shared" si="10"/>
        <v>AUTOMOVIL</v>
      </c>
      <c r="F183" s="6" t="s">
        <v>415</v>
      </c>
      <c r="G183" s="11">
        <v>1500</v>
      </c>
      <c r="H183" s="6" t="s">
        <v>1050</v>
      </c>
      <c r="I183" s="6" t="str">
        <f t="shared" si="11"/>
        <v>N</v>
      </c>
      <c r="J183" s="17" t="s">
        <v>9</v>
      </c>
      <c r="K183" s="6">
        <v>136</v>
      </c>
      <c r="L183" s="9">
        <v>3</v>
      </c>
      <c r="M183" s="21"/>
      <c r="N183" s="2"/>
      <c r="O183" s="2"/>
      <c r="P183" s="2"/>
      <c r="Q183" s="2"/>
      <c r="R183" s="2"/>
      <c r="S183" s="2"/>
      <c r="T183" s="2"/>
      <c r="U183" s="39">
        <f>IF(I183="N",T183*Supuestos!$B$4,T183*Supuestos!$C$4)*100</f>
        <v>0</v>
      </c>
      <c r="V183" s="20">
        <f t="shared" si="14"/>
        <v>0</v>
      </c>
      <c r="W183" s="2">
        <f t="shared" si="12"/>
        <v>0</v>
      </c>
      <c r="X183" s="2">
        <f t="shared" si="13"/>
        <v>0</v>
      </c>
    </row>
    <row r="184" spans="1:24" x14ac:dyDescent="0.25">
      <c r="A184" s="6" t="s">
        <v>43</v>
      </c>
      <c r="B184" s="6" t="s">
        <v>854</v>
      </c>
      <c r="C184" s="6" t="s">
        <v>400</v>
      </c>
      <c r="D184" s="6" t="s">
        <v>72</v>
      </c>
      <c r="E184" s="11" t="str">
        <f t="shared" si="10"/>
        <v>AUTOMOVIL</v>
      </c>
      <c r="F184" s="6" t="s">
        <v>415</v>
      </c>
      <c r="G184" s="11">
        <v>1500</v>
      </c>
      <c r="H184" s="6" t="s">
        <v>1050</v>
      </c>
      <c r="I184" s="6" t="str">
        <f t="shared" si="11"/>
        <v>N</v>
      </c>
      <c r="J184" s="17" t="s">
        <v>9</v>
      </c>
      <c r="K184" s="6">
        <v>136</v>
      </c>
      <c r="L184" s="9">
        <v>3</v>
      </c>
      <c r="M184" s="21"/>
      <c r="N184" s="2"/>
      <c r="O184" s="2"/>
      <c r="P184" s="2"/>
      <c r="Q184" s="2"/>
      <c r="R184" s="2"/>
      <c r="S184" s="2"/>
      <c r="T184" s="2"/>
      <c r="U184" s="39">
        <f>IF(I184="N",T184*Supuestos!$B$4,T184*Supuestos!$C$4)*100</f>
        <v>0</v>
      </c>
      <c r="V184" s="20">
        <f t="shared" si="14"/>
        <v>0</v>
      </c>
      <c r="W184" s="2">
        <f t="shared" si="12"/>
        <v>0</v>
      </c>
      <c r="X184" s="2">
        <f t="shared" si="13"/>
        <v>0</v>
      </c>
    </row>
    <row r="185" spans="1:24" x14ac:dyDescent="0.25">
      <c r="A185" s="6" t="s">
        <v>89</v>
      </c>
      <c r="B185" s="6" t="s">
        <v>866</v>
      </c>
      <c r="C185" s="6" t="s">
        <v>411</v>
      </c>
      <c r="D185" s="6" t="s">
        <v>72</v>
      </c>
      <c r="E185" s="11" t="str">
        <f t="shared" si="10"/>
        <v>AUTOMOVIL</v>
      </c>
      <c r="F185" s="6" t="s">
        <v>14</v>
      </c>
      <c r="G185" s="11"/>
      <c r="H185" s="6" t="s">
        <v>1051</v>
      </c>
      <c r="I185" s="6" t="str">
        <f t="shared" si="11"/>
        <v>E</v>
      </c>
      <c r="J185" s="17" t="s">
        <v>418</v>
      </c>
      <c r="K185" s="6">
        <v>4</v>
      </c>
      <c r="L185" s="9">
        <v>3</v>
      </c>
      <c r="M185" s="21">
        <v>3</v>
      </c>
      <c r="N185" s="2">
        <v>10650</v>
      </c>
      <c r="O185" s="2" t="s">
        <v>1341</v>
      </c>
      <c r="P185" s="2"/>
      <c r="Q185" s="2"/>
      <c r="R185" s="2"/>
      <c r="S185" s="2">
        <v>8.4</v>
      </c>
      <c r="T185" s="2"/>
      <c r="U185" s="39">
        <f>IF(I185="N",T185*Supuestos!$B$4,T185*Supuestos!$C$4)*100</f>
        <v>0</v>
      </c>
      <c r="V185" s="20">
        <f t="shared" si="14"/>
        <v>0</v>
      </c>
      <c r="W185" s="2">
        <f t="shared" si="12"/>
        <v>0</v>
      </c>
      <c r="X185" s="2">
        <f t="shared" si="13"/>
        <v>0</v>
      </c>
    </row>
    <row r="186" spans="1:24" x14ac:dyDescent="0.25">
      <c r="A186" s="6" t="s">
        <v>92</v>
      </c>
      <c r="B186" s="6" t="s">
        <v>978</v>
      </c>
      <c r="C186" s="6" t="s">
        <v>400</v>
      </c>
      <c r="D186" s="6" t="s">
        <v>72</v>
      </c>
      <c r="E186" s="11" t="str">
        <f t="shared" si="10"/>
        <v>AUTOMOVIL</v>
      </c>
      <c r="F186" s="6"/>
      <c r="G186" s="11"/>
      <c r="H186" s="6" t="s">
        <v>1051</v>
      </c>
      <c r="I186" s="6" t="str">
        <f t="shared" si="11"/>
        <v>E</v>
      </c>
      <c r="J186" s="17" t="s">
        <v>418</v>
      </c>
      <c r="K186" s="6">
        <v>0</v>
      </c>
      <c r="L186" s="9">
        <v>3</v>
      </c>
      <c r="M186" s="21">
        <v>3</v>
      </c>
      <c r="N186" s="2">
        <v>58900</v>
      </c>
      <c r="O186" s="2" t="s">
        <v>1060</v>
      </c>
      <c r="P186" s="2" t="s">
        <v>1361</v>
      </c>
      <c r="Q186" s="2"/>
      <c r="R186" s="2">
        <v>2200</v>
      </c>
      <c r="S186" s="2">
        <v>8.5</v>
      </c>
      <c r="T186" s="2"/>
      <c r="U186" s="39">
        <f>IF(I186="N",T186*Supuestos!$B$4,T186*Supuestos!$C$4)*100</f>
        <v>0</v>
      </c>
      <c r="V186" s="20">
        <f t="shared" si="14"/>
        <v>0</v>
      </c>
      <c r="W186" s="2">
        <f t="shared" si="12"/>
        <v>0</v>
      </c>
      <c r="X186" s="2">
        <f t="shared" si="13"/>
        <v>0</v>
      </c>
    </row>
    <row r="187" spans="1:24" x14ac:dyDescent="0.25">
      <c r="A187" s="6" t="s">
        <v>93</v>
      </c>
      <c r="B187" s="6" t="s">
        <v>985</v>
      </c>
      <c r="C187" s="6" t="s">
        <v>411</v>
      </c>
      <c r="D187" s="6" t="s">
        <v>72</v>
      </c>
      <c r="E187" s="11" t="str">
        <f t="shared" si="10"/>
        <v>AUTOMOVIL</v>
      </c>
      <c r="F187" s="6" t="s">
        <v>14</v>
      </c>
      <c r="G187" s="11"/>
      <c r="H187" s="6" t="s">
        <v>1051</v>
      </c>
      <c r="I187" s="6" t="str">
        <f t="shared" si="11"/>
        <v>E</v>
      </c>
      <c r="J187" s="17" t="s">
        <v>418</v>
      </c>
      <c r="K187" s="6">
        <v>0</v>
      </c>
      <c r="L187" s="9">
        <v>3</v>
      </c>
      <c r="M187" s="21">
        <v>3</v>
      </c>
      <c r="N187" s="2">
        <v>14980</v>
      </c>
      <c r="O187" s="2" t="s">
        <v>1341</v>
      </c>
      <c r="P187" s="2"/>
      <c r="Q187" s="2"/>
      <c r="R187" s="2"/>
      <c r="S187" s="2">
        <v>8.4</v>
      </c>
      <c r="T187" s="2"/>
      <c r="U187" s="39">
        <f>IF(I187="N",T187*Supuestos!$B$4,T187*Supuestos!$C$4)*100</f>
        <v>0</v>
      </c>
      <c r="V187" s="20">
        <f t="shared" si="14"/>
        <v>0</v>
      </c>
      <c r="W187" s="2">
        <f t="shared" si="12"/>
        <v>0</v>
      </c>
      <c r="X187" s="2">
        <f t="shared" si="13"/>
        <v>0</v>
      </c>
    </row>
    <row r="188" spans="1:24" x14ac:dyDescent="0.25">
      <c r="A188" s="6" t="s">
        <v>17</v>
      </c>
      <c r="B188" s="6" t="s">
        <v>568</v>
      </c>
      <c r="C188" s="6" t="s">
        <v>404</v>
      </c>
      <c r="D188" s="6" t="s">
        <v>72</v>
      </c>
      <c r="E188" s="11" t="str">
        <f t="shared" si="10"/>
        <v>AUTOMOVIL</v>
      </c>
      <c r="F188" s="6" t="s">
        <v>14</v>
      </c>
      <c r="G188" s="11"/>
      <c r="H188" s="6" t="s">
        <v>1051</v>
      </c>
      <c r="I188" s="6" t="str">
        <f t="shared" si="11"/>
        <v>E</v>
      </c>
      <c r="J188" s="17" t="s">
        <v>418</v>
      </c>
      <c r="K188" s="6">
        <v>241</v>
      </c>
      <c r="L188" s="9">
        <v>4</v>
      </c>
      <c r="M188" s="21">
        <v>4</v>
      </c>
      <c r="N188" s="2">
        <v>76990</v>
      </c>
      <c r="O188" s="2" t="s">
        <v>1060</v>
      </c>
      <c r="P188" s="2" t="s">
        <v>1334</v>
      </c>
      <c r="Q188" s="2"/>
      <c r="R188" s="2">
        <v>2660</v>
      </c>
      <c r="S188" s="2">
        <v>5</v>
      </c>
      <c r="T188" s="2"/>
      <c r="U188" s="39">
        <f>IF(I188="N",T188*Supuestos!$B$4,T188*Supuestos!$C$4)*100</f>
        <v>0</v>
      </c>
      <c r="V188" s="20">
        <f t="shared" si="14"/>
        <v>0</v>
      </c>
      <c r="W188" s="2">
        <f t="shared" si="12"/>
        <v>0</v>
      </c>
      <c r="X188" s="2">
        <f t="shared" si="13"/>
        <v>0</v>
      </c>
    </row>
    <row r="189" spans="1:24" x14ac:dyDescent="0.25">
      <c r="A189" s="6" t="s">
        <v>53</v>
      </c>
      <c r="B189" s="6" t="s">
        <v>390</v>
      </c>
      <c r="C189" s="6" t="s">
        <v>407</v>
      </c>
      <c r="D189" s="6" t="s">
        <v>72</v>
      </c>
      <c r="E189" s="11" t="str">
        <f t="shared" si="10"/>
        <v>AUTOMOVIL</v>
      </c>
      <c r="F189" s="6" t="s">
        <v>21</v>
      </c>
      <c r="G189" s="11">
        <v>1600</v>
      </c>
      <c r="H189" s="6" t="s">
        <v>1050</v>
      </c>
      <c r="I189" s="6" t="str">
        <f t="shared" si="11"/>
        <v>N</v>
      </c>
      <c r="J189" s="17" t="s">
        <v>9</v>
      </c>
      <c r="K189" s="6">
        <v>110</v>
      </c>
      <c r="L189" s="9">
        <v>3</v>
      </c>
      <c r="M189" s="21">
        <v>3</v>
      </c>
      <c r="N189" s="2">
        <v>29490</v>
      </c>
      <c r="O189" s="2" t="s">
        <v>1053</v>
      </c>
      <c r="P189" s="2" t="s">
        <v>1084</v>
      </c>
      <c r="Q189" s="2" t="s">
        <v>422</v>
      </c>
      <c r="R189" s="2">
        <v>1510</v>
      </c>
      <c r="S189" s="2"/>
      <c r="T189" s="2">
        <v>156</v>
      </c>
      <c r="U189" s="39">
        <f>IF(I189="N",T189*Supuestos!$B$4,T189*Supuestos!$C$4)*100</f>
        <v>6.6756028454500376</v>
      </c>
      <c r="V189" s="20">
        <f t="shared" si="14"/>
        <v>14.979920512820513</v>
      </c>
      <c r="W189" s="2">
        <f t="shared" si="12"/>
        <v>468</v>
      </c>
      <c r="X189" s="2">
        <f t="shared" si="13"/>
        <v>20.026808536350114</v>
      </c>
    </row>
    <row r="190" spans="1:24" x14ac:dyDescent="0.25">
      <c r="A190" s="6" t="s">
        <v>10</v>
      </c>
      <c r="B190" s="6" t="s">
        <v>488</v>
      </c>
      <c r="C190" s="6" t="s">
        <v>400</v>
      </c>
      <c r="D190" s="6" t="s">
        <v>72</v>
      </c>
      <c r="E190" s="11" t="str">
        <f t="shared" si="10"/>
        <v>AUTOMOVIL</v>
      </c>
      <c r="F190" s="6" t="s">
        <v>11</v>
      </c>
      <c r="G190" s="11">
        <v>1395</v>
      </c>
      <c r="H190" s="6" t="s">
        <v>1050</v>
      </c>
      <c r="I190" s="6" t="str">
        <f t="shared" si="11"/>
        <v>N</v>
      </c>
      <c r="J190" s="17" t="s">
        <v>9</v>
      </c>
      <c r="K190" s="6">
        <v>150</v>
      </c>
      <c r="L190" s="9">
        <v>2</v>
      </c>
      <c r="M190" s="6">
        <v>2</v>
      </c>
      <c r="N190" s="2"/>
      <c r="O190" s="2" t="s">
        <v>1053</v>
      </c>
      <c r="P190" s="2"/>
      <c r="Q190" s="2" t="s">
        <v>422</v>
      </c>
      <c r="R190" s="2">
        <v>1590</v>
      </c>
      <c r="S190" s="2"/>
      <c r="T190" s="2">
        <v>140</v>
      </c>
      <c r="U190" s="39">
        <f>IF(I190="N",T190*Supuestos!$B$4,T190*Supuestos!$C$4)*100</f>
        <v>5.9909256305320842</v>
      </c>
      <c r="V190" s="20">
        <f t="shared" si="14"/>
        <v>16.69191142857143</v>
      </c>
      <c r="W190" s="2">
        <f t="shared" si="12"/>
        <v>280</v>
      </c>
      <c r="X190" s="2">
        <f t="shared" si="13"/>
        <v>11.981851261064168</v>
      </c>
    </row>
    <row r="191" spans="1:24" x14ac:dyDescent="0.25">
      <c r="A191" s="6" t="s">
        <v>15</v>
      </c>
      <c r="B191" s="6" t="s">
        <v>511</v>
      </c>
      <c r="C191" s="6" t="s">
        <v>400</v>
      </c>
      <c r="D191" s="6" t="s">
        <v>72</v>
      </c>
      <c r="E191" s="11" t="str">
        <f t="shared" si="10"/>
        <v>AUTOMOVIL</v>
      </c>
      <c r="F191" s="6" t="s">
        <v>11</v>
      </c>
      <c r="G191" s="11">
        <v>1500</v>
      </c>
      <c r="H191" s="6" t="s">
        <v>1050</v>
      </c>
      <c r="I191" s="6" t="str">
        <f t="shared" si="11"/>
        <v>N</v>
      </c>
      <c r="J191" s="17" t="s">
        <v>9</v>
      </c>
      <c r="K191" s="6">
        <v>140</v>
      </c>
      <c r="L191" s="9">
        <v>2</v>
      </c>
      <c r="M191" s="21"/>
      <c r="N191" s="2"/>
      <c r="O191" s="2"/>
      <c r="P191" s="2"/>
      <c r="Q191" s="2"/>
      <c r="R191" s="2"/>
      <c r="S191" s="2"/>
      <c r="T191" s="2"/>
      <c r="U191" s="39">
        <f>IF(I191="N",T191*Supuestos!$B$4,T191*Supuestos!$C$4)*100</f>
        <v>0</v>
      </c>
      <c r="V191" s="20">
        <f t="shared" si="14"/>
        <v>0</v>
      </c>
      <c r="W191" s="2">
        <f t="shared" si="12"/>
        <v>0</v>
      </c>
      <c r="X191" s="2">
        <f t="shared" si="13"/>
        <v>0</v>
      </c>
    </row>
    <row r="192" spans="1:24" x14ac:dyDescent="0.25">
      <c r="A192" s="6" t="s">
        <v>15</v>
      </c>
      <c r="B192" s="6" t="s">
        <v>113</v>
      </c>
      <c r="C192" s="6" t="s">
        <v>400</v>
      </c>
      <c r="D192" s="6" t="s">
        <v>72</v>
      </c>
      <c r="E192" s="11" t="str">
        <f t="shared" si="10"/>
        <v>AUTOMOVIL</v>
      </c>
      <c r="F192" s="6" t="s">
        <v>11</v>
      </c>
      <c r="G192" s="11">
        <v>2000</v>
      </c>
      <c r="H192" s="6" t="s">
        <v>1050</v>
      </c>
      <c r="I192" s="6" t="str">
        <f t="shared" si="11"/>
        <v>N</v>
      </c>
      <c r="J192" s="17" t="s">
        <v>9</v>
      </c>
      <c r="K192" s="6">
        <v>306</v>
      </c>
      <c r="L192" s="9">
        <v>2</v>
      </c>
      <c r="M192" s="21"/>
      <c r="N192" s="2"/>
      <c r="O192" s="2"/>
      <c r="P192" s="2"/>
      <c r="Q192" s="2"/>
      <c r="R192" s="2"/>
      <c r="S192" s="2"/>
      <c r="T192" s="2"/>
      <c r="U192" s="39">
        <f>IF(I192="N",T192*Supuestos!$B$4,T192*Supuestos!$C$4)*100</f>
        <v>0</v>
      </c>
      <c r="V192" s="20">
        <f t="shared" si="14"/>
        <v>0</v>
      </c>
      <c r="W192" s="2">
        <f t="shared" si="12"/>
        <v>0</v>
      </c>
      <c r="X192" s="2">
        <f t="shared" si="13"/>
        <v>0</v>
      </c>
    </row>
    <row r="193" spans="1:24" x14ac:dyDescent="0.25">
      <c r="A193" s="6" t="s">
        <v>15</v>
      </c>
      <c r="B193" s="6" t="s">
        <v>515</v>
      </c>
      <c r="C193" s="6" t="s">
        <v>400</v>
      </c>
      <c r="D193" s="6" t="s">
        <v>72</v>
      </c>
      <c r="E193" s="11" t="str">
        <f t="shared" si="10"/>
        <v>AUTOMOVIL</v>
      </c>
      <c r="F193" s="6" t="s">
        <v>11</v>
      </c>
      <c r="G193" s="11">
        <v>2000</v>
      </c>
      <c r="H193" s="6" t="s">
        <v>1050</v>
      </c>
      <c r="I193" s="6" t="str">
        <f t="shared" si="11"/>
        <v>N</v>
      </c>
      <c r="J193" s="17" t="s">
        <v>9</v>
      </c>
      <c r="K193" s="6">
        <v>192</v>
      </c>
      <c r="L193" s="9">
        <v>2</v>
      </c>
      <c r="M193" s="21"/>
      <c r="N193" s="2"/>
      <c r="O193" s="2"/>
      <c r="P193" s="2"/>
      <c r="Q193" s="2"/>
      <c r="R193" s="2"/>
      <c r="S193" s="2"/>
      <c r="T193" s="2"/>
      <c r="U193" s="39">
        <f>IF(I193="N",T193*Supuestos!$B$4,T193*Supuestos!$C$4)*100</f>
        <v>0</v>
      </c>
      <c r="V193" s="20">
        <f t="shared" si="14"/>
        <v>0</v>
      </c>
      <c r="W193" s="2">
        <f t="shared" si="12"/>
        <v>0</v>
      </c>
      <c r="X193" s="2">
        <f t="shared" si="13"/>
        <v>0</v>
      </c>
    </row>
    <row r="194" spans="1:24" x14ac:dyDescent="0.25">
      <c r="A194" s="6" t="s">
        <v>15</v>
      </c>
      <c r="B194" s="6" t="s">
        <v>522</v>
      </c>
      <c r="C194" s="6" t="s">
        <v>400</v>
      </c>
      <c r="D194" s="6" t="s">
        <v>72</v>
      </c>
      <c r="E194" s="11" t="str">
        <f t="shared" ref="E194:E257" si="15">IF(D194="COMERCIAL","UTILITARIO",IF(C194="SUV Y CROSSOVER","SUV","AUTOMOVIL"))</f>
        <v>AUTOMOVIL</v>
      </c>
      <c r="F194" s="6" t="s">
        <v>11</v>
      </c>
      <c r="G194" s="11">
        <v>2000</v>
      </c>
      <c r="H194" s="6" t="s">
        <v>1050</v>
      </c>
      <c r="I194" s="6" t="str">
        <f t="shared" ref="I194:I257" si="16">IF(H194="NAFTA","N",IF(H194="DIESEL","D",IF(H194="ELÉCTRICO","E","")))</f>
        <v>N</v>
      </c>
      <c r="J194" s="17" t="s">
        <v>9</v>
      </c>
      <c r="K194" s="6">
        <v>258</v>
      </c>
      <c r="L194" s="9">
        <v>2</v>
      </c>
      <c r="M194" s="21"/>
      <c r="N194" s="2"/>
      <c r="O194" s="2"/>
      <c r="P194" s="2"/>
      <c r="Q194" s="2"/>
      <c r="R194" s="2"/>
      <c r="S194" s="2"/>
      <c r="T194" s="2"/>
      <c r="U194" s="39">
        <f>IF(I194="N",T194*Supuestos!$B$4,T194*Supuestos!$C$4)*100</f>
        <v>0</v>
      </c>
      <c r="V194" s="20">
        <f t="shared" si="14"/>
        <v>0</v>
      </c>
      <c r="W194" s="2">
        <f t="shared" ref="W194:W257" si="17">T194*M194</f>
        <v>0</v>
      </c>
      <c r="X194" s="2">
        <f t="shared" ref="X194:X257" si="18">+U194*M194</f>
        <v>0</v>
      </c>
    </row>
    <row r="195" spans="1:24" x14ac:dyDescent="0.25">
      <c r="A195" s="6" t="s">
        <v>15</v>
      </c>
      <c r="B195" s="6" t="s">
        <v>120</v>
      </c>
      <c r="C195" s="6" t="s">
        <v>400</v>
      </c>
      <c r="D195" s="6" t="s">
        <v>72</v>
      </c>
      <c r="E195" s="11" t="str">
        <f t="shared" si="15"/>
        <v>AUTOMOVIL</v>
      </c>
      <c r="F195" s="6" t="s">
        <v>11</v>
      </c>
      <c r="G195" s="11">
        <v>3000</v>
      </c>
      <c r="H195" s="6" t="s">
        <v>1050</v>
      </c>
      <c r="I195" s="6" t="str">
        <f t="shared" si="16"/>
        <v>N</v>
      </c>
      <c r="J195" s="17" t="s">
        <v>9</v>
      </c>
      <c r="K195" s="6">
        <v>382</v>
      </c>
      <c r="L195" s="9">
        <v>2</v>
      </c>
      <c r="M195" s="21"/>
      <c r="N195" s="2"/>
      <c r="O195" s="2"/>
      <c r="P195" s="2"/>
      <c r="Q195" s="2"/>
      <c r="R195" s="2"/>
      <c r="S195" s="2"/>
      <c r="T195" s="2"/>
      <c r="U195" s="39">
        <f>IF(I195="N",T195*Supuestos!$B$4,T195*Supuestos!$C$4)*100</f>
        <v>0</v>
      </c>
      <c r="V195" s="20">
        <f t="shared" ref="V195:V258" si="19">IF(U195&gt;0,100/U195,0)</f>
        <v>0</v>
      </c>
      <c r="W195" s="2">
        <f t="shared" si="17"/>
        <v>0</v>
      </c>
      <c r="X195" s="2">
        <f t="shared" si="18"/>
        <v>0</v>
      </c>
    </row>
    <row r="196" spans="1:24" x14ac:dyDescent="0.25">
      <c r="A196" s="6" t="s">
        <v>83</v>
      </c>
      <c r="B196" s="6" t="s">
        <v>677</v>
      </c>
      <c r="C196" s="6" t="s">
        <v>411</v>
      </c>
      <c r="D196" s="6" t="s">
        <v>72</v>
      </c>
      <c r="E196" s="11" t="str">
        <f t="shared" si="15"/>
        <v>AUTOMOVIL</v>
      </c>
      <c r="F196" s="6" t="s">
        <v>14</v>
      </c>
      <c r="G196" s="11"/>
      <c r="H196" s="6" t="s">
        <v>1051</v>
      </c>
      <c r="I196" s="6" t="str">
        <f t="shared" si="16"/>
        <v>E</v>
      </c>
      <c r="J196" s="17" t="s">
        <v>418</v>
      </c>
      <c r="K196" s="6">
        <v>2.7</v>
      </c>
      <c r="L196" s="9">
        <v>2</v>
      </c>
      <c r="M196" s="21">
        <v>2</v>
      </c>
      <c r="N196" s="2">
        <v>8990</v>
      </c>
      <c r="O196" s="2" t="s">
        <v>1341</v>
      </c>
      <c r="P196" s="2"/>
      <c r="Q196" s="2"/>
      <c r="R196" s="2"/>
      <c r="S196" s="2">
        <v>8.4</v>
      </c>
      <c r="T196" s="2"/>
      <c r="U196" s="39">
        <f>IF(I196="N",T196*Supuestos!$B$4,T196*Supuestos!$C$4)*100</f>
        <v>0</v>
      </c>
      <c r="V196" s="20">
        <f t="shared" si="19"/>
        <v>0</v>
      </c>
      <c r="W196" s="2">
        <f t="shared" si="17"/>
        <v>0</v>
      </c>
      <c r="X196" s="2">
        <f t="shared" si="18"/>
        <v>0</v>
      </c>
    </row>
    <row r="197" spans="1:24" x14ac:dyDescent="0.25">
      <c r="A197" s="6" t="s">
        <v>88</v>
      </c>
      <c r="B197" s="6" t="s">
        <v>795</v>
      </c>
      <c r="C197" s="6" t="s">
        <v>404</v>
      </c>
      <c r="D197" s="6" t="s">
        <v>72</v>
      </c>
      <c r="E197" s="11" t="str">
        <f t="shared" si="15"/>
        <v>AUTOMOVIL</v>
      </c>
      <c r="F197" s="6" t="s">
        <v>14</v>
      </c>
      <c r="G197" s="11"/>
      <c r="H197" s="6" t="s">
        <v>1051</v>
      </c>
      <c r="I197" s="6" t="str">
        <f t="shared" si="16"/>
        <v>E</v>
      </c>
      <c r="J197" s="17" t="s">
        <v>418</v>
      </c>
      <c r="K197" s="6">
        <v>134</v>
      </c>
      <c r="L197" s="9">
        <v>3</v>
      </c>
      <c r="M197" s="21">
        <v>3</v>
      </c>
      <c r="N197" s="2">
        <v>45128</v>
      </c>
      <c r="O197" s="2" t="s">
        <v>1060</v>
      </c>
      <c r="P197" s="2" t="s">
        <v>1363</v>
      </c>
      <c r="Q197" s="2"/>
      <c r="R197" s="2">
        <v>1910</v>
      </c>
      <c r="S197" s="2">
        <v>6.4</v>
      </c>
      <c r="T197" s="2"/>
      <c r="U197" s="39">
        <f>IF(I197="N",T197*Supuestos!$B$4,T197*Supuestos!$C$4)*100</f>
        <v>0</v>
      </c>
      <c r="V197" s="20">
        <f t="shared" si="19"/>
        <v>0</v>
      </c>
      <c r="W197" s="2">
        <f t="shared" si="17"/>
        <v>0</v>
      </c>
      <c r="X197" s="2">
        <f t="shared" si="18"/>
        <v>0</v>
      </c>
    </row>
    <row r="198" spans="1:24" x14ac:dyDescent="0.25">
      <c r="A198" s="6" t="s">
        <v>34</v>
      </c>
      <c r="B198" s="6" t="s">
        <v>213</v>
      </c>
      <c r="C198" s="6" t="s">
        <v>403</v>
      </c>
      <c r="D198" s="6" t="s">
        <v>72</v>
      </c>
      <c r="E198" s="11" t="str">
        <f t="shared" si="15"/>
        <v>AUTOMOVIL</v>
      </c>
      <c r="F198" s="6" t="s">
        <v>21</v>
      </c>
      <c r="G198" s="11">
        <v>1600</v>
      </c>
      <c r="H198" s="6" t="s">
        <v>1050</v>
      </c>
      <c r="I198" s="6" t="str">
        <f t="shared" si="16"/>
        <v>N</v>
      </c>
      <c r="J198" s="17" t="s">
        <v>9</v>
      </c>
      <c r="K198" s="6">
        <v>123</v>
      </c>
      <c r="L198" s="9">
        <v>2</v>
      </c>
      <c r="M198" s="9">
        <v>2</v>
      </c>
      <c r="N198" s="2">
        <v>23690</v>
      </c>
      <c r="O198" s="2" t="s">
        <v>1053</v>
      </c>
      <c r="P198" s="2" t="s">
        <v>1072</v>
      </c>
      <c r="Q198" s="2" t="s">
        <v>429</v>
      </c>
      <c r="R198" s="2">
        <v>1420</v>
      </c>
      <c r="S198" s="2"/>
      <c r="T198" s="2">
        <v>132</v>
      </c>
      <c r="U198" s="39">
        <f>IF(I198="N",T198*Supuestos!$B$4,T198*Supuestos!$C$4)*100</f>
        <v>5.6485870230731088</v>
      </c>
      <c r="V198" s="20">
        <f t="shared" si="19"/>
        <v>17.703542424242425</v>
      </c>
      <c r="W198" s="2">
        <f t="shared" si="17"/>
        <v>264</v>
      </c>
      <c r="X198" s="2">
        <f t="shared" si="18"/>
        <v>11.297174046146218</v>
      </c>
    </row>
    <row r="199" spans="1:24" x14ac:dyDescent="0.25">
      <c r="A199" s="6" t="s">
        <v>52</v>
      </c>
      <c r="B199" s="6" t="s">
        <v>998</v>
      </c>
      <c r="C199" s="6" t="s">
        <v>404</v>
      </c>
      <c r="D199" s="6" t="s">
        <v>72</v>
      </c>
      <c r="E199" s="11" t="str">
        <f t="shared" si="15"/>
        <v>AUTOMOVIL</v>
      </c>
      <c r="F199" s="6" t="s">
        <v>21</v>
      </c>
      <c r="G199" s="11">
        <v>2000</v>
      </c>
      <c r="H199" s="6" t="s">
        <v>1050</v>
      </c>
      <c r="I199" s="6" t="str">
        <f t="shared" si="16"/>
        <v>N</v>
      </c>
      <c r="J199" s="17" t="s">
        <v>9</v>
      </c>
      <c r="K199" s="6">
        <v>170</v>
      </c>
      <c r="L199" s="9">
        <v>3</v>
      </c>
      <c r="M199" s="21">
        <v>3</v>
      </c>
      <c r="N199" s="2">
        <v>45990</v>
      </c>
      <c r="O199" s="2" t="s">
        <v>1060</v>
      </c>
      <c r="P199" s="2" t="s">
        <v>1095</v>
      </c>
      <c r="Q199" s="2" t="s">
        <v>424</v>
      </c>
      <c r="R199" s="2">
        <v>1825</v>
      </c>
      <c r="S199" s="2"/>
      <c r="T199" s="2">
        <v>142</v>
      </c>
      <c r="U199" s="39">
        <f>IF(I199="N",T199*Supuestos!$B$4,T199*Supuestos!$C$4)*100</f>
        <v>6.0765102823968293</v>
      </c>
      <c r="V199" s="20">
        <f t="shared" si="19"/>
        <v>16.456814084507041</v>
      </c>
      <c r="W199" s="2">
        <f t="shared" si="17"/>
        <v>426</v>
      </c>
      <c r="X199" s="2">
        <f t="shared" si="18"/>
        <v>18.229530847190489</v>
      </c>
    </row>
    <row r="200" spans="1:24" x14ac:dyDescent="0.25">
      <c r="A200" s="6" t="s">
        <v>479</v>
      </c>
      <c r="B200" s="6" t="s">
        <v>793</v>
      </c>
      <c r="C200" s="6" t="s">
        <v>411</v>
      </c>
      <c r="D200" s="6" t="s">
        <v>72</v>
      </c>
      <c r="E200" s="11" t="str">
        <f t="shared" si="15"/>
        <v>AUTOMOVIL</v>
      </c>
      <c r="F200" s="6" t="s">
        <v>14</v>
      </c>
      <c r="G200" s="11"/>
      <c r="H200" s="6" t="s">
        <v>1051</v>
      </c>
      <c r="I200" s="6" t="str">
        <f t="shared" si="16"/>
        <v>E</v>
      </c>
      <c r="J200" s="17" t="s">
        <v>418</v>
      </c>
      <c r="K200" s="6">
        <v>47</v>
      </c>
      <c r="L200" s="9">
        <v>2</v>
      </c>
      <c r="M200" s="21">
        <v>2</v>
      </c>
      <c r="N200" s="2">
        <v>24590</v>
      </c>
      <c r="O200" s="2" t="s">
        <v>1341</v>
      </c>
      <c r="P200" s="2"/>
      <c r="Q200" s="2"/>
      <c r="R200" s="2"/>
      <c r="S200" s="2">
        <v>8.4</v>
      </c>
      <c r="T200" s="2"/>
      <c r="U200" s="39">
        <f>IF(I200="N",T200*Supuestos!$B$4,T200*Supuestos!$C$4)*100</f>
        <v>0</v>
      </c>
      <c r="V200" s="20">
        <f t="shared" si="19"/>
        <v>0</v>
      </c>
      <c r="W200" s="2">
        <f t="shared" si="17"/>
        <v>0</v>
      </c>
      <c r="X200" s="2">
        <f t="shared" si="18"/>
        <v>0</v>
      </c>
    </row>
    <row r="201" spans="1:24" x14ac:dyDescent="0.25">
      <c r="A201" s="6" t="s">
        <v>43</v>
      </c>
      <c r="B201" s="6" t="s">
        <v>257</v>
      </c>
      <c r="C201" s="6" t="s">
        <v>400</v>
      </c>
      <c r="D201" s="6" t="s">
        <v>72</v>
      </c>
      <c r="E201" s="11" t="str">
        <f t="shared" si="15"/>
        <v>AUTOMOVIL</v>
      </c>
      <c r="F201" s="6" t="s">
        <v>416</v>
      </c>
      <c r="G201" s="11">
        <v>2000</v>
      </c>
      <c r="H201" s="6" t="s">
        <v>1050</v>
      </c>
      <c r="I201" s="6" t="str">
        <f t="shared" si="16"/>
        <v>N</v>
      </c>
      <c r="J201" s="17" t="s">
        <v>9</v>
      </c>
      <c r="K201" s="6">
        <v>231</v>
      </c>
      <c r="L201" s="9">
        <v>2</v>
      </c>
      <c r="M201" s="21"/>
      <c r="N201" s="2"/>
      <c r="O201" s="2"/>
      <c r="P201" s="2"/>
      <c r="Q201" s="2"/>
      <c r="R201" s="2"/>
      <c r="S201" s="2"/>
      <c r="T201" s="2"/>
      <c r="U201" s="39">
        <f>IF(I201="N",T201*Supuestos!$B$4,T201*Supuestos!$C$4)*100</f>
        <v>0</v>
      </c>
      <c r="V201" s="20">
        <f t="shared" si="19"/>
        <v>0</v>
      </c>
      <c r="W201" s="2">
        <f t="shared" si="17"/>
        <v>0</v>
      </c>
      <c r="X201" s="2">
        <f t="shared" si="18"/>
        <v>0</v>
      </c>
    </row>
    <row r="202" spans="1:24" x14ac:dyDescent="0.25">
      <c r="A202" s="6" t="s">
        <v>34</v>
      </c>
      <c r="B202" s="6" t="s">
        <v>716</v>
      </c>
      <c r="C202" s="6" t="s">
        <v>404</v>
      </c>
      <c r="D202" s="6" t="s">
        <v>72</v>
      </c>
      <c r="E202" s="11" t="str">
        <f t="shared" si="15"/>
        <v>AUTOMOVIL</v>
      </c>
      <c r="F202" s="6"/>
      <c r="G202" s="11"/>
      <c r="H202" s="6" t="s">
        <v>1051</v>
      </c>
      <c r="I202" s="6" t="str">
        <f t="shared" si="16"/>
        <v>E</v>
      </c>
      <c r="J202" s="17" t="s">
        <v>418</v>
      </c>
      <c r="K202" s="6">
        <v>215</v>
      </c>
      <c r="L202" s="9">
        <v>2</v>
      </c>
      <c r="M202" s="21">
        <v>2</v>
      </c>
      <c r="N202" s="2">
        <v>75990</v>
      </c>
      <c r="O202" s="2" t="s">
        <v>1060</v>
      </c>
      <c r="P202" s="2" t="s">
        <v>1365</v>
      </c>
      <c r="Q202" s="2"/>
      <c r="R202" s="2">
        <v>2660</v>
      </c>
      <c r="S202" s="2">
        <v>5</v>
      </c>
      <c r="T202" s="2"/>
      <c r="U202" s="39">
        <f>IF(I202="N",T202*Supuestos!$B$4,T202*Supuestos!$C$4)*100</f>
        <v>0</v>
      </c>
      <c r="V202" s="20">
        <f t="shared" si="19"/>
        <v>0</v>
      </c>
      <c r="W202" s="2">
        <f t="shared" si="17"/>
        <v>0</v>
      </c>
      <c r="X202" s="2">
        <f t="shared" si="18"/>
        <v>0</v>
      </c>
    </row>
    <row r="203" spans="1:24" x14ac:dyDescent="0.25">
      <c r="A203" s="6" t="s">
        <v>34</v>
      </c>
      <c r="B203" s="6" t="s">
        <v>219</v>
      </c>
      <c r="C203" s="6" t="s">
        <v>404</v>
      </c>
      <c r="D203" s="6" t="s">
        <v>72</v>
      </c>
      <c r="E203" s="11" t="str">
        <f t="shared" si="15"/>
        <v>AUTOMOVIL</v>
      </c>
      <c r="F203" s="6" t="s">
        <v>20</v>
      </c>
      <c r="G203" s="11">
        <v>1600</v>
      </c>
      <c r="H203" s="6" t="s">
        <v>1050</v>
      </c>
      <c r="I203" s="6" t="str">
        <f t="shared" si="16"/>
        <v>N</v>
      </c>
      <c r="J203" s="17" t="s">
        <v>421</v>
      </c>
      <c r="K203" s="6">
        <v>141</v>
      </c>
      <c r="L203" s="9">
        <v>2</v>
      </c>
      <c r="M203" s="21"/>
      <c r="N203" s="2"/>
      <c r="O203" s="2"/>
      <c r="P203" s="2"/>
      <c r="Q203" s="2"/>
      <c r="R203" s="2"/>
      <c r="S203" s="2"/>
      <c r="T203" s="2"/>
      <c r="U203" s="39">
        <f>IF(I203="N",T203*Supuestos!$B$4,T203*Supuestos!$C$4)*100</f>
        <v>0</v>
      </c>
      <c r="V203" s="20">
        <f t="shared" si="19"/>
        <v>0</v>
      </c>
      <c r="W203" s="2">
        <f t="shared" si="17"/>
        <v>0</v>
      </c>
      <c r="X203" s="2">
        <f t="shared" si="18"/>
        <v>0</v>
      </c>
    </row>
    <row r="204" spans="1:24" x14ac:dyDescent="0.25">
      <c r="A204" s="6" t="s">
        <v>46</v>
      </c>
      <c r="B204" s="6" t="s">
        <v>262</v>
      </c>
      <c r="C204" s="6" t="s">
        <v>404</v>
      </c>
      <c r="D204" s="6" t="s">
        <v>72</v>
      </c>
      <c r="E204" s="11" t="str">
        <f t="shared" si="15"/>
        <v>AUTOMOVIL</v>
      </c>
      <c r="F204" s="6" t="s">
        <v>68</v>
      </c>
      <c r="G204" s="11"/>
      <c r="H204" s="6" t="s">
        <v>1051</v>
      </c>
      <c r="I204" s="6" t="str">
        <f t="shared" si="16"/>
        <v>E</v>
      </c>
      <c r="J204" s="17" t="s">
        <v>418</v>
      </c>
      <c r="K204" s="6">
        <v>147</v>
      </c>
      <c r="L204" s="9">
        <v>2</v>
      </c>
      <c r="M204" s="21">
        <v>2</v>
      </c>
      <c r="N204" s="2">
        <v>47990</v>
      </c>
      <c r="O204" s="2" t="s">
        <v>1060</v>
      </c>
      <c r="P204" s="2" t="s">
        <v>1366</v>
      </c>
      <c r="Q204" s="2"/>
      <c r="R204" s="2">
        <v>1988</v>
      </c>
      <c r="S204" s="2">
        <v>5.3</v>
      </c>
      <c r="T204" s="2"/>
      <c r="U204" s="39">
        <f>IF(I204="N",T204*Supuestos!$B$4,T204*Supuestos!$C$4)*100</f>
        <v>0</v>
      </c>
      <c r="V204" s="20">
        <f t="shared" si="19"/>
        <v>0</v>
      </c>
      <c r="W204" s="2">
        <f t="shared" si="17"/>
        <v>0</v>
      </c>
      <c r="X204" s="2">
        <f t="shared" si="18"/>
        <v>0</v>
      </c>
    </row>
    <row r="205" spans="1:24" x14ac:dyDescent="0.25">
      <c r="A205" s="6" t="s">
        <v>46</v>
      </c>
      <c r="B205" s="6" t="s">
        <v>288</v>
      </c>
      <c r="C205" s="6" t="s">
        <v>404</v>
      </c>
      <c r="D205" s="6" t="s">
        <v>72</v>
      </c>
      <c r="E205" s="11" t="str">
        <f t="shared" si="15"/>
        <v>AUTOMOVIL</v>
      </c>
      <c r="F205" s="6" t="s">
        <v>24</v>
      </c>
      <c r="G205" s="11">
        <v>1600</v>
      </c>
      <c r="H205" s="6" t="s">
        <v>1050</v>
      </c>
      <c r="I205" s="6" t="str">
        <f t="shared" si="16"/>
        <v>N</v>
      </c>
      <c r="J205" s="17" t="s">
        <v>9</v>
      </c>
      <c r="K205" s="6">
        <v>106</v>
      </c>
      <c r="L205" s="9">
        <v>2</v>
      </c>
      <c r="M205" s="21">
        <v>2</v>
      </c>
      <c r="N205" s="2">
        <v>19990</v>
      </c>
      <c r="O205" s="2" t="s">
        <v>1053</v>
      </c>
      <c r="P205" s="2" t="s">
        <v>1079</v>
      </c>
      <c r="Q205" s="2" t="s">
        <v>429</v>
      </c>
      <c r="R205" s="2">
        <v>1532</v>
      </c>
      <c r="S205" s="2"/>
      <c r="T205" s="2">
        <v>137</v>
      </c>
      <c r="U205" s="39">
        <f>IF(I205="N",T205*Supuestos!$B$4,T205*Supuestos!$C$4)*100</f>
        <v>5.8625486527349686</v>
      </c>
      <c r="V205" s="20">
        <f t="shared" si="19"/>
        <v>17.057427737226277</v>
      </c>
      <c r="W205" s="2">
        <f t="shared" si="17"/>
        <v>274</v>
      </c>
      <c r="X205" s="2">
        <f t="shared" si="18"/>
        <v>11.725097305469937</v>
      </c>
    </row>
    <row r="206" spans="1:24" x14ac:dyDescent="0.25">
      <c r="A206" s="6" t="s">
        <v>92</v>
      </c>
      <c r="B206" s="6" t="s">
        <v>981</v>
      </c>
      <c r="C206" s="6" t="s">
        <v>400</v>
      </c>
      <c r="D206" s="6" t="s">
        <v>72</v>
      </c>
      <c r="E206" s="11" t="str">
        <f t="shared" si="15"/>
        <v>AUTOMOVIL</v>
      </c>
      <c r="F206" s="6" t="s">
        <v>16</v>
      </c>
      <c r="G206" s="11"/>
      <c r="H206" s="6" t="s">
        <v>1051</v>
      </c>
      <c r="I206" s="6" t="str">
        <f t="shared" si="16"/>
        <v>E</v>
      </c>
      <c r="J206" s="17" t="s">
        <v>418</v>
      </c>
      <c r="K206" s="6">
        <v>0</v>
      </c>
      <c r="L206" s="9">
        <v>2</v>
      </c>
      <c r="M206" s="21">
        <v>2</v>
      </c>
      <c r="N206" s="2">
        <v>203600</v>
      </c>
      <c r="O206" s="2" t="s">
        <v>1341</v>
      </c>
      <c r="P206" s="2"/>
      <c r="Q206" s="2"/>
      <c r="R206" s="2"/>
      <c r="S206" s="2">
        <v>8.5</v>
      </c>
      <c r="T206" s="2"/>
      <c r="U206" s="39">
        <f>IF(I206="N",T206*Supuestos!$B$4,T206*Supuestos!$C$4)*100</f>
        <v>0</v>
      </c>
      <c r="V206" s="20">
        <f t="shared" si="19"/>
        <v>0</v>
      </c>
      <c r="W206" s="2">
        <f t="shared" si="17"/>
        <v>0</v>
      </c>
      <c r="X206" s="2">
        <f t="shared" si="18"/>
        <v>0</v>
      </c>
    </row>
    <row r="207" spans="1:24" x14ac:dyDescent="0.25">
      <c r="A207" s="6" t="s">
        <v>53</v>
      </c>
      <c r="B207" s="6" t="s">
        <v>379</v>
      </c>
      <c r="C207" s="6" t="s">
        <v>407</v>
      </c>
      <c r="D207" s="6" t="s">
        <v>72</v>
      </c>
      <c r="E207" s="11" t="str">
        <f t="shared" si="15"/>
        <v>AUTOMOVIL</v>
      </c>
      <c r="F207" s="6" t="s">
        <v>21</v>
      </c>
      <c r="G207" s="11">
        <v>1600</v>
      </c>
      <c r="H207" s="6" t="s">
        <v>1050</v>
      </c>
      <c r="I207" s="6" t="str">
        <f t="shared" si="16"/>
        <v>N</v>
      </c>
      <c r="J207" s="17" t="s">
        <v>9</v>
      </c>
      <c r="K207" s="6">
        <v>101</v>
      </c>
      <c r="L207" s="9">
        <v>2</v>
      </c>
      <c r="M207" s="21">
        <v>2</v>
      </c>
      <c r="N207" s="2">
        <v>18990</v>
      </c>
      <c r="O207" s="2" t="s">
        <v>1060</v>
      </c>
      <c r="P207" s="2" t="s">
        <v>75</v>
      </c>
      <c r="Q207" s="2" t="s">
        <v>429</v>
      </c>
      <c r="R207" s="2">
        <v>1450</v>
      </c>
      <c r="S207" s="2"/>
      <c r="T207" s="2">
        <v>164</v>
      </c>
      <c r="U207" s="39">
        <f>IF(I207="N",T207*Supuestos!$B$4,T207*Supuestos!$C$4)*100</f>
        <v>7.0179414529090138</v>
      </c>
      <c r="V207" s="20">
        <f t="shared" si="19"/>
        <v>14.249192682926829</v>
      </c>
      <c r="W207" s="2">
        <f t="shared" si="17"/>
        <v>328</v>
      </c>
      <c r="X207" s="2">
        <f t="shared" si="18"/>
        <v>14.035882905818028</v>
      </c>
    </row>
    <row r="208" spans="1:24" x14ac:dyDescent="0.25">
      <c r="A208" s="6" t="s">
        <v>62</v>
      </c>
      <c r="B208" s="6" t="s">
        <v>905</v>
      </c>
      <c r="C208" s="6" t="s">
        <v>404</v>
      </c>
      <c r="D208" s="6" t="s">
        <v>72</v>
      </c>
      <c r="E208" s="11" t="str">
        <f t="shared" si="15"/>
        <v>AUTOMOVIL</v>
      </c>
      <c r="F208" s="6"/>
      <c r="G208" s="11">
        <v>2000</v>
      </c>
      <c r="H208" s="6" t="s">
        <v>1050</v>
      </c>
      <c r="I208" s="6" t="str">
        <f t="shared" si="16"/>
        <v>N</v>
      </c>
      <c r="J208" s="17" t="s">
        <v>22</v>
      </c>
      <c r="K208" s="6">
        <v>0</v>
      </c>
      <c r="L208" s="9">
        <v>2</v>
      </c>
      <c r="M208" s="21"/>
      <c r="N208" s="2"/>
      <c r="O208" s="2"/>
      <c r="P208" s="2"/>
      <c r="Q208" s="2"/>
      <c r="R208" s="2"/>
      <c r="S208" s="2"/>
      <c r="T208" s="2"/>
      <c r="U208" s="39">
        <f>IF(I208="N",T208*Supuestos!$B$4,T208*Supuestos!$C$4)*100</f>
        <v>0</v>
      </c>
      <c r="V208" s="20">
        <f t="shared" si="19"/>
        <v>0</v>
      </c>
      <c r="W208" s="2">
        <f t="shared" si="17"/>
        <v>0</v>
      </c>
      <c r="X208" s="2">
        <f t="shared" si="18"/>
        <v>0</v>
      </c>
    </row>
    <row r="209" spans="1:24" x14ac:dyDescent="0.25">
      <c r="A209" s="6" t="s">
        <v>7</v>
      </c>
      <c r="B209" s="6" t="s">
        <v>95</v>
      </c>
      <c r="C209" s="6" t="s">
        <v>400</v>
      </c>
      <c r="D209" s="6" t="s">
        <v>72</v>
      </c>
      <c r="E209" s="11" t="str">
        <f t="shared" si="15"/>
        <v>AUTOMOVIL</v>
      </c>
      <c r="F209" s="6" t="s">
        <v>8</v>
      </c>
      <c r="G209" s="11">
        <v>2000</v>
      </c>
      <c r="H209" s="6" t="s">
        <v>1050</v>
      </c>
      <c r="I209" s="6" t="str">
        <f t="shared" si="16"/>
        <v>N</v>
      </c>
      <c r="J209" s="17" t="s">
        <v>9</v>
      </c>
      <c r="K209" s="6">
        <v>200</v>
      </c>
      <c r="L209" s="9">
        <v>1</v>
      </c>
      <c r="M209" s="21"/>
      <c r="N209" s="2"/>
      <c r="O209" s="2"/>
      <c r="P209" s="2"/>
      <c r="Q209" s="2"/>
      <c r="R209" s="2"/>
      <c r="S209" s="2"/>
      <c r="T209" s="2"/>
      <c r="U209" s="39">
        <f>IF(I209="N",T209*Supuestos!$B$4,T209*Supuestos!$C$4)*100</f>
        <v>0</v>
      </c>
      <c r="V209" s="20">
        <f t="shared" si="19"/>
        <v>0</v>
      </c>
      <c r="W209" s="2">
        <f t="shared" si="17"/>
        <v>0</v>
      </c>
      <c r="X209" s="2">
        <f t="shared" si="18"/>
        <v>0</v>
      </c>
    </row>
    <row r="210" spans="1:24" x14ac:dyDescent="0.25">
      <c r="A210" s="6" t="s">
        <v>10</v>
      </c>
      <c r="B210" s="6" t="s">
        <v>489</v>
      </c>
      <c r="C210" s="6" t="s">
        <v>400</v>
      </c>
      <c r="D210" s="6" t="s">
        <v>72</v>
      </c>
      <c r="E210" s="11" t="str">
        <f t="shared" si="15"/>
        <v>AUTOMOVIL</v>
      </c>
      <c r="F210" s="6" t="s">
        <v>11</v>
      </c>
      <c r="G210" s="11">
        <v>1395</v>
      </c>
      <c r="H210" s="6" t="s">
        <v>1050</v>
      </c>
      <c r="I210" s="6" t="str">
        <f t="shared" si="16"/>
        <v>N</v>
      </c>
      <c r="J210" s="17" t="s">
        <v>9</v>
      </c>
      <c r="K210" s="6">
        <v>150</v>
      </c>
      <c r="L210" s="9">
        <v>1</v>
      </c>
      <c r="M210" s="6">
        <v>1</v>
      </c>
      <c r="N210" s="2"/>
      <c r="O210" s="2" t="s">
        <v>1053</v>
      </c>
      <c r="P210" s="2"/>
      <c r="Q210" s="2" t="s">
        <v>422</v>
      </c>
      <c r="R210" s="2">
        <v>2500</v>
      </c>
      <c r="S210" s="2"/>
      <c r="T210" s="2">
        <v>138</v>
      </c>
      <c r="U210" s="39">
        <f>IF(I210="N",T210*Supuestos!$B$4,T210*Supuestos!$C$4)*100</f>
        <v>5.9053409786673408</v>
      </c>
      <c r="V210" s="20">
        <f t="shared" si="19"/>
        <v>16.933823188405796</v>
      </c>
      <c r="W210" s="2">
        <f t="shared" si="17"/>
        <v>138</v>
      </c>
      <c r="X210" s="2">
        <f t="shared" si="18"/>
        <v>5.9053409786673408</v>
      </c>
    </row>
    <row r="211" spans="1:24" x14ac:dyDescent="0.25">
      <c r="A211" s="6" t="s">
        <v>10</v>
      </c>
      <c r="B211" s="6" t="s">
        <v>491</v>
      </c>
      <c r="C211" s="6" t="s">
        <v>400</v>
      </c>
      <c r="D211" s="6" t="s">
        <v>72</v>
      </c>
      <c r="E211" s="11" t="str">
        <f t="shared" si="15"/>
        <v>AUTOMOVIL</v>
      </c>
      <c r="F211" s="6" t="s">
        <v>11</v>
      </c>
      <c r="G211" s="11">
        <v>1395</v>
      </c>
      <c r="H211" s="6" t="s">
        <v>1050</v>
      </c>
      <c r="I211" s="6" t="str">
        <f t="shared" si="16"/>
        <v>N</v>
      </c>
      <c r="J211" s="17" t="s">
        <v>9</v>
      </c>
      <c r="K211" s="6">
        <v>150</v>
      </c>
      <c r="L211" s="9">
        <v>1</v>
      </c>
      <c r="M211" s="6">
        <v>1</v>
      </c>
      <c r="N211" s="2"/>
      <c r="O211" s="2" t="s">
        <v>1053</v>
      </c>
      <c r="P211" s="2"/>
      <c r="Q211" s="2" t="s">
        <v>422</v>
      </c>
      <c r="R211" s="2">
        <v>2500</v>
      </c>
      <c r="S211" s="2"/>
      <c r="T211" s="2">
        <v>138</v>
      </c>
      <c r="U211" s="39">
        <f>IF(I211="N",T211*Supuestos!$B$4,T211*Supuestos!$C$4)*100</f>
        <v>5.9053409786673408</v>
      </c>
      <c r="V211" s="20">
        <f t="shared" si="19"/>
        <v>16.933823188405796</v>
      </c>
      <c r="W211" s="2">
        <f t="shared" si="17"/>
        <v>138</v>
      </c>
      <c r="X211" s="2">
        <f t="shared" si="18"/>
        <v>5.9053409786673408</v>
      </c>
    </row>
    <row r="212" spans="1:24" x14ac:dyDescent="0.25">
      <c r="A212" s="6" t="s">
        <v>10</v>
      </c>
      <c r="B212" s="6" t="s">
        <v>494</v>
      </c>
      <c r="C212" s="6" t="s">
        <v>400</v>
      </c>
      <c r="D212" s="6" t="s">
        <v>72</v>
      </c>
      <c r="E212" s="11" t="str">
        <f t="shared" si="15"/>
        <v>AUTOMOVIL</v>
      </c>
      <c r="F212" s="6" t="s">
        <v>11</v>
      </c>
      <c r="G212" s="11">
        <v>2000</v>
      </c>
      <c r="H212" s="6" t="s">
        <v>1050</v>
      </c>
      <c r="I212" s="6" t="str">
        <f t="shared" si="16"/>
        <v>N</v>
      </c>
      <c r="J212" s="17" t="s">
        <v>419</v>
      </c>
      <c r="K212" s="6">
        <v>190</v>
      </c>
      <c r="L212" s="9">
        <v>1</v>
      </c>
      <c r="M212" s="21"/>
      <c r="N212" s="2"/>
      <c r="O212" s="2"/>
      <c r="P212" s="2"/>
      <c r="Q212" s="2"/>
      <c r="R212" s="2"/>
      <c r="S212" s="2"/>
      <c r="T212" s="2"/>
      <c r="U212" s="39">
        <f>IF(I212="N",T212*Supuestos!$B$4,T212*Supuestos!$C$4)*100</f>
        <v>0</v>
      </c>
      <c r="V212" s="20">
        <f t="shared" si="19"/>
        <v>0</v>
      </c>
      <c r="W212" s="2">
        <f t="shared" si="17"/>
        <v>0</v>
      </c>
      <c r="X212" s="2">
        <f t="shared" si="18"/>
        <v>0</v>
      </c>
    </row>
    <row r="213" spans="1:24" x14ac:dyDescent="0.25">
      <c r="A213" s="6" t="s">
        <v>10</v>
      </c>
      <c r="B213" s="6" t="s">
        <v>501</v>
      </c>
      <c r="C213" s="6" t="s">
        <v>400</v>
      </c>
      <c r="D213" s="6" t="s">
        <v>72</v>
      </c>
      <c r="E213" s="11" t="str">
        <f t="shared" si="15"/>
        <v>AUTOMOVIL</v>
      </c>
      <c r="F213" s="6" t="s">
        <v>51</v>
      </c>
      <c r="G213" s="11">
        <v>2500</v>
      </c>
      <c r="H213" s="6" t="s">
        <v>1050</v>
      </c>
      <c r="I213" s="6" t="str">
        <f t="shared" si="16"/>
        <v>N</v>
      </c>
      <c r="J213" s="17" t="s">
        <v>9</v>
      </c>
      <c r="K213" s="6">
        <v>400</v>
      </c>
      <c r="L213" s="9">
        <v>1</v>
      </c>
      <c r="M213" s="21"/>
      <c r="N213" s="2"/>
      <c r="O213" s="2"/>
      <c r="P213" s="2"/>
      <c r="Q213" s="2"/>
      <c r="R213" s="2"/>
      <c r="S213" s="2"/>
      <c r="T213" s="2"/>
      <c r="U213" s="39">
        <f>IF(I213="N",T213*Supuestos!$B$4,T213*Supuestos!$C$4)*100</f>
        <v>0</v>
      </c>
      <c r="V213" s="20">
        <f t="shared" si="19"/>
        <v>0</v>
      </c>
      <c r="W213" s="2">
        <f t="shared" si="17"/>
        <v>0</v>
      </c>
      <c r="X213" s="2">
        <f t="shared" si="18"/>
        <v>0</v>
      </c>
    </row>
    <row r="214" spans="1:24" x14ac:dyDescent="0.25">
      <c r="A214" s="6" t="s">
        <v>10</v>
      </c>
      <c r="B214" s="6" t="s">
        <v>502</v>
      </c>
      <c r="C214" s="6" t="s">
        <v>400</v>
      </c>
      <c r="D214" s="6" t="s">
        <v>72</v>
      </c>
      <c r="E214" s="11" t="str">
        <f t="shared" si="15"/>
        <v>AUTOMOVIL</v>
      </c>
      <c r="F214" s="6" t="s">
        <v>51</v>
      </c>
      <c r="G214" s="11">
        <v>2000</v>
      </c>
      <c r="H214" s="6" t="s">
        <v>1050</v>
      </c>
      <c r="I214" s="6" t="str">
        <f t="shared" si="16"/>
        <v>N</v>
      </c>
      <c r="J214" s="17" t="s">
        <v>9</v>
      </c>
      <c r="K214" s="6">
        <v>290</v>
      </c>
      <c r="L214" s="9">
        <v>1</v>
      </c>
      <c r="M214" s="21"/>
      <c r="N214" s="2"/>
      <c r="O214" s="2"/>
      <c r="P214" s="2"/>
      <c r="Q214" s="2"/>
      <c r="R214" s="2"/>
      <c r="S214" s="2"/>
      <c r="T214" s="2"/>
      <c r="U214" s="39">
        <f>IF(I214="N",T214*Supuestos!$B$4,T214*Supuestos!$C$4)*100</f>
        <v>0</v>
      </c>
      <c r="V214" s="20">
        <f t="shared" si="19"/>
        <v>0</v>
      </c>
      <c r="W214" s="2">
        <f t="shared" si="17"/>
        <v>0</v>
      </c>
      <c r="X214" s="2">
        <f t="shared" si="18"/>
        <v>0</v>
      </c>
    </row>
    <row r="215" spans="1:24" x14ac:dyDescent="0.25">
      <c r="A215" s="6" t="s">
        <v>48</v>
      </c>
      <c r="B215" s="6" t="s">
        <v>315</v>
      </c>
      <c r="C215" s="6" t="s">
        <v>404</v>
      </c>
      <c r="D215" s="6" t="s">
        <v>72</v>
      </c>
      <c r="E215" s="11" t="str">
        <f t="shared" si="15"/>
        <v>AUTOMOVIL</v>
      </c>
      <c r="F215" s="6" t="s">
        <v>26</v>
      </c>
      <c r="G215" s="11"/>
      <c r="H215" s="6" t="s">
        <v>1051</v>
      </c>
      <c r="I215" s="6" t="str">
        <f t="shared" si="16"/>
        <v>E</v>
      </c>
      <c r="J215" s="17" t="s">
        <v>418</v>
      </c>
      <c r="K215" s="6">
        <v>60</v>
      </c>
      <c r="L215" s="9">
        <v>2</v>
      </c>
      <c r="M215" s="21">
        <v>2</v>
      </c>
      <c r="N215" s="2">
        <v>46490</v>
      </c>
      <c r="O215" s="2" t="s">
        <v>1060</v>
      </c>
      <c r="P215" s="2" t="s">
        <v>1367</v>
      </c>
      <c r="Q215" s="2"/>
      <c r="R215" s="2">
        <v>2300</v>
      </c>
      <c r="S215" s="2">
        <v>3.8</v>
      </c>
      <c r="T215" s="2"/>
      <c r="U215" s="39">
        <f>IF(I215="N",T215*Supuestos!$B$4,T215*Supuestos!$C$4)*100</f>
        <v>0</v>
      </c>
      <c r="V215" s="20">
        <f t="shared" si="19"/>
        <v>0</v>
      </c>
      <c r="W215" s="2">
        <f t="shared" si="17"/>
        <v>0</v>
      </c>
      <c r="X215" s="2">
        <f t="shared" si="18"/>
        <v>0</v>
      </c>
    </row>
    <row r="216" spans="1:24" x14ac:dyDescent="0.25">
      <c r="A216" s="6" t="s">
        <v>15</v>
      </c>
      <c r="B216" s="6" t="s">
        <v>512</v>
      </c>
      <c r="C216" s="6" t="s">
        <v>400</v>
      </c>
      <c r="D216" s="6" t="s">
        <v>72</v>
      </c>
      <c r="E216" s="11" t="str">
        <f t="shared" si="15"/>
        <v>AUTOMOVIL</v>
      </c>
      <c r="F216" s="6"/>
      <c r="G216" s="11">
        <v>1500</v>
      </c>
      <c r="H216" s="6" t="s">
        <v>1050</v>
      </c>
      <c r="I216" s="6" t="str">
        <f t="shared" si="16"/>
        <v>N</v>
      </c>
      <c r="J216" s="17" t="s">
        <v>9</v>
      </c>
      <c r="K216" s="6"/>
      <c r="L216" s="9">
        <v>1</v>
      </c>
      <c r="M216" s="21"/>
      <c r="N216" s="2"/>
      <c r="O216" s="2"/>
      <c r="P216" s="2"/>
      <c r="Q216" s="2"/>
      <c r="R216" s="2"/>
      <c r="S216" s="2"/>
      <c r="T216" s="2"/>
      <c r="U216" s="39">
        <f>IF(I216="N",T216*Supuestos!$B$4,T216*Supuestos!$C$4)*100</f>
        <v>0</v>
      </c>
      <c r="V216" s="20">
        <f t="shared" si="19"/>
        <v>0</v>
      </c>
      <c r="W216" s="2">
        <f t="shared" si="17"/>
        <v>0</v>
      </c>
      <c r="X216" s="2">
        <f t="shared" si="18"/>
        <v>0</v>
      </c>
    </row>
    <row r="217" spans="1:24" x14ac:dyDescent="0.25">
      <c r="A217" s="6" t="s">
        <v>15</v>
      </c>
      <c r="B217" s="6" t="s">
        <v>514</v>
      </c>
      <c r="C217" s="6" t="s">
        <v>400</v>
      </c>
      <c r="D217" s="6" t="s">
        <v>72</v>
      </c>
      <c r="E217" s="11" t="str">
        <f t="shared" si="15"/>
        <v>AUTOMOVIL</v>
      </c>
      <c r="F217" s="6" t="s">
        <v>11</v>
      </c>
      <c r="G217" s="11">
        <v>1500</v>
      </c>
      <c r="H217" s="6" t="s">
        <v>1050</v>
      </c>
      <c r="I217" s="6" t="str">
        <f t="shared" si="16"/>
        <v>N</v>
      </c>
      <c r="J217" s="17" t="s">
        <v>9</v>
      </c>
      <c r="K217" s="6">
        <v>140</v>
      </c>
      <c r="L217" s="9">
        <v>1</v>
      </c>
      <c r="M217" s="21"/>
      <c r="N217" s="2"/>
      <c r="O217" s="2"/>
      <c r="P217" s="2"/>
      <c r="Q217" s="2"/>
      <c r="R217" s="2"/>
      <c r="S217" s="2"/>
      <c r="T217" s="2"/>
      <c r="U217" s="39">
        <f>IF(I217="N",T217*Supuestos!$B$4,T217*Supuestos!$C$4)*100</f>
        <v>0</v>
      </c>
      <c r="V217" s="20">
        <f t="shared" si="19"/>
        <v>0</v>
      </c>
      <c r="W217" s="2">
        <f t="shared" si="17"/>
        <v>0</v>
      </c>
      <c r="X217" s="2">
        <f t="shared" si="18"/>
        <v>0</v>
      </c>
    </row>
    <row r="218" spans="1:24" x14ac:dyDescent="0.25">
      <c r="A218" s="6" t="s">
        <v>15</v>
      </c>
      <c r="B218" s="6" t="s">
        <v>518</v>
      </c>
      <c r="C218" s="6" t="s">
        <v>400</v>
      </c>
      <c r="D218" s="6" t="s">
        <v>72</v>
      </c>
      <c r="E218" s="11" t="str">
        <f t="shared" si="15"/>
        <v>AUTOMOVIL</v>
      </c>
      <c r="F218" s="6" t="s">
        <v>11</v>
      </c>
      <c r="G218" s="11">
        <v>2000</v>
      </c>
      <c r="H218" s="6" t="s">
        <v>1050</v>
      </c>
      <c r="I218" s="6" t="str">
        <f t="shared" si="16"/>
        <v>N</v>
      </c>
      <c r="J218" s="17" t="s">
        <v>420</v>
      </c>
      <c r="K218" s="6">
        <v>292</v>
      </c>
      <c r="L218" s="9">
        <v>1</v>
      </c>
      <c r="M218" s="21"/>
      <c r="N218" s="2"/>
      <c r="O218" s="2"/>
      <c r="P218" s="2"/>
      <c r="Q218" s="2"/>
      <c r="R218" s="2"/>
      <c r="S218" s="2"/>
      <c r="T218" s="2"/>
      <c r="U218" s="39">
        <f>IF(I218="N",T218*Supuestos!$B$4,T218*Supuestos!$C$4)*100</f>
        <v>0</v>
      </c>
      <c r="V218" s="20">
        <f t="shared" si="19"/>
        <v>0</v>
      </c>
      <c r="W218" s="2">
        <f t="shared" si="17"/>
        <v>0</v>
      </c>
      <c r="X218" s="2">
        <f t="shared" si="18"/>
        <v>0</v>
      </c>
    </row>
    <row r="219" spans="1:24" x14ac:dyDescent="0.25">
      <c r="A219" s="6" t="s">
        <v>15</v>
      </c>
      <c r="B219" s="6" t="s">
        <v>525</v>
      </c>
      <c r="C219" s="6" t="s">
        <v>400</v>
      </c>
      <c r="D219" s="6" t="s">
        <v>72</v>
      </c>
      <c r="E219" s="11" t="str">
        <f t="shared" si="15"/>
        <v>AUTOMOVIL</v>
      </c>
      <c r="F219" s="6" t="s">
        <v>11</v>
      </c>
      <c r="G219" s="11">
        <v>2000</v>
      </c>
      <c r="H219" s="6" t="s">
        <v>1050</v>
      </c>
      <c r="I219" s="6" t="str">
        <f t="shared" si="16"/>
        <v>N</v>
      </c>
      <c r="J219" s="17" t="s">
        <v>9</v>
      </c>
      <c r="K219" s="6">
        <v>184</v>
      </c>
      <c r="L219" s="9">
        <v>1</v>
      </c>
      <c r="M219" s="21"/>
      <c r="N219" s="2"/>
      <c r="O219" s="2"/>
      <c r="P219" s="2"/>
      <c r="Q219" s="2"/>
      <c r="R219" s="2"/>
      <c r="S219" s="2"/>
      <c r="T219" s="2"/>
      <c r="U219" s="39">
        <f>IF(I219="N",T219*Supuestos!$B$4,T219*Supuestos!$C$4)*100</f>
        <v>0</v>
      </c>
      <c r="V219" s="20">
        <f t="shared" si="19"/>
        <v>0</v>
      </c>
      <c r="W219" s="2">
        <f t="shared" si="17"/>
        <v>0</v>
      </c>
      <c r="X219" s="2">
        <f t="shared" si="18"/>
        <v>0</v>
      </c>
    </row>
    <row r="220" spans="1:24" x14ac:dyDescent="0.25">
      <c r="A220" s="6" t="s">
        <v>15</v>
      </c>
      <c r="B220" s="6" t="s">
        <v>526</v>
      </c>
      <c r="C220" s="6" t="s">
        <v>400</v>
      </c>
      <c r="D220" s="6" t="s">
        <v>72</v>
      </c>
      <c r="E220" s="11" t="str">
        <f t="shared" si="15"/>
        <v>AUTOMOVIL</v>
      </c>
      <c r="F220" s="6" t="s">
        <v>11</v>
      </c>
      <c r="G220" s="11">
        <v>2000</v>
      </c>
      <c r="H220" s="6" t="s">
        <v>1050</v>
      </c>
      <c r="I220" s="6" t="str">
        <f t="shared" si="16"/>
        <v>N</v>
      </c>
      <c r="J220" s="17" t="s">
        <v>9</v>
      </c>
      <c r="K220" s="6">
        <v>258</v>
      </c>
      <c r="L220" s="9">
        <v>1</v>
      </c>
      <c r="M220" s="21"/>
      <c r="N220" s="2"/>
      <c r="O220" s="2"/>
      <c r="P220" s="2"/>
      <c r="Q220" s="2"/>
      <c r="R220" s="2"/>
      <c r="S220" s="2"/>
      <c r="T220" s="2"/>
      <c r="U220" s="39">
        <f>IF(I220="N",T220*Supuestos!$B$4,T220*Supuestos!$C$4)*100</f>
        <v>0</v>
      </c>
      <c r="V220" s="20">
        <f t="shared" si="19"/>
        <v>0</v>
      </c>
      <c r="W220" s="2">
        <f t="shared" si="17"/>
        <v>0</v>
      </c>
      <c r="X220" s="2">
        <f t="shared" si="18"/>
        <v>0</v>
      </c>
    </row>
    <row r="221" spans="1:24" x14ac:dyDescent="0.25">
      <c r="A221" s="6" t="s">
        <v>15</v>
      </c>
      <c r="B221" s="6" t="s">
        <v>529</v>
      </c>
      <c r="C221" s="6" t="s">
        <v>400</v>
      </c>
      <c r="D221" s="6" t="s">
        <v>72</v>
      </c>
      <c r="E221" s="11" t="str">
        <f t="shared" si="15"/>
        <v>AUTOMOVIL</v>
      </c>
      <c r="F221" s="6" t="s">
        <v>11</v>
      </c>
      <c r="G221" s="11">
        <v>2000</v>
      </c>
      <c r="H221" s="6" t="s">
        <v>1050</v>
      </c>
      <c r="I221" s="6" t="str">
        <f t="shared" si="16"/>
        <v>N</v>
      </c>
      <c r="J221" s="17" t="s">
        <v>9</v>
      </c>
      <c r="K221" s="6">
        <v>0</v>
      </c>
      <c r="L221" s="9">
        <v>1</v>
      </c>
      <c r="M221" s="21"/>
      <c r="N221" s="2"/>
      <c r="O221" s="2"/>
      <c r="P221" s="2"/>
      <c r="Q221" s="2"/>
      <c r="R221" s="2"/>
      <c r="S221" s="2"/>
      <c r="T221" s="2"/>
      <c r="U221" s="39">
        <f>IF(I221="N",T221*Supuestos!$B$4,T221*Supuestos!$C$4)*100</f>
        <v>0</v>
      </c>
      <c r="V221" s="20">
        <f t="shared" si="19"/>
        <v>0</v>
      </c>
      <c r="W221" s="2">
        <f t="shared" si="17"/>
        <v>0</v>
      </c>
      <c r="X221" s="2">
        <f t="shared" si="18"/>
        <v>0</v>
      </c>
    </row>
    <row r="222" spans="1:24" x14ac:dyDescent="0.25">
      <c r="A222" s="6" t="s">
        <v>15</v>
      </c>
      <c r="B222" s="6" t="s">
        <v>530</v>
      </c>
      <c r="C222" s="6" t="s">
        <v>400</v>
      </c>
      <c r="D222" s="6" t="s">
        <v>72</v>
      </c>
      <c r="E222" s="11" t="str">
        <f t="shared" si="15"/>
        <v>AUTOMOVIL</v>
      </c>
      <c r="F222" s="6" t="s">
        <v>11</v>
      </c>
      <c r="G222" s="11">
        <v>2000</v>
      </c>
      <c r="H222" s="6" t="s">
        <v>1050</v>
      </c>
      <c r="I222" s="6" t="str">
        <f t="shared" si="16"/>
        <v>N</v>
      </c>
      <c r="J222" s="17" t="s">
        <v>9</v>
      </c>
      <c r="K222" s="6">
        <v>252</v>
      </c>
      <c r="L222" s="9">
        <v>1</v>
      </c>
      <c r="M222" s="21"/>
      <c r="N222" s="2"/>
      <c r="O222" s="2"/>
      <c r="P222" s="2"/>
      <c r="Q222" s="2"/>
      <c r="R222" s="2"/>
      <c r="S222" s="2"/>
      <c r="T222" s="2"/>
      <c r="U222" s="39">
        <f>IF(I222="N",T222*Supuestos!$B$4,T222*Supuestos!$C$4)*100</f>
        <v>0</v>
      </c>
      <c r="V222" s="20">
        <f t="shared" si="19"/>
        <v>0</v>
      </c>
      <c r="W222" s="2">
        <f t="shared" si="17"/>
        <v>0</v>
      </c>
      <c r="X222" s="2">
        <f t="shared" si="18"/>
        <v>0</v>
      </c>
    </row>
    <row r="223" spans="1:24" x14ac:dyDescent="0.25">
      <c r="A223" s="6" t="s">
        <v>15</v>
      </c>
      <c r="B223" s="6" t="s">
        <v>532</v>
      </c>
      <c r="C223" s="6" t="s">
        <v>400</v>
      </c>
      <c r="D223" s="6" t="s">
        <v>72</v>
      </c>
      <c r="E223" s="11" t="str">
        <f t="shared" si="15"/>
        <v>AUTOMOVIL</v>
      </c>
      <c r="F223" s="6" t="s">
        <v>11</v>
      </c>
      <c r="G223" s="11"/>
      <c r="H223" s="6" t="s">
        <v>1051</v>
      </c>
      <c r="I223" s="6" t="str">
        <f t="shared" si="16"/>
        <v>E</v>
      </c>
      <c r="J223" s="17" t="s">
        <v>418</v>
      </c>
      <c r="K223" s="6">
        <v>0</v>
      </c>
      <c r="L223" s="9">
        <v>1</v>
      </c>
      <c r="M223" s="21"/>
      <c r="N223" s="2"/>
      <c r="O223" s="2"/>
      <c r="P223" s="2"/>
      <c r="Q223" s="2"/>
      <c r="R223" s="2"/>
      <c r="S223" s="2"/>
      <c r="T223" s="2"/>
      <c r="U223" s="39">
        <f>IF(I223="N",T223*Supuestos!$B$4,T223*Supuestos!$C$4)*100</f>
        <v>0</v>
      </c>
      <c r="V223" s="20">
        <f t="shared" si="19"/>
        <v>0</v>
      </c>
      <c r="W223" s="2">
        <f t="shared" si="17"/>
        <v>0</v>
      </c>
      <c r="X223" s="2">
        <f t="shared" si="18"/>
        <v>0</v>
      </c>
    </row>
    <row r="224" spans="1:24" x14ac:dyDescent="0.25">
      <c r="A224" s="6" t="s">
        <v>15</v>
      </c>
      <c r="B224" s="6" t="s">
        <v>117</v>
      </c>
      <c r="C224" s="6" t="s">
        <v>400</v>
      </c>
      <c r="D224" s="6" t="s">
        <v>72</v>
      </c>
      <c r="E224" s="11" t="str">
        <f t="shared" si="15"/>
        <v>AUTOMOVIL</v>
      </c>
      <c r="F224" s="6" t="s">
        <v>11</v>
      </c>
      <c r="G224" s="11">
        <v>3000</v>
      </c>
      <c r="H224" s="6" t="s">
        <v>1050</v>
      </c>
      <c r="I224" s="6" t="str">
        <f t="shared" si="16"/>
        <v>N</v>
      </c>
      <c r="J224" s="17" t="s">
        <v>9</v>
      </c>
      <c r="K224" s="6">
        <v>510</v>
      </c>
      <c r="L224" s="9">
        <v>1</v>
      </c>
      <c r="M224" s="21"/>
      <c r="N224" s="2"/>
      <c r="O224" s="2"/>
      <c r="P224" s="2"/>
      <c r="Q224" s="2"/>
      <c r="R224" s="2"/>
      <c r="S224" s="2"/>
      <c r="T224" s="2"/>
      <c r="U224" s="39">
        <f>IF(I224="N",T224*Supuestos!$B$4,T224*Supuestos!$C$4)*100</f>
        <v>0</v>
      </c>
      <c r="V224" s="20">
        <f t="shared" si="19"/>
        <v>0</v>
      </c>
      <c r="W224" s="2">
        <f t="shared" si="17"/>
        <v>0</v>
      </c>
      <c r="X224" s="2">
        <f t="shared" si="18"/>
        <v>0</v>
      </c>
    </row>
    <row r="225" spans="1:24" x14ac:dyDescent="0.25">
      <c r="A225" s="6" t="s">
        <v>15</v>
      </c>
      <c r="B225" s="6" t="s">
        <v>563</v>
      </c>
      <c r="C225" s="6" t="s">
        <v>400</v>
      </c>
      <c r="D225" s="6" t="s">
        <v>72</v>
      </c>
      <c r="E225" s="11" t="str">
        <f t="shared" si="15"/>
        <v>AUTOMOVIL</v>
      </c>
      <c r="F225" s="6" t="s">
        <v>11</v>
      </c>
      <c r="G225" s="11">
        <v>2000</v>
      </c>
      <c r="H225" s="6" t="s">
        <v>1050</v>
      </c>
      <c r="I225" s="6" t="str">
        <f t="shared" si="16"/>
        <v>N</v>
      </c>
      <c r="J225" s="17" t="s">
        <v>9</v>
      </c>
      <c r="K225" s="6">
        <v>197</v>
      </c>
      <c r="L225" s="9">
        <v>1</v>
      </c>
      <c r="M225" s="21"/>
      <c r="N225" s="2"/>
      <c r="O225" s="2"/>
      <c r="P225" s="2"/>
      <c r="Q225" s="2"/>
      <c r="R225" s="2"/>
      <c r="S225" s="2"/>
      <c r="T225" s="2"/>
      <c r="U225" s="39">
        <f>IF(I225="N",T225*Supuestos!$B$4,T225*Supuestos!$C$4)*100</f>
        <v>0</v>
      </c>
      <c r="V225" s="20">
        <f t="shared" si="19"/>
        <v>0</v>
      </c>
      <c r="W225" s="2">
        <f t="shared" si="17"/>
        <v>0</v>
      </c>
      <c r="X225" s="2">
        <f t="shared" si="18"/>
        <v>0</v>
      </c>
    </row>
    <row r="226" spans="1:24" x14ac:dyDescent="0.25">
      <c r="A226" s="6" t="s">
        <v>53</v>
      </c>
      <c r="B226" s="6" t="s">
        <v>394</v>
      </c>
      <c r="C226" s="6" t="s">
        <v>404</v>
      </c>
      <c r="D226" s="6" t="s">
        <v>72</v>
      </c>
      <c r="E226" s="11" t="str">
        <f t="shared" si="15"/>
        <v>AUTOMOVIL</v>
      </c>
      <c r="F226" s="6" t="s">
        <v>21</v>
      </c>
      <c r="G226" s="11">
        <v>1600</v>
      </c>
      <c r="H226" s="6" t="s">
        <v>1050</v>
      </c>
      <c r="I226" s="6" t="str">
        <f t="shared" si="16"/>
        <v>N</v>
      </c>
      <c r="J226" s="17" t="s">
        <v>9</v>
      </c>
      <c r="K226" s="6">
        <v>110</v>
      </c>
      <c r="L226" s="9">
        <v>2</v>
      </c>
      <c r="M226" s="21">
        <v>2</v>
      </c>
      <c r="N226" s="2">
        <v>30990</v>
      </c>
      <c r="O226" s="2" t="s">
        <v>1060</v>
      </c>
      <c r="P226" s="2" t="s">
        <v>1089</v>
      </c>
      <c r="Q226" s="2" t="s">
        <v>429</v>
      </c>
      <c r="R226" s="2">
        <v>1580</v>
      </c>
      <c r="S226" s="2"/>
      <c r="T226" s="2">
        <v>170</v>
      </c>
      <c r="U226" s="39">
        <f>IF(I226="N",T226*Supuestos!$B$4,T226*Supuestos!$C$4)*100</f>
        <v>7.2746954085032458</v>
      </c>
      <c r="V226" s="20">
        <f t="shared" si="19"/>
        <v>13.74628</v>
      </c>
      <c r="W226" s="2">
        <f t="shared" si="17"/>
        <v>340</v>
      </c>
      <c r="X226" s="2">
        <f t="shared" si="18"/>
        <v>14.549390817006492</v>
      </c>
    </row>
    <row r="227" spans="1:24" x14ac:dyDescent="0.25">
      <c r="A227" s="6" t="s">
        <v>13</v>
      </c>
      <c r="B227" s="6" t="s">
        <v>504</v>
      </c>
      <c r="C227" s="6" t="s">
        <v>404</v>
      </c>
      <c r="D227" s="6" t="s">
        <v>72</v>
      </c>
      <c r="E227" s="11" t="str">
        <f t="shared" si="15"/>
        <v>AUTOMOVIL</v>
      </c>
      <c r="F227" s="6"/>
      <c r="G227" s="11"/>
      <c r="H227" s="6" t="s">
        <v>1051</v>
      </c>
      <c r="I227" s="6" t="str">
        <f t="shared" si="16"/>
        <v>E</v>
      </c>
      <c r="J227" s="17" t="s">
        <v>418</v>
      </c>
      <c r="K227" s="6"/>
      <c r="L227" s="9">
        <v>1</v>
      </c>
      <c r="M227" s="21"/>
      <c r="N227" s="2"/>
      <c r="O227" s="2"/>
      <c r="P227" s="2"/>
      <c r="Q227" s="2"/>
      <c r="R227" s="2"/>
      <c r="S227" s="2"/>
      <c r="T227" s="2"/>
      <c r="U227" s="39">
        <f>IF(I227="N",T227*Supuestos!$B$4,T227*Supuestos!$C$4)*100</f>
        <v>0</v>
      </c>
      <c r="V227" s="20">
        <f t="shared" si="19"/>
        <v>0</v>
      </c>
      <c r="W227" s="2">
        <f t="shared" si="17"/>
        <v>0</v>
      </c>
      <c r="X227" s="2">
        <f t="shared" si="18"/>
        <v>0</v>
      </c>
    </row>
    <row r="228" spans="1:24" x14ac:dyDescent="0.25">
      <c r="A228" s="6" t="s">
        <v>17</v>
      </c>
      <c r="B228" s="6" t="s">
        <v>565</v>
      </c>
      <c r="C228" s="6" t="s">
        <v>404</v>
      </c>
      <c r="D228" s="6" t="s">
        <v>72</v>
      </c>
      <c r="E228" s="11" t="str">
        <f t="shared" si="15"/>
        <v>AUTOMOVIL</v>
      </c>
      <c r="F228" s="6" t="s">
        <v>14</v>
      </c>
      <c r="G228" s="11"/>
      <c r="H228" s="6" t="s">
        <v>1051</v>
      </c>
      <c r="I228" s="6" t="str">
        <f t="shared" si="16"/>
        <v>E</v>
      </c>
      <c r="J228" s="17" t="s">
        <v>418</v>
      </c>
      <c r="K228" s="6">
        <v>215</v>
      </c>
      <c r="L228" s="9">
        <v>1</v>
      </c>
      <c r="M228" s="21"/>
      <c r="N228" s="2"/>
      <c r="O228" s="2"/>
      <c r="P228" s="2"/>
      <c r="Q228" s="2"/>
      <c r="R228" s="2"/>
      <c r="S228" s="2"/>
      <c r="T228" s="2"/>
      <c r="U228" s="39">
        <f>IF(I228="N",T228*Supuestos!$B$4,T228*Supuestos!$C$4)*100</f>
        <v>0</v>
      </c>
      <c r="V228" s="20">
        <f t="shared" si="19"/>
        <v>0</v>
      </c>
      <c r="W228" s="2">
        <f t="shared" si="17"/>
        <v>0</v>
      </c>
      <c r="X228" s="2">
        <f t="shared" si="18"/>
        <v>0</v>
      </c>
    </row>
    <row r="229" spans="1:24" x14ac:dyDescent="0.25">
      <c r="A229" s="6" t="s">
        <v>19</v>
      </c>
      <c r="B229" s="6" t="s">
        <v>619</v>
      </c>
      <c r="C229" s="6" t="s">
        <v>408</v>
      </c>
      <c r="D229" s="6" t="s">
        <v>72</v>
      </c>
      <c r="E229" s="11" t="str">
        <f t="shared" si="15"/>
        <v>AUTOMOVIL</v>
      </c>
      <c r="F229" s="6" t="s">
        <v>21</v>
      </c>
      <c r="G229" s="11">
        <v>1800</v>
      </c>
      <c r="H229" s="6" t="s">
        <v>1050</v>
      </c>
      <c r="I229" s="6" t="str">
        <f t="shared" si="16"/>
        <v>N</v>
      </c>
      <c r="J229" s="17" t="s">
        <v>9</v>
      </c>
      <c r="K229" s="6">
        <v>105</v>
      </c>
      <c r="L229" s="9">
        <v>1</v>
      </c>
      <c r="M229" s="21"/>
      <c r="N229" s="2"/>
      <c r="O229" s="2"/>
      <c r="P229" s="2"/>
      <c r="Q229" s="2"/>
      <c r="R229" s="2"/>
      <c r="S229" s="2"/>
      <c r="T229" s="2"/>
      <c r="U229" s="39">
        <f>IF(I229="N",T229*Supuestos!$B$4,T229*Supuestos!$C$4)*100</f>
        <v>0</v>
      </c>
      <c r="V229" s="20">
        <f t="shared" si="19"/>
        <v>0</v>
      </c>
      <c r="W229" s="2">
        <f t="shared" si="17"/>
        <v>0</v>
      </c>
      <c r="X229" s="2">
        <f t="shared" si="18"/>
        <v>0</v>
      </c>
    </row>
    <row r="230" spans="1:24" x14ac:dyDescent="0.25">
      <c r="A230" s="6" t="s">
        <v>19</v>
      </c>
      <c r="B230" s="6" t="s">
        <v>620</v>
      </c>
      <c r="C230" s="6" t="s">
        <v>408</v>
      </c>
      <c r="D230" s="6" t="s">
        <v>72</v>
      </c>
      <c r="E230" s="11" t="str">
        <f t="shared" si="15"/>
        <v>AUTOMOVIL</v>
      </c>
      <c r="F230" s="6" t="s">
        <v>21</v>
      </c>
      <c r="G230" s="11">
        <v>1800</v>
      </c>
      <c r="H230" s="6" t="s">
        <v>1050</v>
      </c>
      <c r="I230" s="6" t="str">
        <f t="shared" si="16"/>
        <v>N</v>
      </c>
      <c r="J230" s="17" t="s">
        <v>9</v>
      </c>
      <c r="K230" s="6">
        <v>105</v>
      </c>
      <c r="L230" s="9">
        <v>1</v>
      </c>
      <c r="M230" s="21"/>
      <c r="N230" s="2"/>
      <c r="O230" s="2"/>
      <c r="P230" s="2"/>
      <c r="Q230" s="2"/>
      <c r="R230" s="2"/>
      <c r="S230" s="2"/>
      <c r="T230" s="2"/>
      <c r="U230" s="39">
        <f>IF(I230="N",T230*Supuestos!$B$4,T230*Supuestos!$C$4)*100</f>
        <v>0</v>
      </c>
      <c r="V230" s="20">
        <f t="shared" si="19"/>
        <v>0</v>
      </c>
      <c r="W230" s="2">
        <f t="shared" si="17"/>
        <v>0</v>
      </c>
      <c r="X230" s="2">
        <f t="shared" si="18"/>
        <v>0</v>
      </c>
    </row>
    <row r="231" spans="1:24" x14ac:dyDescent="0.25">
      <c r="A231" s="6" t="s">
        <v>17</v>
      </c>
      <c r="B231" s="6" t="s">
        <v>566</v>
      </c>
      <c r="C231" s="6" t="s">
        <v>404</v>
      </c>
      <c r="D231" s="6" t="s">
        <v>72</v>
      </c>
      <c r="E231" s="11" t="str">
        <f t="shared" si="15"/>
        <v>AUTOMOVIL</v>
      </c>
      <c r="F231" s="6"/>
      <c r="G231" s="11"/>
      <c r="H231" s="6" t="s">
        <v>1051</v>
      </c>
      <c r="I231" s="6" t="str">
        <f t="shared" si="16"/>
        <v>E</v>
      </c>
      <c r="J231" s="17" t="s">
        <v>418</v>
      </c>
      <c r="K231" s="6"/>
      <c r="L231" s="9">
        <v>1</v>
      </c>
      <c r="M231" s="21"/>
      <c r="N231" s="2"/>
      <c r="O231" s="2"/>
      <c r="P231" s="2"/>
      <c r="Q231" s="2"/>
      <c r="R231" s="2"/>
      <c r="S231" s="2"/>
      <c r="T231" s="2"/>
      <c r="U231" s="39">
        <f>IF(I231="N",T231*Supuestos!$B$4,T231*Supuestos!$C$4)*100</f>
        <v>0</v>
      </c>
      <c r="V231" s="20">
        <f t="shared" si="19"/>
        <v>0</v>
      </c>
      <c r="W231" s="2">
        <f t="shared" si="17"/>
        <v>0</v>
      </c>
      <c r="X231" s="2">
        <f t="shared" si="18"/>
        <v>0</v>
      </c>
    </row>
    <row r="232" spans="1:24" x14ac:dyDescent="0.25">
      <c r="A232" s="6" t="s">
        <v>34</v>
      </c>
      <c r="B232" s="6" t="s">
        <v>210</v>
      </c>
      <c r="C232" s="6" t="s">
        <v>407</v>
      </c>
      <c r="D232" s="6" t="s">
        <v>72</v>
      </c>
      <c r="E232" s="11" t="str">
        <f t="shared" si="15"/>
        <v>AUTOMOVIL</v>
      </c>
      <c r="F232" s="6" t="s">
        <v>21</v>
      </c>
      <c r="G232" s="11">
        <v>1000</v>
      </c>
      <c r="H232" s="6" t="s">
        <v>1050</v>
      </c>
      <c r="I232" s="6" t="str">
        <f t="shared" si="16"/>
        <v>N</v>
      </c>
      <c r="J232" s="17" t="s">
        <v>9</v>
      </c>
      <c r="K232" s="6">
        <v>80</v>
      </c>
      <c r="L232" s="9">
        <v>1</v>
      </c>
      <c r="M232" s="9">
        <v>1</v>
      </c>
      <c r="N232" s="2">
        <v>17990</v>
      </c>
      <c r="O232" s="2" t="s">
        <v>1053</v>
      </c>
      <c r="P232" s="2" t="s">
        <v>1072</v>
      </c>
      <c r="Q232" s="2" t="s">
        <v>429</v>
      </c>
      <c r="R232" s="2">
        <v>1420</v>
      </c>
      <c r="S232" s="2"/>
      <c r="T232" s="2">
        <v>132</v>
      </c>
      <c r="U232" s="39">
        <f>IF(I232="N",T232*Supuestos!$B$4,T232*Supuestos!$C$4)*100</f>
        <v>5.6485870230731088</v>
      </c>
      <c r="V232" s="20">
        <f t="shared" si="19"/>
        <v>17.703542424242425</v>
      </c>
      <c r="W232" s="2">
        <f t="shared" si="17"/>
        <v>132</v>
      </c>
      <c r="X232" s="2">
        <f t="shared" si="18"/>
        <v>5.6485870230731088</v>
      </c>
    </row>
    <row r="233" spans="1:24" x14ac:dyDescent="0.25">
      <c r="A233" s="6" t="s">
        <v>34</v>
      </c>
      <c r="B233" s="6" t="s">
        <v>214</v>
      </c>
      <c r="C233" s="6" t="s">
        <v>407</v>
      </c>
      <c r="D233" s="6" t="s">
        <v>72</v>
      </c>
      <c r="E233" s="11" t="str">
        <f t="shared" si="15"/>
        <v>AUTOMOVIL</v>
      </c>
      <c r="F233" s="6" t="s">
        <v>21</v>
      </c>
      <c r="G233" s="11">
        <v>1600</v>
      </c>
      <c r="H233" s="6" t="s">
        <v>1050</v>
      </c>
      <c r="I233" s="6" t="str">
        <f t="shared" si="16"/>
        <v>N</v>
      </c>
      <c r="J233" s="17" t="s">
        <v>9</v>
      </c>
      <c r="K233" s="6">
        <v>123</v>
      </c>
      <c r="L233" s="9">
        <v>1</v>
      </c>
      <c r="M233" s="21">
        <v>1</v>
      </c>
      <c r="N233" s="2">
        <v>22690</v>
      </c>
      <c r="O233" s="2" t="s">
        <v>1053</v>
      </c>
      <c r="P233" s="2" t="s">
        <v>1072</v>
      </c>
      <c r="Q233" s="2" t="s">
        <v>429</v>
      </c>
      <c r="R233" s="2">
        <v>1420</v>
      </c>
      <c r="S233" s="2"/>
      <c r="T233" s="2">
        <v>132</v>
      </c>
      <c r="U233" s="39">
        <f>IF(I233="N",T233*Supuestos!$B$4,T233*Supuestos!$C$4)*100</f>
        <v>5.6485870230731088</v>
      </c>
      <c r="V233" s="20">
        <f t="shared" si="19"/>
        <v>17.703542424242425</v>
      </c>
      <c r="W233" s="2">
        <f t="shared" si="17"/>
        <v>132</v>
      </c>
      <c r="X233" s="2">
        <f t="shared" si="18"/>
        <v>5.6485870230731088</v>
      </c>
    </row>
    <row r="234" spans="1:24" x14ac:dyDescent="0.25">
      <c r="A234" s="6" t="s">
        <v>17</v>
      </c>
      <c r="B234" s="6" t="s">
        <v>570</v>
      </c>
      <c r="C234" s="6" t="s">
        <v>404</v>
      </c>
      <c r="D234" s="6" t="s">
        <v>72</v>
      </c>
      <c r="E234" s="11" t="str">
        <f t="shared" si="15"/>
        <v>AUTOMOVIL</v>
      </c>
      <c r="F234" s="6" t="s">
        <v>14</v>
      </c>
      <c r="G234" s="11">
        <v>1500</v>
      </c>
      <c r="H234" s="6" t="s">
        <v>1050</v>
      </c>
      <c r="I234" s="6" t="str">
        <f t="shared" si="16"/>
        <v>N</v>
      </c>
      <c r="J234" s="17" t="s">
        <v>9</v>
      </c>
      <c r="K234" s="6">
        <v>107</v>
      </c>
      <c r="L234" s="9">
        <v>1</v>
      </c>
      <c r="M234" s="21"/>
      <c r="N234" s="2"/>
      <c r="O234" s="2"/>
      <c r="P234" s="2"/>
      <c r="Q234" s="2"/>
      <c r="R234" s="2"/>
      <c r="S234" s="2"/>
      <c r="T234" s="2"/>
      <c r="U234" s="39">
        <f>IF(I234="N",T234*Supuestos!$B$4,T234*Supuestos!$C$4)*100</f>
        <v>0</v>
      </c>
      <c r="V234" s="20">
        <f t="shared" si="19"/>
        <v>0</v>
      </c>
      <c r="W234" s="2">
        <f t="shared" si="17"/>
        <v>0</v>
      </c>
      <c r="X234" s="2">
        <f t="shared" si="18"/>
        <v>0</v>
      </c>
    </row>
    <row r="235" spans="1:24" x14ac:dyDescent="0.25">
      <c r="A235" s="6" t="s">
        <v>60</v>
      </c>
      <c r="B235" s="6" t="s">
        <v>799</v>
      </c>
      <c r="C235" s="6" t="s">
        <v>400</v>
      </c>
      <c r="D235" s="6" t="s">
        <v>72</v>
      </c>
      <c r="E235" s="11" t="str">
        <f t="shared" si="15"/>
        <v>AUTOMOVIL</v>
      </c>
      <c r="F235" s="6" t="s">
        <v>8</v>
      </c>
      <c r="G235" s="11">
        <v>2000</v>
      </c>
      <c r="H235" s="6" t="s">
        <v>1050</v>
      </c>
      <c r="I235" s="6" t="str">
        <f t="shared" si="16"/>
        <v>N</v>
      </c>
      <c r="J235" s="17" t="s">
        <v>419</v>
      </c>
      <c r="K235" s="6">
        <v>330</v>
      </c>
      <c r="L235" s="9">
        <v>1</v>
      </c>
      <c r="M235" s="21"/>
      <c r="N235" s="2"/>
      <c r="O235" s="2"/>
      <c r="P235" s="2"/>
      <c r="Q235" s="2"/>
      <c r="R235" s="2"/>
      <c r="S235" s="2"/>
      <c r="T235" s="2"/>
      <c r="U235" s="39">
        <f>IF(I235="N",T235*Supuestos!$B$4,T235*Supuestos!$C$4)*100</f>
        <v>0</v>
      </c>
      <c r="V235" s="20">
        <f t="shared" si="19"/>
        <v>0</v>
      </c>
      <c r="W235" s="2">
        <f t="shared" si="17"/>
        <v>0</v>
      </c>
      <c r="X235" s="2">
        <f t="shared" si="18"/>
        <v>0</v>
      </c>
    </row>
    <row r="236" spans="1:24" x14ac:dyDescent="0.25">
      <c r="A236" s="6" t="s">
        <v>41</v>
      </c>
      <c r="B236" s="6" t="s">
        <v>813</v>
      </c>
      <c r="C236" s="6" t="s">
        <v>400</v>
      </c>
      <c r="D236" s="6" t="s">
        <v>72</v>
      </c>
      <c r="E236" s="11" t="str">
        <f t="shared" si="15"/>
        <v>AUTOMOVIL</v>
      </c>
      <c r="F236" s="6" t="s">
        <v>45</v>
      </c>
      <c r="G236" s="11">
        <v>2000</v>
      </c>
      <c r="H236" s="6" t="s">
        <v>1050</v>
      </c>
      <c r="I236" s="6" t="str">
        <f t="shared" si="16"/>
        <v>N</v>
      </c>
      <c r="J236" s="17" t="s">
        <v>9</v>
      </c>
      <c r="K236" s="6">
        <v>184</v>
      </c>
      <c r="L236" s="9">
        <v>1</v>
      </c>
      <c r="M236" s="21"/>
      <c r="N236" s="2"/>
      <c r="O236" s="2"/>
      <c r="P236" s="2"/>
      <c r="Q236" s="2"/>
      <c r="R236" s="2"/>
      <c r="S236" s="2"/>
      <c r="T236" s="2"/>
      <c r="U236" s="39">
        <f>IF(I236="N",T236*Supuestos!$B$4,T236*Supuestos!$C$4)*100</f>
        <v>0</v>
      </c>
      <c r="V236" s="20">
        <f t="shared" si="19"/>
        <v>0</v>
      </c>
      <c r="W236" s="2">
        <f t="shared" si="17"/>
        <v>0</v>
      </c>
      <c r="X236" s="2">
        <f t="shared" si="18"/>
        <v>0</v>
      </c>
    </row>
    <row r="237" spans="1:24" x14ac:dyDescent="0.25">
      <c r="A237" s="6" t="s">
        <v>42</v>
      </c>
      <c r="B237" s="6" t="s">
        <v>819</v>
      </c>
      <c r="C237" s="6" t="s">
        <v>400</v>
      </c>
      <c r="D237" s="6" t="s">
        <v>72</v>
      </c>
      <c r="E237" s="11" t="str">
        <f t="shared" si="15"/>
        <v>AUTOMOVIL</v>
      </c>
      <c r="F237" s="6" t="s">
        <v>11</v>
      </c>
      <c r="G237" s="11">
        <v>1300</v>
      </c>
      <c r="H237" s="6" t="s">
        <v>1050</v>
      </c>
      <c r="I237" s="6" t="str">
        <f t="shared" si="16"/>
        <v>N</v>
      </c>
      <c r="J237" s="17" t="s">
        <v>9</v>
      </c>
      <c r="K237" s="6">
        <v>163</v>
      </c>
      <c r="L237" s="9">
        <v>1</v>
      </c>
      <c r="M237" s="21"/>
      <c r="N237" s="2"/>
      <c r="O237" s="2"/>
      <c r="P237" s="2"/>
      <c r="Q237" s="2"/>
      <c r="R237" s="2"/>
      <c r="S237" s="2"/>
      <c r="T237" s="2"/>
      <c r="U237" s="39">
        <f>IF(I237="N",T237*Supuestos!$B$4,T237*Supuestos!$C$4)*100</f>
        <v>0</v>
      </c>
      <c r="V237" s="20">
        <f t="shared" si="19"/>
        <v>0</v>
      </c>
      <c r="W237" s="2">
        <f t="shared" si="17"/>
        <v>0</v>
      </c>
      <c r="X237" s="2">
        <f t="shared" si="18"/>
        <v>0</v>
      </c>
    </row>
    <row r="238" spans="1:24" x14ac:dyDescent="0.25">
      <c r="A238" s="6" t="s">
        <v>42</v>
      </c>
      <c r="B238" s="6" t="s">
        <v>846</v>
      </c>
      <c r="C238" s="6" t="s">
        <v>400</v>
      </c>
      <c r="D238" s="6" t="s">
        <v>72</v>
      </c>
      <c r="E238" s="11" t="str">
        <f t="shared" si="15"/>
        <v>AUTOMOVIL</v>
      </c>
      <c r="F238" s="6" t="s">
        <v>11</v>
      </c>
      <c r="G238" s="11">
        <v>2000</v>
      </c>
      <c r="H238" s="6" t="s">
        <v>1050</v>
      </c>
      <c r="I238" s="6" t="str">
        <f t="shared" si="16"/>
        <v>N</v>
      </c>
      <c r="J238" s="17" t="s">
        <v>419</v>
      </c>
      <c r="K238" s="6">
        <v>299</v>
      </c>
      <c r="L238" s="9">
        <v>1</v>
      </c>
      <c r="M238" s="21"/>
      <c r="N238" s="2"/>
      <c r="O238" s="2"/>
      <c r="P238" s="2"/>
      <c r="Q238" s="2"/>
      <c r="R238" s="2"/>
      <c r="S238" s="2"/>
      <c r="T238" s="2"/>
      <c r="U238" s="39">
        <f>IF(I238="N",T238*Supuestos!$B$4,T238*Supuestos!$C$4)*100</f>
        <v>0</v>
      </c>
      <c r="V238" s="20">
        <f t="shared" si="19"/>
        <v>0</v>
      </c>
      <c r="W238" s="2">
        <f t="shared" si="17"/>
        <v>0</v>
      </c>
      <c r="X238" s="2">
        <f t="shared" si="18"/>
        <v>0</v>
      </c>
    </row>
    <row r="239" spans="1:24" x14ac:dyDescent="0.25">
      <c r="A239" s="6" t="s">
        <v>42</v>
      </c>
      <c r="B239" s="6" t="s">
        <v>847</v>
      </c>
      <c r="C239" s="6" t="s">
        <v>400</v>
      </c>
      <c r="D239" s="6" t="s">
        <v>72</v>
      </c>
      <c r="E239" s="11" t="str">
        <f t="shared" si="15"/>
        <v>AUTOMOVIL</v>
      </c>
      <c r="F239" s="6" t="s">
        <v>11</v>
      </c>
      <c r="G239" s="11">
        <v>3000</v>
      </c>
      <c r="H239" s="6" t="s">
        <v>1050</v>
      </c>
      <c r="I239" s="6" t="str">
        <f t="shared" si="16"/>
        <v>N</v>
      </c>
      <c r="J239" s="17" t="s">
        <v>419</v>
      </c>
      <c r="K239" s="6">
        <v>367</v>
      </c>
      <c r="L239" s="9">
        <v>1</v>
      </c>
      <c r="M239" s="21"/>
      <c r="N239" s="2"/>
      <c r="O239" s="2"/>
      <c r="P239" s="2"/>
      <c r="Q239" s="2"/>
      <c r="R239" s="2"/>
      <c r="S239" s="2"/>
      <c r="T239" s="2"/>
      <c r="U239" s="39">
        <f>IF(I239="N",T239*Supuestos!$B$4,T239*Supuestos!$C$4)*100</f>
        <v>0</v>
      </c>
      <c r="V239" s="20">
        <f t="shared" si="19"/>
        <v>0</v>
      </c>
      <c r="W239" s="2">
        <f t="shared" si="17"/>
        <v>0</v>
      </c>
      <c r="X239" s="2">
        <f t="shared" si="18"/>
        <v>0</v>
      </c>
    </row>
    <row r="240" spans="1:24" x14ac:dyDescent="0.25">
      <c r="A240" s="6" t="s">
        <v>81</v>
      </c>
      <c r="B240" s="6" t="s">
        <v>168</v>
      </c>
      <c r="C240" s="6" t="s">
        <v>404</v>
      </c>
      <c r="D240" s="6" t="s">
        <v>72</v>
      </c>
      <c r="E240" s="11" t="str">
        <f t="shared" si="15"/>
        <v>AUTOMOVIL</v>
      </c>
      <c r="F240" s="6" t="s">
        <v>26</v>
      </c>
      <c r="G240" s="11">
        <v>1600</v>
      </c>
      <c r="H240" s="6" t="s">
        <v>1050</v>
      </c>
      <c r="I240" s="6" t="str">
        <f t="shared" si="16"/>
        <v>N</v>
      </c>
      <c r="J240" s="17" t="s">
        <v>9</v>
      </c>
      <c r="K240" s="6">
        <v>115</v>
      </c>
      <c r="L240" s="9">
        <v>1</v>
      </c>
      <c r="M240" s="21"/>
      <c r="N240" s="2"/>
      <c r="O240" s="2"/>
      <c r="P240" s="2"/>
      <c r="Q240" s="2"/>
      <c r="R240" s="2"/>
      <c r="S240" s="2"/>
      <c r="T240" s="2"/>
      <c r="U240" s="39">
        <f>IF(I240="N",T240*Supuestos!$B$4,T240*Supuestos!$C$4)*100</f>
        <v>0</v>
      </c>
      <c r="V240" s="20">
        <f t="shared" si="19"/>
        <v>0</v>
      </c>
      <c r="W240" s="2">
        <f t="shared" si="17"/>
        <v>0</v>
      </c>
      <c r="X240" s="2">
        <f t="shared" si="18"/>
        <v>0</v>
      </c>
    </row>
    <row r="241" spans="1:24" x14ac:dyDescent="0.25">
      <c r="A241" s="6" t="s">
        <v>482</v>
      </c>
      <c r="B241" s="6" t="s">
        <v>883</v>
      </c>
      <c r="C241" s="6" t="s">
        <v>411</v>
      </c>
      <c r="D241" s="6" t="s">
        <v>72</v>
      </c>
      <c r="E241" s="11" t="str">
        <f t="shared" si="15"/>
        <v>AUTOMOVIL</v>
      </c>
      <c r="F241" s="6"/>
      <c r="G241" s="11"/>
      <c r="H241" s="6" t="s">
        <v>1051</v>
      </c>
      <c r="I241" s="6" t="str">
        <f t="shared" si="16"/>
        <v>E</v>
      </c>
      <c r="J241" s="17" t="s">
        <v>418</v>
      </c>
      <c r="K241" s="6"/>
      <c r="L241" s="9">
        <v>1</v>
      </c>
      <c r="M241" s="21"/>
      <c r="N241" s="2"/>
      <c r="O241" s="2"/>
      <c r="P241" s="2"/>
      <c r="Q241" s="2"/>
      <c r="R241" s="2"/>
      <c r="S241" s="2"/>
      <c r="T241" s="2"/>
      <c r="U241" s="39">
        <f>IF(I241="N",T241*Supuestos!$B$4,T241*Supuestos!$C$4)*100</f>
        <v>0</v>
      </c>
      <c r="V241" s="20">
        <f t="shared" si="19"/>
        <v>0</v>
      </c>
      <c r="W241" s="2">
        <f t="shared" si="17"/>
        <v>0</v>
      </c>
      <c r="X241" s="2">
        <f t="shared" si="18"/>
        <v>0</v>
      </c>
    </row>
    <row r="242" spans="1:24" x14ac:dyDescent="0.25">
      <c r="A242" s="6" t="s">
        <v>65</v>
      </c>
      <c r="B242" s="6" t="s">
        <v>906</v>
      </c>
      <c r="C242" s="6" t="s">
        <v>400</v>
      </c>
      <c r="D242" s="6" t="s">
        <v>72</v>
      </c>
      <c r="E242" s="11" t="str">
        <f t="shared" si="15"/>
        <v>AUTOMOVIL</v>
      </c>
      <c r="F242" s="6" t="s">
        <v>11</v>
      </c>
      <c r="G242" s="11">
        <v>2000</v>
      </c>
      <c r="H242" s="6" t="s">
        <v>1050</v>
      </c>
      <c r="I242" s="6" t="str">
        <f t="shared" si="16"/>
        <v>N</v>
      </c>
      <c r="J242" s="17" t="s">
        <v>9</v>
      </c>
      <c r="K242" s="6">
        <v>300</v>
      </c>
      <c r="L242" s="9">
        <v>1</v>
      </c>
      <c r="M242" s="21"/>
      <c r="N242" s="2"/>
      <c r="O242" s="2"/>
      <c r="P242" s="2"/>
      <c r="Q242" s="2"/>
      <c r="R242" s="2"/>
      <c r="S242" s="2"/>
      <c r="T242" s="2"/>
      <c r="U242" s="39">
        <f>IF(I242="N",T242*Supuestos!$B$4,T242*Supuestos!$C$4)*100</f>
        <v>0</v>
      </c>
      <c r="V242" s="20">
        <f t="shared" si="19"/>
        <v>0</v>
      </c>
      <c r="W242" s="2">
        <f t="shared" si="17"/>
        <v>0</v>
      </c>
      <c r="X242" s="2">
        <f t="shared" si="18"/>
        <v>0</v>
      </c>
    </row>
    <row r="243" spans="1:24" x14ac:dyDescent="0.25">
      <c r="A243" s="6" t="s">
        <v>38</v>
      </c>
      <c r="B243" s="6" t="s">
        <v>762</v>
      </c>
      <c r="C243" s="6" t="s">
        <v>404</v>
      </c>
      <c r="D243" s="6" t="s">
        <v>72</v>
      </c>
      <c r="E243" s="11" t="str">
        <f t="shared" si="15"/>
        <v>AUTOMOVIL</v>
      </c>
      <c r="F243" s="6"/>
      <c r="G243" s="11"/>
      <c r="H243" s="6" t="s">
        <v>1051</v>
      </c>
      <c r="I243" s="6" t="str">
        <f t="shared" si="16"/>
        <v>E</v>
      </c>
      <c r="J243" s="17" t="s">
        <v>418</v>
      </c>
      <c r="K243" s="6"/>
      <c r="L243" s="9">
        <v>1</v>
      </c>
      <c r="M243" s="21"/>
      <c r="N243" s="2"/>
      <c r="O243" s="2"/>
      <c r="P243" s="2"/>
      <c r="Q243" s="2"/>
      <c r="R243" s="2"/>
      <c r="S243" s="2"/>
      <c r="T243" s="2"/>
      <c r="U243" s="39">
        <f>IF(I243="N",T243*Supuestos!$B$4,T243*Supuestos!$C$4)*100</f>
        <v>0</v>
      </c>
      <c r="V243" s="20">
        <f t="shared" si="19"/>
        <v>0</v>
      </c>
      <c r="W243" s="2">
        <f t="shared" si="17"/>
        <v>0</v>
      </c>
      <c r="X243" s="2">
        <f t="shared" si="18"/>
        <v>0</v>
      </c>
    </row>
    <row r="244" spans="1:24" x14ac:dyDescent="0.25">
      <c r="A244" s="6" t="s">
        <v>46</v>
      </c>
      <c r="B244" s="6" t="s">
        <v>289</v>
      </c>
      <c r="C244" s="6" t="s">
        <v>404</v>
      </c>
      <c r="D244" s="6" t="s">
        <v>72</v>
      </c>
      <c r="E244" s="11" t="str">
        <f t="shared" si="15"/>
        <v>AUTOMOVIL</v>
      </c>
      <c r="F244" s="6" t="s">
        <v>24</v>
      </c>
      <c r="G244" s="11">
        <v>1600</v>
      </c>
      <c r="H244" s="6" t="s">
        <v>1050</v>
      </c>
      <c r="I244" s="6" t="str">
        <f t="shared" si="16"/>
        <v>N</v>
      </c>
      <c r="J244" s="17" t="s">
        <v>9</v>
      </c>
      <c r="K244" s="6">
        <v>106</v>
      </c>
      <c r="L244" s="9">
        <v>1</v>
      </c>
      <c r="M244" s="21">
        <v>1</v>
      </c>
      <c r="N244" s="2">
        <v>20990</v>
      </c>
      <c r="O244" s="2" t="s">
        <v>1053</v>
      </c>
      <c r="P244" s="2" t="s">
        <v>1079</v>
      </c>
      <c r="Q244" s="2" t="s">
        <v>429</v>
      </c>
      <c r="R244" s="2">
        <v>1644</v>
      </c>
      <c r="S244" s="2"/>
      <c r="T244" s="2">
        <v>135</v>
      </c>
      <c r="U244" s="39">
        <f>IF(I244="N",T244*Supuestos!$B$4,T244*Supuestos!$C$4)*100</f>
        <v>5.7769640008702243</v>
      </c>
      <c r="V244" s="20">
        <f t="shared" si="19"/>
        <v>17.31013037037037</v>
      </c>
      <c r="W244" s="2">
        <f t="shared" si="17"/>
        <v>135</v>
      </c>
      <c r="X244" s="2">
        <f t="shared" si="18"/>
        <v>5.7769640008702243</v>
      </c>
    </row>
    <row r="245" spans="1:24" x14ac:dyDescent="0.25">
      <c r="A245" s="6" t="s">
        <v>91</v>
      </c>
      <c r="B245" s="6" t="s">
        <v>949</v>
      </c>
      <c r="C245" s="6" t="s">
        <v>407</v>
      </c>
      <c r="D245" s="6" t="s">
        <v>72</v>
      </c>
      <c r="E245" s="11" t="str">
        <f t="shared" si="15"/>
        <v>AUTOMOVIL</v>
      </c>
      <c r="F245" s="6" t="s">
        <v>57</v>
      </c>
      <c r="G245" s="11">
        <v>1600</v>
      </c>
      <c r="H245" s="6" t="s">
        <v>1050</v>
      </c>
      <c r="I245" s="6" t="str">
        <f t="shared" si="16"/>
        <v>N</v>
      </c>
      <c r="J245" s="17" t="s">
        <v>9</v>
      </c>
      <c r="K245" s="6">
        <v>110</v>
      </c>
      <c r="L245" s="9">
        <v>1</v>
      </c>
      <c r="M245" s="21"/>
      <c r="N245" s="2"/>
      <c r="O245" s="2"/>
      <c r="P245" s="2"/>
      <c r="Q245" s="2"/>
      <c r="R245" s="2"/>
      <c r="S245" s="2"/>
      <c r="T245" s="2"/>
      <c r="U245" s="39">
        <f>IF(I245="N",T245*Supuestos!$B$4,T245*Supuestos!$C$4)*100</f>
        <v>0</v>
      </c>
      <c r="V245" s="20">
        <f t="shared" si="19"/>
        <v>0</v>
      </c>
      <c r="W245" s="2">
        <f t="shared" si="17"/>
        <v>0</v>
      </c>
      <c r="X245" s="2">
        <f t="shared" si="18"/>
        <v>0</v>
      </c>
    </row>
    <row r="246" spans="1:24" x14ac:dyDescent="0.25">
      <c r="A246" s="6" t="s">
        <v>91</v>
      </c>
      <c r="B246" s="6" t="s">
        <v>950</v>
      </c>
      <c r="C246" s="6" t="s">
        <v>407</v>
      </c>
      <c r="D246" s="6" t="s">
        <v>72</v>
      </c>
      <c r="E246" s="11" t="str">
        <f t="shared" si="15"/>
        <v>AUTOMOVIL</v>
      </c>
      <c r="F246" s="6" t="s">
        <v>57</v>
      </c>
      <c r="G246" s="11">
        <v>1600</v>
      </c>
      <c r="H246" s="6" t="s">
        <v>1050</v>
      </c>
      <c r="I246" s="6" t="str">
        <f t="shared" si="16"/>
        <v>N</v>
      </c>
      <c r="J246" s="17" t="s">
        <v>9</v>
      </c>
      <c r="K246" s="6">
        <v>110</v>
      </c>
      <c r="L246" s="9">
        <v>1</v>
      </c>
      <c r="M246" s="21"/>
      <c r="N246" s="2"/>
      <c r="O246" s="2"/>
      <c r="P246" s="2"/>
      <c r="Q246" s="2"/>
      <c r="R246" s="2"/>
      <c r="S246" s="2"/>
      <c r="T246" s="2"/>
      <c r="U246" s="39">
        <f>IF(I246="N",T246*Supuestos!$B$4,T246*Supuestos!$C$4)*100</f>
        <v>0</v>
      </c>
      <c r="V246" s="20">
        <f t="shared" si="19"/>
        <v>0</v>
      </c>
      <c r="W246" s="2">
        <f t="shared" si="17"/>
        <v>0</v>
      </c>
      <c r="X246" s="2">
        <f t="shared" si="18"/>
        <v>0</v>
      </c>
    </row>
    <row r="247" spans="1:24" x14ac:dyDescent="0.25">
      <c r="A247" s="6" t="s">
        <v>91</v>
      </c>
      <c r="B247" s="6" t="s">
        <v>951</v>
      </c>
      <c r="C247" s="6" t="s">
        <v>407</v>
      </c>
      <c r="D247" s="6" t="s">
        <v>72</v>
      </c>
      <c r="E247" s="11" t="str">
        <f t="shared" si="15"/>
        <v>AUTOMOVIL</v>
      </c>
      <c r="F247" s="6" t="s">
        <v>57</v>
      </c>
      <c r="G247" s="11">
        <v>1600</v>
      </c>
      <c r="H247" s="6" t="s">
        <v>1050</v>
      </c>
      <c r="I247" s="6" t="str">
        <f t="shared" si="16"/>
        <v>N</v>
      </c>
      <c r="J247" s="17" t="s">
        <v>9</v>
      </c>
      <c r="K247" s="6">
        <v>110</v>
      </c>
      <c r="L247" s="9">
        <v>1</v>
      </c>
      <c r="M247" s="21"/>
      <c r="N247" s="2"/>
      <c r="O247" s="2"/>
      <c r="P247" s="2"/>
      <c r="Q247" s="2"/>
      <c r="R247" s="2"/>
      <c r="S247" s="2"/>
      <c r="T247" s="2"/>
      <c r="U247" s="39">
        <f>IF(I247="N",T247*Supuestos!$B$4,T247*Supuestos!$C$4)*100</f>
        <v>0</v>
      </c>
      <c r="V247" s="20">
        <f t="shared" si="19"/>
        <v>0</v>
      </c>
      <c r="W247" s="2">
        <f t="shared" si="17"/>
        <v>0</v>
      </c>
      <c r="X247" s="2">
        <f t="shared" si="18"/>
        <v>0</v>
      </c>
    </row>
    <row r="248" spans="1:24" x14ac:dyDescent="0.25">
      <c r="A248" s="6" t="s">
        <v>65</v>
      </c>
      <c r="B248" s="6" t="s">
        <v>911</v>
      </c>
      <c r="C248" s="6" t="s">
        <v>404</v>
      </c>
      <c r="D248" s="6" t="s">
        <v>72</v>
      </c>
      <c r="E248" s="11" t="str">
        <f t="shared" si="15"/>
        <v>AUTOMOVIL</v>
      </c>
      <c r="F248" s="6" t="s">
        <v>11</v>
      </c>
      <c r="G248" s="11"/>
      <c r="H248" s="6" t="s">
        <v>1051</v>
      </c>
      <c r="I248" s="6" t="str">
        <f t="shared" si="16"/>
        <v>E</v>
      </c>
      <c r="J248" s="17" t="s">
        <v>418</v>
      </c>
      <c r="K248" s="6">
        <v>625</v>
      </c>
      <c r="L248" s="9">
        <v>1</v>
      </c>
      <c r="M248" s="21"/>
      <c r="N248" s="2"/>
      <c r="O248" s="2"/>
      <c r="P248" s="2"/>
      <c r="Q248" s="2"/>
      <c r="R248" s="2"/>
      <c r="S248" s="2"/>
      <c r="T248" s="2"/>
      <c r="U248" s="39">
        <f>IF(I248="N",T248*Supuestos!$B$4,T248*Supuestos!$C$4)*100</f>
        <v>0</v>
      </c>
      <c r="V248" s="20">
        <f t="shared" si="19"/>
        <v>0</v>
      </c>
      <c r="W248" s="2">
        <f t="shared" si="17"/>
        <v>0</v>
      </c>
      <c r="X248" s="2">
        <f t="shared" si="18"/>
        <v>0</v>
      </c>
    </row>
    <row r="249" spans="1:24" x14ac:dyDescent="0.25">
      <c r="A249" s="6" t="s">
        <v>50</v>
      </c>
      <c r="B249" s="6" t="s">
        <v>333</v>
      </c>
      <c r="C249" s="6" t="s">
        <v>411</v>
      </c>
      <c r="D249" s="6" t="s">
        <v>72</v>
      </c>
      <c r="E249" s="11" t="str">
        <f t="shared" si="15"/>
        <v>AUTOMOVIL</v>
      </c>
      <c r="F249" s="6" t="s">
        <v>35</v>
      </c>
      <c r="G249" s="11">
        <v>1000</v>
      </c>
      <c r="H249" s="6" t="s">
        <v>1050</v>
      </c>
      <c r="I249" s="6" t="str">
        <f t="shared" si="16"/>
        <v>N</v>
      </c>
      <c r="J249" s="17" t="s">
        <v>9</v>
      </c>
      <c r="K249" s="6">
        <v>68</v>
      </c>
      <c r="L249" s="9">
        <v>1</v>
      </c>
      <c r="M249" s="21">
        <v>1</v>
      </c>
      <c r="N249" s="2">
        <v>13990</v>
      </c>
      <c r="O249" s="2" t="s">
        <v>1060</v>
      </c>
      <c r="P249" s="2" t="s">
        <v>1067</v>
      </c>
      <c r="Q249" s="2" t="s">
        <v>424</v>
      </c>
      <c r="R249" s="2">
        <v>1170</v>
      </c>
      <c r="S249" s="2"/>
      <c r="T249" s="2">
        <v>114</v>
      </c>
      <c r="U249" s="39">
        <f>IF(I249="N",T249*Supuestos!$B$4,T249*Supuestos!$C$4)*100</f>
        <v>4.878325156290412</v>
      </c>
      <c r="V249" s="20">
        <f t="shared" si="19"/>
        <v>20.498838596491229</v>
      </c>
      <c r="W249" s="2">
        <f t="shared" si="17"/>
        <v>114</v>
      </c>
      <c r="X249" s="2">
        <f t="shared" si="18"/>
        <v>4.878325156290412</v>
      </c>
    </row>
    <row r="250" spans="1:24" x14ac:dyDescent="0.25">
      <c r="A250" s="6" t="s">
        <v>92</v>
      </c>
      <c r="B250" s="6" t="s">
        <v>338</v>
      </c>
      <c r="C250" s="6" t="s">
        <v>400</v>
      </c>
      <c r="D250" s="6" t="s">
        <v>72</v>
      </c>
      <c r="E250" s="11" t="str">
        <f t="shared" si="15"/>
        <v>AUTOMOVIL</v>
      </c>
      <c r="F250" s="6" t="s">
        <v>16</v>
      </c>
      <c r="G250" s="11"/>
      <c r="H250" s="6" t="s">
        <v>1051</v>
      </c>
      <c r="I250" s="6" t="str">
        <f t="shared" si="16"/>
        <v>E</v>
      </c>
      <c r="J250" s="17" t="s">
        <v>418</v>
      </c>
      <c r="K250" s="6">
        <v>490</v>
      </c>
      <c r="L250" s="9">
        <v>1</v>
      </c>
      <c r="M250" s="21"/>
      <c r="N250" s="2"/>
      <c r="O250" s="2"/>
      <c r="P250" s="2"/>
      <c r="Q250" s="2"/>
      <c r="R250" s="2"/>
      <c r="S250" s="2"/>
      <c r="T250" s="2"/>
      <c r="U250" s="39">
        <f>IF(I250="N",T250*Supuestos!$B$4,T250*Supuestos!$C$4)*100</f>
        <v>0</v>
      </c>
      <c r="V250" s="20">
        <f t="shared" si="19"/>
        <v>0</v>
      </c>
      <c r="W250" s="2">
        <f t="shared" si="17"/>
        <v>0</v>
      </c>
      <c r="X250" s="2">
        <f t="shared" si="18"/>
        <v>0</v>
      </c>
    </row>
    <row r="251" spans="1:24" x14ac:dyDescent="0.25">
      <c r="A251" s="6" t="s">
        <v>92</v>
      </c>
      <c r="B251" s="6" t="s">
        <v>979</v>
      </c>
      <c r="C251" s="6" t="s">
        <v>400</v>
      </c>
      <c r="D251" s="6" t="s">
        <v>72</v>
      </c>
      <c r="E251" s="11" t="str">
        <f t="shared" si="15"/>
        <v>AUTOMOVIL</v>
      </c>
      <c r="F251" s="6" t="s">
        <v>16</v>
      </c>
      <c r="G251" s="11"/>
      <c r="H251" s="6" t="s">
        <v>1051</v>
      </c>
      <c r="I251" s="6" t="str">
        <f t="shared" si="16"/>
        <v>E</v>
      </c>
      <c r="J251" s="17" t="s">
        <v>418</v>
      </c>
      <c r="K251" s="6">
        <v>0</v>
      </c>
      <c r="L251" s="9">
        <v>1</v>
      </c>
      <c r="M251" s="21"/>
      <c r="N251" s="2"/>
      <c r="O251" s="2"/>
      <c r="P251" s="2"/>
      <c r="Q251" s="2"/>
      <c r="R251" s="2"/>
      <c r="S251" s="2"/>
      <c r="T251" s="2"/>
      <c r="U251" s="39">
        <f>IF(I251="N",T251*Supuestos!$B$4,T251*Supuestos!$C$4)*100</f>
        <v>0</v>
      </c>
      <c r="V251" s="20">
        <f t="shared" si="19"/>
        <v>0</v>
      </c>
      <c r="W251" s="2">
        <f t="shared" si="17"/>
        <v>0</v>
      </c>
      <c r="X251" s="2">
        <f t="shared" si="18"/>
        <v>0</v>
      </c>
    </row>
    <row r="252" spans="1:24" x14ac:dyDescent="0.25">
      <c r="A252" s="6" t="s">
        <v>92</v>
      </c>
      <c r="B252" s="6" t="s">
        <v>339</v>
      </c>
      <c r="C252" s="6" t="s">
        <v>400</v>
      </c>
      <c r="D252" s="6" t="s">
        <v>72</v>
      </c>
      <c r="E252" s="11" t="str">
        <f t="shared" si="15"/>
        <v>AUTOMOVIL</v>
      </c>
      <c r="F252" s="6" t="s">
        <v>16</v>
      </c>
      <c r="G252" s="11"/>
      <c r="H252" s="6" t="s">
        <v>1051</v>
      </c>
      <c r="I252" s="6" t="str">
        <f t="shared" si="16"/>
        <v>E</v>
      </c>
      <c r="J252" s="17" t="s">
        <v>418</v>
      </c>
      <c r="K252" s="6">
        <v>238</v>
      </c>
      <c r="L252" s="9">
        <v>1</v>
      </c>
      <c r="M252" s="21"/>
      <c r="N252" s="2"/>
      <c r="O252" s="2"/>
      <c r="P252" s="2"/>
      <c r="Q252" s="2"/>
      <c r="R252" s="2"/>
      <c r="S252" s="2"/>
      <c r="T252" s="2"/>
      <c r="U252" s="39">
        <f>IF(I252="N",T252*Supuestos!$B$4,T252*Supuestos!$C$4)*100</f>
        <v>0</v>
      </c>
      <c r="V252" s="20">
        <f t="shared" si="19"/>
        <v>0</v>
      </c>
      <c r="W252" s="2">
        <f t="shared" si="17"/>
        <v>0</v>
      </c>
      <c r="X252" s="2">
        <f t="shared" si="18"/>
        <v>0</v>
      </c>
    </row>
    <row r="253" spans="1:24" x14ac:dyDescent="0.25">
      <c r="A253" s="6" t="s">
        <v>92</v>
      </c>
      <c r="B253" s="6" t="s">
        <v>980</v>
      </c>
      <c r="C253" s="6" t="s">
        <v>400</v>
      </c>
      <c r="D253" s="6" t="s">
        <v>72</v>
      </c>
      <c r="E253" s="11" t="str">
        <f t="shared" si="15"/>
        <v>AUTOMOVIL</v>
      </c>
      <c r="F253" s="6" t="s">
        <v>16</v>
      </c>
      <c r="G253" s="11"/>
      <c r="H253" s="6" t="s">
        <v>1051</v>
      </c>
      <c r="I253" s="6" t="str">
        <f t="shared" si="16"/>
        <v>E</v>
      </c>
      <c r="J253" s="17" t="s">
        <v>418</v>
      </c>
      <c r="K253" s="6">
        <v>0</v>
      </c>
      <c r="L253" s="9">
        <v>1</v>
      </c>
      <c r="M253" s="21"/>
      <c r="N253" s="2"/>
      <c r="O253" s="2"/>
      <c r="P253" s="2"/>
      <c r="Q253" s="2"/>
      <c r="R253" s="2"/>
      <c r="S253" s="2"/>
      <c r="T253" s="2"/>
      <c r="U253" s="39">
        <f>IF(I253="N",T253*Supuestos!$B$4,T253*Supuestos!$C$4)*100</f>
        <v>0</v>
      </c>
      <c r="V253" s="20">
        <f t="shared" si="19"/>
        <v>0</v>
      </c>
      <c r="W253" s="2">
        <f t="shared" si="17"/>
        <v>0</v>
      </c>
      <c r="X253" s="2">
        <f t="shared" si="18"/>
        <v>0</v>
      </c>
    </row>
    <row r="254" spans="1:24" x14ac:dyDescent="0.25">
      <c r="A254" s="6" t="s">
        <v>65</v>
      </c>
      <c r="B254" s="6" t="s">
        <v>912</v>
      </c>
      <c r="C254" s="6" t="s">
        <v>404</v>
      </c>
      <c r="D254" s="6" t="s">
        <v>72</v>
      </c>
      <c r="E254" s="11" t="str">
        <f t="shared" si="15"/>
        <v>AUTOMOVIL</v>
      </c>
      <c r="F254" s="6" t="s">
        <v>11</v>
      </c>
      <c r="G254" s="11"/>
      <c r="H254" s="6" t="s">
        <v>1051</v>
      </c>
      <c r="I254" s="6" t="str">
        <f t="shared" si="16"/>
        <v>E</v>
      </c>
      <c r="J254" s="17" t="s">
        <v>418</v>
      </c>
      <c r="K254" s="6">
        <v>761</v>
      </c>
      <c r="L254" s="9">
        <v>1</v>
      </c>
      <c r="M254" s="21"/>
      <c r="N254" s="2"/>
      <c r="O254" s="2"/>
      <c r="P254" s="2"/>
      <c r="Q254" s="2"/>
      <c r="R254" s="2"/>
      <c r="S254" s="2"/>
      <c r="T254" s="2"/>
      <c r="U254" s="39">
        <f>IF(I254="N",T254*Supuestos!$B$4,T254*Supuestos!$C$4)*100</f>
        <v>0</v>
      </c>
      <c r="V254" s="20">
        <f t="shared" si="19"/>
        <v>0</v>
      </c>
      <c r="W254" s="2">
        <f t="shared" si="17"/>
        <v>0</v>
      </c>
      <c r="X254" s="2">
        <f t="shared" si="18"/>
        <v>0</v>
      </c>
    </row>
    <row r="255" spans="1:24" x14ac:dyDescent="0.25">
      <c r="A255" s="6" t="s">
        <v>53</v>
      </c>
      <c r="B255" s="6" t="s">
        <v>380</v>
      </c>
      <c r="C255" s="6" t="s">
        <v>403</v>
      </c>
      <c r="D255" s="6" t="s">
        <v>72</v>
      </c>
      <c r="E255" s="11" t="str">
        <f t="shared" si="15"/>
        <v>AUTOMOVIL</v>
      </c>
      <c r="F255" s="6" t="s">
        <v>21</v>
      </c>
      <c r="G255" s="11">
        <v>1600</v>
      </c>
      <c r="H255" s="6" t="s">
        <v>1050</v>
      </c>
      <c r="I255" s="6" t="str">
        <f t="shared" si="16"/>
        <v>N</v>
      </c>
      <c r="J255" s="17" t="s">
        <v>9</v>
      </c>
      <c r="K255" s="6">
        <v>101</v>
      </c>
      <c r="L255" s="9">
        <v>1</v>
      </c>
      <c r="M255" s="21">
        <v>1</v>
      </c>
      <c r="N255" s="2">
        <v>18590</v>
      </c>
      <c r="O255" s="2" t="s">
        <v>1060</v>
      </c>
      <c r="P255" s="2" t="s">
        <v>75</v>
      </c>
      <c r="Q255" s="2" t="s">
        <v>429</v>
      </c>
      <c r="R255" s="2">
        <v>1450</v>
      </c>
      <c r="S255" s="2"/>
      <c r="T255" s="2">
        <v>164</v>
      </c>
      <c r="U255" s="39">
        <f>IF(I255="N",T255*Supuestos!$B$4,T255*Supuestos!$C$4)*100</f>
        <v>7.0179414529090138</v>
      </c>
      <c r="V255" s="20">
        <f t="shared" si="19"/>
        <v>14.249192682926829</v>
      </c>
      <c r="W255" s="2">
        <f t="shared" si="17"/>
        <v>164</v>
      </c>
      <c r="X255" s="2">
        <f t="shared" si="18"/>
        <v>7.0179414529090138</v>
      </c>
    </row>
    <row r="256" spans="1:24" x14ac:dyDescent="0.25">
      <c r="A256" s="6" t="s">
        <v>483</v>
      </c>
      <c r="B256" s="6" t="s">
        <v>953</v>
      </c>
      <c r="C256" s="6" t="s">
        <v>404</v>
      </c>
      <c r="D256" s="6" t="s">
        <v>72</v>
      </c>
      <c r="E256" s="11" t="str">
        <f t="shared" si="15"/>
        <v>AUTOMOVIL</v>
      </c>
      <c r="F256" s="6" t="s">
        <v>14</v>
      </c>
      <c r="G256" s="11"/>
      <c r="H256" s="6" t="s">
        <v>1051</v>
      </c>
      <c r="I256" s="6" t="str">
        <f t="shared" si="16"/>
        <v>E</v>
      </c>
      <c r="J256" s="17" t="s">
        <v>418</v>
      </c>
      <c r="K256" s="6">
        <v>0</v>
      </c>
      <c r="L256" s="9">
        <v>1</v>
      </c>
      <c r="M256" s="21"/>
      <c r="N256" s="2"/>
      <c r="O256" s="2"/>
      <c r="P256" s="2"/>
      <c r="Q256" s="2"/>
      <c r="R256" s="2"/>
      <c r="S256" s="2"/>
      <c r="T256" s="2"/>
      <c r="U256" s="39">
        <f>IF(I256="N",T256*Supuestos!$B$4,T256*Supuestos!$C$4)*100</f>
        <v>0</v>
      </c>
      <c r="V256" s="20">
        <f t="shared" si="19"/>
        <v>0</v>
      </c>
      <c r="W256" s="2">
        <f t="shared" si="17"/>
        <v>0</v>
      </c>
      <c r="X256" s="2">
        <f t="shared" si="18"/>
        <v>0</v>
      </c>
    </row>
    <row r="257" spans="1:24" x14ac:dyDescent="0.25">
      <c r="A257" s="6" t="s">
        <v>52</v>
      </c>
      <c r="B257" s="6" t="s">
        <v>988</v>
      </c>
      <c r="C257" s="6" t="s">
        <v>404</v>
      </c>
      <c r="D257" s="6" t="s">
        <v>72</v>
      </c>
      <c r="E257" s="11" t="str">
        <f t="shared" si="15"/>
        <v>AUTOMOVIL</v>
      </c>
      <c r="F257" s="6" t="s">
        <v>45</v>
      </c>
      <c r="G257" s="11">
        <v>1600</v>
      </c>
      <c r="H257" s="6" t="s">
        <v>1050</v>
      </c>
      <c r="I257" s="6" t="str">
        <f t="shared" si="16"/>
        <v>N</v>
      </c>
      <c r="J257" s="17" t="s">
        <v>9</v>
      </c>
      <c r="K257" s="6">
        <v>304</v>
      </c>
      <c r="L257" s="9">
        <v>1</v>
      </c>
      <c r="M257" s="21">
        <v>1</v>
      </c>
      <c r="N257" s="2">
        <v>89990</v>
      </c>
      <c r="O257" s="2" t="s">
        <v>1060</v>
      </c>
      <c r="P257" s="2" t="s">
        <v>1093</v>
      </c>
      <c r="Q257" s="2" t="s">
        <v>424</v>
      </c>
      <c r="R257" s="2">
        <v>1915</v>
      </c>
      <c r="S257" s="2"/>
      <c r="T257" s="2">
        <v>194</v>
      </c>
      <c r="U257" s="39">
        <f>IF(I257="N",T257*Supuestos!$B$4,T257*Supuestos!$C$4)*100</f>
        <v>8.3017112308801746</v>
      </c>
      <c r="V257" s="20">
        <f t="shared" si="19"/>
        <v>12.045709278350516</v>
      </c>
      <c r="W257" s="2">
        <f t="shared" si="17"/>
        <v>194</v>
      </c>
      <c r="X257" s="2">
        <f t="shared" si="18"/>
        <v>8.3017112308801746</v>
      </c>
    </row>
    <row r="258" spans="1:24" x14ac:dyDescent="0.25">
      <c r="A258" s="6" t="s">
        <v>33</v>
      </c>
      <c r="B258" s="6" t="s">
        <v>695</v>
      </c>
      <c r="C258" s="6" t="s">
        <v>403</v>
      </c>
      <c r="D258" s="6" t="s">
        <v>72</v>
      </c>
      <c r="E258" s="11" t="str">
        <f t="shared" ref="E258:E321" si="20">IF(D258="COMERCIAL","UTILITARIO",IF(C258="SUV Y CROSSOVER","SUV","AUTOMOVIL"))</f>
        <v>AUTOMOVIL</v>
      </c>
      <c r="F258" s="6" t="s">
        <v>21</v>
      </c>
      <c r="G258" s="11">
        <v>1500</v>
      </c>
      <c r="H258" s="6" t="s">
        <v>1050</v>
      </c>
      <c r="I258" s="6" t="str">
        <f t="shared" ref="I258:I321" si="21">IF(H258="NAFTA","N",IF(H258="DIESEL","D",IF(H258="ELÉCTRICO","E","")))</f>
        <v>N</v>
      </c>
      <c r="J258" s="17" t="s">
        <v>9</v>
      </c>
      <c r="K258" s="6">
        <v>122</v>
      </c>
      <c r="L258" s="9">
        <v>6</v>
      </c>
      <c r="M258" s="21"/>
      <c r="N258" s="2"/>
      <c r="O258" s="2"/>
      <c r="P258" s="2"/>
      <c r="Q258" s="2"/>
      <c r="R258" s="2"/>
      <c r="S258" s="2"/>
      <c r="T258" s="2"/>
      <c r="U258" s="39">
        <f>IF(I258="N",T258*Supuestos!$B$4,T258*Supuestos!$C$4)*100</f>
        <v>0</v>
      </c>
      <c r="V258" s="20">
        <f t="shared" si="19"/>
        <v>0</v>
      </c>
      <c r="W258" s="2">
        <f t="shared" ref="W258:W321" si="22">T258*M258</f>
        <v>0</v>
      </c>
      <c r="X258" s="2">
        <f t="shared" ref="X258:X321" si="23">+U258*M258</f>
        <v>0</v>
      </c>
    </row>
    <row r="259" spans="1:24" x14ac:dyDescent="0.25">
      <c r="A259" s="6" t="s">
        <v>52</v>
      </c>
      <c r="B259" s="6" t="s">
        <v>345</v>
      </c>
      <c r="C259" s="6" t="s">
        <v>401</v>
      </c>
      <c r="D259" s="6" t="s">
        <v>72</v>
      </c>
      <c r="E259" s="11" t="str">
        <f t="shared" si="20"/>
        <v>SUV</v>
      </c>
      <c r="F259" s="6" t="s">
        <v>21</v>
      </c>
      <c r="G259" s="11">
        <v>1800</v>
      </c>
      <c r="H259" s="6" t="s">
        <v>1050</v>
      </c>
      <c r="I259" s="6" t="str">
        <f t="shared" si="21"/>
        <v>N</v>
      </c>
      <c r="J259" s="17" t="s">
        <v>421</v>
      </c>
      <c r="K259" s="6">
        <v>122</v>
      </c>
      <c r="L259" s="9">
        <v>568</v>
      </c>
      <c r="M259" s="21">
        <v>568</v>
      </c>
      <c r="N259" s="2">
        <v>42990</v>
      </c>
      <c r="O259" s="2" t="s">
        <v>1060</v>
      </c>
      <c r="P259" s="2" t="s">
        <v>1125</v>
      </c>
      <c r="Q259" s="2" t="s">
        <v>444</v>
      </c>
      <c r="R259" s="2">
        <v>1850</v>
      </c>
      <c r="S259" s="2"/>
      <c r="T259" s="2">
        <v>98</v>
      </c>
      <c r="U259" s="39">
        <f>IF(I259="N",T259*Supuestos!$B$4,T259*Supuestos!$C$4)*100</f>
        <v>4.1936479413724594</v>
      </c>
      <c r="V259" s="20">
        <f t="shared" ref="V259:V322" si="24">IF(U259&gt;0,100/U259,0)</f>
        <v>23.845587755102041</v>
      </c>
      <c r="W259" s="2">
        <f t="shared" si="22"/>
        <v>55664</v>
      </c>
      <c r="X259" s="2">
        <f t="shared" si="23"/>
        <v>2381.9920306995568</v>
      </c>
    </row>
    <row r="260" spans="1:24" x14ac:dyDescent="0.25">
      <c r="A260" s="6" t="s">
        <v>53</v>
      </c>
      <c r="B260" s="6" t="s">
        <v>387</v>
      </c>
      <c r="C260" s="6" t="s">
        <v>401</v>
      </c>
      <c r="D260" s="6" t="s">
        <v>72</v>
      </c>
      <c r="E260" s="11" t="str">
        <f t="shared" si="20"/>
        <v>SUV</v>
      </c>
      <c r="F260" s="6" t="s">
        <v>21</v>
      </c>
      <c r="G260" s="11">
        <v>1000</v>
      </c>
      <c r="H260" s="6" t="s">
        <v>1050</v>
      </c>
      <c r="I260" s="6" t="str">
        <f t="shared" si="21"/>
        <v>N</v>
      </c>
      <c r="J260" s="17" t="s">
        <v>9</v>
      </c>
      <c r="K260" s="6">
        <v>116</v>
      </c>
      <c r="L260" s="9">
        <v>468</v>
      </c>
      <c r="M260" s="2">
        <v>468</v>
      </c>
      <c r="N260" s="2">
        <v>28990</v>
      </c>
      <c r="O260" s="2" t="s">
        <v>1053</v>
      </c>
      <c r="P260" s="2" t="s">
        <v>1124</v>
      </c>
      <c r="Q260" s="2" t="s">
        <v>424</v>
      </c>
      <c r="R260" s="2">
        <v>1650</v>
      </c>
      <c r="S260" s="2"/>
      <c r="T260" s="2">
        <v>149</v>
      </c>
      <c r="U260" s="39">
        <f>IF(I260="N",T260*Supuestos!$B$4,T260*Supuestos!$C$4)*100</f>
        <v>6.3760565639234335</v>
      </c>
      <c r="V260" s="20">
        <f t="shared" si="24"/>
        <v>15.683675167785234</v>
      </c>
      <c r="W260" s="2">
        <f t="shared" si="22"/>
        <v>69732</v>
      </c>
      <c r="X260" s="2">
        <f t="shared" si="23"/>
        <v>2983.9944719161667</v>
      </c>
    </row>
    <row r="261" spans="1:24" x14ac:dyDescent="0.25">
      <c r="A261" s="6" t="s">
        <v>53</v>
      </c>
      <c r="B261" s="6" t="s">
        <v>388</v>
      </c>
      <c r="C261" s="6" t="s">
        <v>401</v>
      </c>
      <c r="D261" s="6" t="s">
        <v>72</v>
      </c>
      <c r="E261" s="11" t="str">
        <f t="shared" si="20"/>
        <v>SUV</v>
      </c>
      <c r="F261" s="6" t="s">
        <v>21</v>
      </c>
      <c r="G261" s="11">
        <v>1000</v>
      </c>
      <c r="H261" s="6" t="s">
        <v>1050</v>
      </c>
      <c r="I261" s="6" t="str">
        <f t="shared" si="21"/>
        <v>N</v>
      </c>
      <c r="J261" s="17" t="s">
        <v>9</v>
      </c>
      <c r="K261" s="6">
        <v>116</v>
      </c>
      <c r="L261" s="9">
        <v>421</v>
      </c>
      <c r="M261" s="2">
        <v>421</v>
      </c>
      <c r="N261" s="2">
        <v>32990</v>
      </c>
      <c r="O261" s="2" t="s">
        <v>1053</v>
      </c>
      <c r="P261" s="2" t="s">
        <v>1124</v>
      </c>
      <c r="Q261" s="2" t="s">
        <v>424</v>
      </c>
      <c r="R261" s="2">
        <v>1650</v>
      </c>
      <c r="S261" s="2"/>
      <c r="T261" s="2">
        <v>149</v>
      </c>
      <c r="U261" s="39">
        <f>IF(I261="N",T261*Supuestos!$B$4,T261*Supuestos!$C$4)*100</f>
        <v>6.3760565639234335</v>
      </c>
      <c r="V261" s="20">
        <f t="shared" si="24"/>
        <v>15.683675167785234</v>
      </c>
      <c r="W261" s="2">
        <f t="shared" si="22"/>
        <v>62729</v>
      </c>
      <c r="X261" s="2">
        <f t="shared" si="23"/>
        <v>2684.3198134117656</v>
      </c>
    </row>
    <row r="262" spans="1:24" x14ac:dyDescent="0.25">
      <c r="A262" s="6" t="s">
        <v>46</v>
      </c>
      <c r="B262" s="6" t="s">
        <v>281</v>
      </c>
      <c r="C262" s="6" t="s">
        <v>401</v>
      </c>
      <c r="D262" s="6" t="s">
        <v>72</v>
      </c>
      <c r="E262" s="11" t="str">
        <f t="shared" si="20"/>
        <v>SUV</v>
      </c>
      <c r="F262" s="6" t="s">
        <v>24</v>
      </c>
      <c r="G262" s="11">
        <v>1600</v>
      </c>
      <c r="H262" s="6" t="s">
        <v>1050</v>
      </c>
      <c r="I262" s="6" t="str">
        <f t="shared" si="21"/>
        <v>N</v>
      </c>
      <c r="J262" s="17" t="s">
        <v>9</v>
      </c>
      <c r="K262" s="6">
        <v>118</v>
      </c>
      <c r="L262" s="9">
        <v>405</v>
      </c>
      <c r="M262" s="2">
        <v>405</v>
      </c>
      <c r="N262" s="2">
        <v>34990</v>
      </c>
      <c r="O262" s="2" t="s">
        <v>1053</v>
      </c>
      <c r="P262" s="2" t="s">
        <v>1127</v>
      </c>
      <c r="Q262" s="2" t="s">
        <v>1080</v>
      </c>
      <c r="R262" s="2">
        <v>1561</v>
      </c>
      <c r="S262" s="2"/>
      <c r="T262" s="2">
        <v>146</v>
      </c>
      <c r="U262" s="39">
        <f>IF(I262="N",T262*Supuestos!$B$4,T262*Supuestos!$C$4)*100</f>
        <v>6.247679586126317</v>
      </c>
      <c r="V262" s="20">
        <f t="shared" si="24"/>
        <v>16.005942465753424</v>
      </c>
      <c r="W262" s="2">
        <f t="shared" si="22"/>
        <v>59130</v>
      </c>
      <c r="X262" s="2">
        <f t="shared" si="23"/>
        <v>2530.3102323811586</v>
      </c>
    </row>
    <row r="263" spans="1:24" x14ac:dyDescent="0.25">
      <c r="A263" s="6" t="s">
        <v>53</v>
      </c>
      <c r="B263" s="6" t="s">
        <v>1008</v>
      </c>
      <c r="C263" s="6" t="s">
        <v>401</v>
      </c>
      <c r="D263" s="6" t="s">
        <v>72</v>
      </c>
      <c r="E263" s="11" t="str">
        <f t="shared" si="20"/>
        <v>SUV</v>
      </c>
      <c r="F263" s="6" t="s">
        <v>21</v>
      </c>
      <c r="G263" s="11">
        <v>1000</v>
      </c>
      <c r="H263" s="6" t="s">
        <v>1050</v>
      </c>
      <c r="I263" s="6" t="str">
        <f t="shared" si="21"/>
        <v>N</v>
      </c>
      <c r="J263" s="17" t="s">
        <v>9</v>
      </c>
      <c r="K263" s="6">
        <v>95</v>
      </c>
      <c r="L263" s="9">
        <v>346</v>
      </c>
      <c r="M263" s="2">
        <v>346</v>
      </c>
      <c r="N263" s="2">
        <v>25690</v>
      </c>
      <c r="O263" s="2" t="s">
        <v>1053</v>
      </c>
      <c r="P263" s="2" t="s">
        <v>1123</v>
      </c>
      <c r="Q263" s="2" t="s">
        <v>424</v>
      </c>
      <c r="R263" s="2">
        <v>1610</v>
      </c>
      <c r="S263" s="2"/>
      <c r="T263" s="2">
        <v>135</v>
      </c>
      <c r="U263" s="39">
        <f>IF(I263="N",T263*Supuestos!$B$4,T263*Supuestos!$C$4)*100</f>
        <v>5.7769640008702243</v>
      </c>
      <c r="V263" s="20">
        <f t="shared" si="24"/>
        <v>17.31013037037037</v>
      </c>
      <c r="W263" s="2">
        <f t="shared" si="22"/>
        <v>46710</v>
      </c>
      <c r="X263" s="2">
        <f t="shared" si="23"/>
        <v>1998.8295443010977</v>
      </c>
    </row>
    <row r="264" spans="1:24" x14ac:dyDescent="0.25">
      <c r="A264" s="6" t="s">
        <v>34</v>
      </c>
      <c r="B264" s="6" t="s">
        <v>709</v>
      </c>
      <c r="C264" s="6" t="s">
        <v>401</v>
      </c>
      <c r="D264" s="6" t="s">
        <v>72</v>
      </c>
      <c r="E264" s="11" t="str">
        <f t="shared" si="20"/>
        <v>SUV</v>
      </c>
      <c r="F264" s="6" t="s">
        <v>21</v>
      </c>
      <c r="G264" s="11">
        <v>1000</v>
      </c>
      <c r="H264" s="6" t="s">
        <v>1050</v>
      </c>
      <c r="I264" s="6" t="str">
        <f t="shared" si="21"/>
        <v>N</v>
      </c>
      <c r="J264" s="17" t="s">
        <v>9</v>
      </c>
      <c r="K264" s="6">
        <v>120</v>
      </c>
      <c r="L264" s="9">
        <v>305</v>
      </c>
      <c r="M264" s="2">
        <v>305</v>
      </c>
      <c r="N264" s="2">
        <v>36990</v>
      </c>
      <c r="O264" s="2" t="s">
        <v>1053</v>
      </c>
      <c r="P264" s="2" t="s">
        <v>1128</v>
      </c>
      <c r="Q264" s="2" t="s">
        <v>429</v>
      </c>
      <c r="R264" s="2">
        <v>1700</v>
      </c>
      <c r="S264" s="2"/>
      <c r="T264" s="2">
        <v>133</v>
      </c>
      <c r="U264" s="39">
        <f>IF(I264="N",T264*Supuestos!$B$4,T264*Supuestos!$C$4)*100</f>
        <v>5.6913793490054809</v>
      </c>
      <c r="V264" s="20">
        <f t="shared" si="24"/>
        <v>17.570433082706767</v>
      </c>
      <c r="W264" s="2">
        <f t="shared" si="22"/>
        <v>40565</v>
      </c>
      <c r="X264" s="2">
        <f t="shared" si="23"/>
        <v>1735.8707014466718</v>
      </c>
    </row>
    <row r="265" spans="1:24" x14ac:dyDescent="0.25">
      <c r="A265" s="6" t="s">
        <v>19</v>
      </c>
      <c r="B265" s="6" t="s">
        <v>161</v>
      </c>
      <c r="C265" s="6" t="s">
        <v>401</v>
      </c>
      <c r="D265" s="6" t="s">
        <v>72</v>
      </c>
      <c r="E265" s="11" t="str">
        <f t="shared" si="20"/>
        <v>SUV</v>
      </c>
      <c r="F265" s="6" t="s">
        <v>21</v>
      </c>
      <c r="G265" s="11">
        <v>1200</v>
      </c>
      <c r="H265" s="6" t="s">
        <v>1050</v>
      </c>
      <c r="I265" s="6" t="str">
        <f t="shared" si="21"/>
        <v>N</v>
      </c>
      <c r="J265" s="17" t="s">
        <v>9</v>
      </c>
      <c r="K265" s="6">
        <v>130</v>
      </c>
      <c r="L265" s="9">
        <v>263</v>
      </c>
      <c r="M265" s="2">
        <v>263</v>
      </c>
      <c r="N265" s="2">
        <v>35690</v>
      </c>
      <c r="O265" s="2" t="s">
        <v>1060</v>
      </c>
      <c r="P265" s="2" t="s">
        <v>445</v>
      </c>
      <c r="Q265" s="2" t="s">
        <v>424</v>
      </c>
      <c r="R265" s="2">
        <v>1714</v>
      </c>
      <c r="S265" s="2"/>
      <c r="T265" s="2">
        <v>158</v>
      </c>
      <c r="U265" s="39">
        <f>IF(I265="N",T265*Supuestos!$B$4,T265*Supuestos!$C$4)*100</f>
        <v>6.7611874973147819</v>
      </c>
      <c r="V265" s="20">
        <f t="shared" si="24"/>
        <v>14.790301265822784</v>
      </c>
      <c r="W265" s="2">
        <f t="shared" si="22"/>
        <v>41554</v>
      </c>
      <c r="X265" s="2">
        <f t="shared" si="23"/>
        <v>1778.1923117937877</v>
      </c>
    </row>
    <row r="266" spans="1:24" x14ac:dyDescent="0.25">
      <c r="A266" s="6" t="s">
        <v>53</v>
      </c>
      <c r="B266" s="6" t="s">
        <v>1029</v>
      </c>
      <c r="C266" s="6" t="s">
        <v>401</v>
      </c>
      <c r="D266" s="6" t="s">
        <v>72</v>
      </c>
      <c r="E266" s="11" t="str">
        <f t="shared" si="20"/>
        <v>SUV</v>
      </c>
      <c r="F266" s="6" t="s">
        <v>21</v>
      </c>
      <c r="G266" s="11">
        <v>1000</v>
      </c>
      <c r="H266" s="6" t="s">
        <v>1050</v>
      </c>
      <c r="I266" s="6" t="str">
        <f t="shared" si="21"/>
        <v>N</v>
      </c>
      <c r="J266" s="17" t="s">
        <v>9</v>
      </c>
      <c r="K266" s="6">
        <v>116</v>
      </c>
      <c r="L266" s="9">
        <v>253</v>
      </c>
      <c r="M266" s="2">
        <v>253</v>
      </c>
      <c r="N266" s="2">
        <v>32490</v>
      </c>
      <c r="O266" s="2" t="s">
        <v>1053</v>
      </c>
      <c r="P266" s="2" t="s">
        <v>1130</v>
      </c>
      <c r="Q266" s="2" t="s">
        <v>422</v>
      </c>
      <c r="R266" s="2">
        <v>1660</v>
      </c>
      <c r="S266" s="2"/>
      <c r="T266" s="2">
        <v>154</v>
      </c>
      <c r="U266" s="39">
        <f>IF(I266="N",T266*Supuestos!$B$4,T266*Supuestos!$C$4)*100</f>
        <v>6.5900181935852942</v>
      </c>
      <c r="V266" s="20">
        <f t="shared" si="24"/>
        <v>15.174464935064933</v>
      </c>
      <c r="W266" s="2">
        <f t="shared" si="22"/>
        <v>38962</v>
      </c>
      <c r="X266" s="2">
        <f t="shared" si="23"/>
        <v>1667.2746029770794</v>
      </c>
    </row>
    <row r="267" spans="1:24" x14ac:dyDescent="0.25">
      <c r="A267" s="6" t="s">
        <v>52</v>
      </c>
      <c r="B267" s="6" t="s">
        <v>346</v>
      </c>
      <c r="C267" s="6" t="s">
        <v>401</v>
      </c>
      <c r="D267" s="6" t="s">
        <v>72</v>
      </c>
      <c r="E267" s="11" t="str">
        <f t="shared" si="20"/>
        <v>SUV</v>
      </c>
      <c r="F267" s="6" t="s">
        <v>21</v>
      </c>
      <c r="G267" s="11">
        <v>1800</v>
      </c>
      <c r="H267" s="6" t="s">
        <v>1050</v>
      </c>
      <c r="I267" s="6" t="str">
        <f t="shared" si="21"/>
        <v>N</v>
      </c>
      <c r="J267" s="17" t="s">
        <v>421</v>
      </c>
      <c r="K267" s="6">
        <v>122</v>
      </c>
      <c r="L267" s="9">
        <v>229</v>
      </c>
      <c r="M267" s="2">
        <v>229</v>
      </c>
      <c r="N267" s="2">
        <v>38990</v>
      </c>
      <c r="O267" s="2" t="s">
        <v>1060</v>
      </c>
      <c r="P267" s="2" t="s">
        <v>1125</v>
      </c>
      <c r="Q267" s="2" t="s">
        <v>444</v>
      </c>
      <c r="R267" s="2">
        <v>1850</v>
      </c>
      <c r="S267" s="2"/>
      <c r="T267" s="2">
        <v>98</v>
      </c>
      <c r="U267" s="39">
        <f>IF(I267="N",T267*Supuestos!$B$4,T267*Supuestos!$C$4)*100</f>
        <v>4.1936479413724594</v>
      </c>
      <c r="V267" s="20">
        <f t="shared" si="24"/>
        <v>23.845587755102041</v>
      </c>
      <c r="W267" s="2">
        <f t="shared" si="22"/>
        <v>22442</v>
      </c>
      <c r="X267" s="2">
        <f t="shared" si="23"/>
        <v>960.34537857429325</v>
      </c>
    </row>
    <row r="268" spans="1:24" x14ac:dyDescent="0.25">
      <c r="A268" s="6" t="s">
        <v>17</v>
      </c>
      <c r="B268" s="6" t="s">
        <v>572</v>
      </c>
      <c r="C268" s="6" t="s">
        <v>401</v>
      </c>
      <c r="D268" s="6" t="s">
        <v>72</v>
      </c>
      <c r="E268" s="11" t="str">
        <f t="shared" si="20"/>
        <v>SUV</v>
      </c>
      <c r="F268" s="6" t="s">
        <v>14</v>
      </c>
      <c r="G268" s="11"/>
      <c r="H268" s="6" t="s">
        <v>1051</v>
      </c>
      <c r="I268" s="6" t="str">
        <f t="shared" si="21"/>
        <v>E</v>
      </c>
      <c r="J268" s="17" t="s">
        <v>418</v>
      </c>
      <c r="K268" s="6">
        <v>201</v>
      </c>
      <c r="L268" s="9">
        <v>226</v>
      </c>
      <c r="M268" s="21">
        <v>226</v>
      </c>
      <c r="N268" s="2">
        <v>46990</v>
      </c>
      <c r="O268" s="2" t="s">
        <v>1060</v>
      </c>
      <c r="P268" s="2" t="s">
        <v>1335</v>
      </c>
      <c r="Q268" s="2"/>
      <c r="R268" s="2">
        <v>1960</v>
      </c>
      <c r="S268" s="2">
        <v>5.8</v>
      </c>
      <c r="T268" s="2"/>
      <c r="U268" s="39">
        <f>IF(I268="N",T268*Supuestos!$B$4,T268*Supuestos!$C$4)*100</f>
        <v>0</v>
      </c>
      <c r="V268" s="20">
        <f t="shared" si="24"/>
        <v>0</v>
      </c>
      <c r="W268" s="2">
        <f t="shared" si="22"/>
        <v>0</v>
      </c>
      <c r="X268" s="2">
        <f t="shared" si="23"/>
        <v>0</v>
      </c>
    </row>
    <row r="269" spans="1:24" x14ac:dyDescent="0.25">
      <c r="A269" s="6" t="s">
        <v>19</v>
      </c>
      <c r="B269" s="6" t="s">
        <v>160</v>
      </c>
      <c r="C269" s="6" t="s">
        <v>401</v>
      </c>
      <c r="D269" s="6" t="s">
        <v>72</v>
      </c>
      <c r="E269" s="11" t="str">
        <f t="shared" si="20"/>
        <v>SUV</v>
      </c>
      <c r="F269" s="6" t="s">
        <v>21</v>
      </c>
      <c r="G269" s="11">
        <v>1200</v>
      </c>
      <c r="H269" s="6" t="s">
        <v>1050</v>
      </c>
      <c r="I269" s="6" t="str">
        <f t="shared" si="21"/>
        <v>N</v>
      </c>
      <c r="J269" s="17" t="s">
        <v>9</v>
      </c>
      <c r="K269" s="6">
        <v>130</v>
      </c>
      <c r="L269" s="9">
        <v>220</v>
      </c>
      <c r="M269" s="2">
        <v>220</v>
      </c>
      <c r="N269" s="2">
        <v>31490</v>
      </c>
      <c r="O269" s="2" t="s">
        <v>1060</v>
      </c>
      <c r="P269" s="2" t="s">
        <v>445</v>
      </c>
      <c r="Q269" s="2" t="s">
        <v>424</v>
      </c>
      <c r="R269" s="2">
        <v>1714</v>
      </c>
      <c r="S269" s="2"/>
      <c r="T269" s="2">
        <v>158</v>
      </c>
      <c r="U269" s="39">
        <f>IF(I269="N",T269*Supuestos!$B$4,T269*Supuestos!$C$4)*100</f>
        <v>6.7611874973147819</v>
      </c>
      <c r="V269" s="20">
        <f t="shared" si="24"/>
        <v>14.790301265822784</v>
      </c>
      <c r="W269" s="2">
        <f t="shared" si="22"/>
        <v>34760</v>
      </c>
      <c r="X269" s="2">
        <f t="shared" si="23"/>
        <v>1487.4612494092521</v>
      </c>
    </row>
    <row r="270" spans="1:24" x14ac:dyDescent="0.25">
      <c r="A270" s="6" t="s">
        <v>29</v>
      </c>
      <c r="B270" s="6" t="s">
        <v>654</v>
      </c>
      <c r="C270" s="6" t="s">
        <v>401</v>
      </c>
      <c r="D270" s="6" t="s">
        <v>72</v>
      </c>
      <c r="E270" s="11" t="str">
        <f t="shared" si="20"/>
        <v>SUV</v>
      </c>
      <c r="F270" s="6" t="s">
        <v>21</v>
      </c>
      <c r="G270" s="11">
        <v>1000</v>
      </c>
      <c r="H270" s="6" t="s">
        <v>1050</v>
      </c>
      <c r="I270" s="6" t="str">
        <f t="shared" si="21"/>
        <v>N</v>
      </c>
      <c r="J270" s="17" t="s">
        <v>9</v>
      </c>
      <c r="K270" s="6">
        <v>120</v>
      </c>
      <c r="L270" s="9">
        <v>203</v>
      </c>
      <c r="M270" s="2">
        <v>203</v>
      </c>
      <c r="N270" s="2">
        <v>30990</v>
      </c>
      <c r="O270" s="2" t="s">
        <v>1060</v>
      </c>
      <c r="P270" s="2" t="s">
        <v>1131</v>
      </c>
      <c r="Q270" s="2" t="s">
        <v>1107</v>
      </c>
      <c r="R270" s="2">
        <v>1661</v>
      </c>
      <c r="S270" s="2"/>
      <c r="T270" s="2">
        <v>150</v>
      </c>
      <c r="U270" s="39">
        <f>IF(I270="N",T270*Supuestos!$B$4,T270*Supuestos!$C$4)*100</f>
        <v>6.4188488898558047</v>
      </c>
      <c r="V270" s="20">
        <f t="shared" si="24"/>
        <v>15.579117333333334</v>
      </c>
      <c r="W270" s="2">
        <f t="shared" si="22"/>
        <v>30450</v>
      </c>
      <c r="X270" s="2">
        <f t="shared" si="23"/>
        <v>1303.0263246407283</v>
      </c>
    </row>
    <row r="271" spans="1:24" x14ac:dyDescent="0.25">
      <c r="A271" s="6" t="s">
        <v>62</v>
      </c>
      <c r="B271" s="6" t="s">
        <v>884</v>
      </c>
      <c r="C271" s="6" t="s">
        <v>401</v>
      </c>
      <c r="D271" s="6" t="s">
        <v>72</v>
      </c>
      <c r="E271" s="11" t="str">
        <f t="shared" si="20"/>
        <v>SUV</v>
      </c>
      <c r="F271" s="6" t="s">
        <v>21</v>
      </c>
      <c r="G271" s="11">
        <v>1600</v>
      </c>
      <c r="H271" s="6" t="s">
        <v>1050</v>
      </c>
      <c r="I271" s="6" t="str">
        <f t="shared" si="21"/>
        <v>N</v>
      </c>
      <c r="J271" s="17" t="s">
        <v>9</v>
      </c>
      <c r="K271" s="6">
        <v>115</v>
      </c>
      <c r="L271" s="9">
        <v>197</v>
      </c>
      <c r="M271" s="2">
        <v>197</v>
      </c>
      <c r="N271" s="2">
        <v>22400</v>
      </c>
      <c r="O271" s="2" t="s">
        <v>1053</v>
      </c>
      <c r="P271" s="2" t="s">
        <v>1069</v>
      </c>
      <c r="Q271" s="2" t="s">
        <v>422</v>
      </c>
      <c r="R271" s="2">
        <v>1585</v>
      </c>
      <c r="S271" s="2"/>
      <c r="T271" s="2">
        <v>169</v>
      </c>
      <c r="U271" s="39">
        <f>IF(I271="N",T271*Supuestos!$B$4,T271*Supuestos!$C$4)*100</f>
        <v>7.2319030825708746</v>
      </c>
      <c r="V271" s="20">
        <f t="shared" si="24"/>
        <v>13.827618934911241</v>
      </c>
      <c r="W271" s="2">
        <f t="shared" si="22"/>
        <v>33293</v>
      </c>
      <c r="X271" s="2">
        <f t="shared" si="23"/>
        <v>1424.6849072664622</v>
      </c>
    </row>
    <row r="272" spans="1:24" x14ac:dyDescent="0.25">
      <c r="A272" s="6" t="s">
        <v>81</v>
      </c>
      <c r="B272" s="6" t="s">
        <v>635</v>
      </c>
      <c r="C272" s="6" t="s">
        <v>401</v>
      </c>
      <c r="D272" s="6" t="s">
        <v>72</v>
      </c>
      <c r="E272" s="11" t="str">
        <f t="shared" si="20"/>
        <v>SUV</v>
      </c>
      <c r="F272" s="6" t="s">
        <v>21</v>
      </c>
      <c r="G272" s="11">
        <v>1600</v>
      </c>
      <c r="H272" s="6" t="s">
        <v>1050</v>
      </c>
      <c r="I272" s="6" t="str">
        <f t="shared" si="21"/>
        <v>N</v>
      </c>
      <c r="J272" s="17" t="s">
        <v>9</v>
      </c>
      <c r="K272" s="6">
        <v>115</v>
      </c>
      <c r="L272" s="9">
        <v>194</v>
      </c>
      <c r="M272" s="2">
        <v>194</v>
      </c>
      <c r="N272" s="2">
        <v>24990</v>
      </c>
      <c r="O272" s="2" t="s">
        <v>1055</v>
      </c>
      <c r="P272" s="2" t="s">
        <v>1134</v>
      </c>
      <c r="Q272" s="2" t="s">
        <v>429</v>
      </c>
      <c r="R272" s="2">
        <v>1604</v>
      </c>
      <c r="S272" s="2"/>
      <c r="T272" s="2">
        <v>177.53</v>
      </c>
      <c r="U272" s="39">
        <f>IF(I272="N",T272*Supuestos!$B$4,T272*Supuestos!$C$4)*100</f>
        <v>7.5969216227740066</v>
      </c>
      <c r="V272" s="20">
        <f t="shared" si="24"/>
        <v>13.163226496930097</v>
      </c>
      <c r="W272" s="2">
        <f t="shared" si="22"/>
        <v>34440.82</v>
      </c>
      <c r="X272" s="2">
        <f t="shared" si="23"/>
        <v>1473.8027948181573</v>
      </c>
    </row>
    <row r="273" spans="1:24" x14ac:dyDescent="0.25">
      <c r="A273" s="6" t="s">
        <v>46</v>
      </c>
      <c r="B273" s="6" t="s">
        <v>280</v>
      </c>
      <c r="C273" s="6" t="s">
        <v>401</v>
      </c>
      <c r="D273" s="6" t="s">
        <v>72</v>
      </c>
      <c r="E273" s="11" t="str">
        <f t="shared" si="20"/>
        <v>SUV</v>
      </c>
      <c r="F273" s="6" t="s">
        <v>24</v>
      </c>
      <c r="G273" s="11">
        <v>1600</v>
      </c>
      <c r="H273" s="6" t="s">
        <v>1050</v>
      </c>
      <c r="I273" s="6" t="str">
        <f t="shared" si="21"/>
        <v>N</v>
      </c>
      <c r="J273" s="17" t="s">
        <v>9</v>
      </c>
      <c r="K273" s="6">
        <v>118</v>
      </c>
      <c r="L273" s="9">
        <v>192</v>
      </c>
      <c r="M273" s="2">
        <v>192</v>
      </c>
      <c r="N273" s="2">
        <v>31990</v>
      </c>
      <c r="O273" s="2" t="s">
        <v>1053</v>
      </c>
      <c r="P273" s="2" t="s">
        <v>1127</v>
      </c>
      <c r="Q273" s="2" t="s">
        <v>1080</v>
      </c>
      <c r="R273" s="2">
        <v>1561</v>
      </c>
      <c r="S273" s="2"/>
      <c r="T273" s="2">
        <v>146</v>
      </c>
      <c r="U273" s="39">
        <f>IF(I273="N",T273*Supuestos!$B$4,T273*Supuestos!$C$4)*100</f>
        <v>6.247679586126317</v>
      </c>
      <c r="V273" s="20">
        <f t="shared" si="24"/>
        <v>16.005942465753424</v>
      </c>
      <c r="W273" s="2">
        <f t="shared" si="22"/>
        <v>28032</v>
      </c>
      <c r="X273" s="2">
        <f t="shared" si="23"/>
        <v>1199.5544805362529</v>
      </c>
    </row>
    <row r="274" spans="1:24" x14ac:dyDescent="0.25">
      <c r="A274" s="6" t="s">
        <v>34</v>
      </c>
      <c r="B274" s="6" t="s">
        <v>711</v>
      </c>
      <c r="C274" s="6" t="s">
        <v>401</v>
      </c>
      <c r="D274" s="6" t="s">
        <v>72</v>
      </c>
      <c r="E274" s="11" t="str">
        <f t="shared" si="20"/>
        <v>SUV</v>
      </c>
      <c r="F274" s="6" t="s">
        <v>21</v>
      </c>
      <c r="G274" s="11">
        <v>1000</v>
      </c>
      <c r="H274" s="6" t="s">
        <v>1050</v>
      </c>
      <c r="I274" s="6" t="str">
        <f t="shared" si="21"/>
        <v>N</v>
      </c>
      <c r="J274" s="17" t="s">
        <v>9</v>
      </c>
      <c r="K274" s="6">
        <v>120</v>
      </c>
      <c r="L274" s="9">
        <v>189</v>
      </c>
      <c r="M274" s="2">
        <v>189</v>
      </c>
      <c r="N274" s="2">
        <v>32990</v>
      </c>
      <c r="O274" s="2" t="s">
        <v>1053</v>
      </c>
      <c r="P274" s="2" t="s">
        <v>1128</v>
      </c>
      <c r="Q274" s="2" t="s">
        <v>429</v>
      </c>
      <c r="R274" s="2">
        <v>1700</v>
      </c>
      <c r="S274" s="2"/>
      <c r="T274" s="2">
        <v>133</v>
      </c>
      <c r="U274" s="39">
        <f>IF(I274="N",T274*Supuestos!$B$4,T274*Supuestos!$C$4)*100</f>
        <v>5.6913793490054809</v>
      </c>
      <c r="V274" s="20">
        <f t="shared" si="24"/>
        <v>17.570433082706767</v>
      </c>
      <c r="W274" s="2">
        <f t="shared" si="22"/>
        <v>25137</v>
      </c>
      <c r="X274" s="2">
        <f t="shared" si="23"/>
        <v>1075.6706969620359</v>
      </c>
    </row>
    <row r="275" spans="1:24" x14ac:dyDescent="0.25">
      <c r="A275" s="6" t="s">
        <v>85</v>
      </c>
      <c r="B275" s="6" t="s">
        <v>757</v>
      </c>
      <c r="C275" s="6" t="s">
        <v>401</v>
      </c>
      <c r="D275" s="6" t="s">
        <v>72</v>
      </c>
      <c r="E275" s="11" t="str">
        <f t="shared" si="20"/>
        <v>SUV</v>
      </c>
      <c r="F275" s="6" t="s">
        <v>14</v>
      </c>
      <c r="G275" s="11">
        <v>1500</v>
      </c>
      <c r="H275" s="6" t="s">
        <v>1050</v>
      </c>
      <c r="I275" s="6" t="str">
        <f t="shared" si="21"/>
        <v>N</v>
      </c>
      <c r="J275" s="17" t="s">
        <v>9</v>
      </c>
      <c r="K275" s="6">
        <v>156</v>
      </c>
      <c r="L275" s="9">
        <v>189</v>
      </c>
      <c r="M275" s="2">
        <v>189</v>
      </c>
      <c r="N275" s="2">
        <v>36990</v>
      </c>
      <c r="O275" s="2" t="s">
        <v>1060</v>
      </c>
      <c r="P275" s="2" t="s">
        <v>1136</v>
      </c>
      <c r="Q275" s="2" t="s">
        <v>424</v>
      </c>
      <c r="R275" s="2">
        <v>2105</v>
      </c>
      <c r="S275" s="2"/>
      <c r="T275" s="2">
        <v>212</v>
      </c>
      <c r="U275" s="39">
        <f>IF(I275="N",T275*Supuestos!$B$4,T275*Supuestos!$C$4)*100</f>
        <v>9.0719730976628714</v>
      </c>
      <c r="V275" s="20">
        <f t="shared" si="24"/>
        <v>11.022960377358491</v>
      </c>
      <c r="W275" s="2">
        <f t="shared" si="22"/>
        <v>40068</v>
      </c>
      <c r="X275" s="2">
        <f t="shared" si="23"/>
        <v>1714.6029154582827</v>
      </c>
    </row>
    <row r="276" spans="1:24" x14ac:dyDescent="0.25">
      <c r="A276" s="6" t="s">
        <v>53</v>
      </c>
      <c r="B276" s="6" t="s">
        <v>393</v>
      </c>
      <c r="C276" s="6" t="s">
        <v>401</v>
      </c>
      <c r="D276" s="6" t="s">
        <v>72</v>
      </c>
      <c r="E276" s="11" t="str">
        <f t="shared" si="20"/>
        <v>SUV</v>
      </c>
      <c r="F276" s="6" t="s">
        <v>21</v>
      </c>
      <c r="G276" s="11">
        <v>1000</v>
      </c>
      <c r="H276" s="6" t="s">
        <v>1050</v>
      </c>
      <c r="I276" s="6" t="str">
        <f t="shared" si="21"/>
        <v>N</v>
      </c>
      <c r="J276" s="17" t="s">
        <v>9</v>
      </c>
      <c r="K276" s="6">
        <v>116</v>
      </c>
      <c r="L276" s="9">
        <v>186</v>
      </c>
      <c r="M276" s="2">
        <v>186</v>
      </c>
      <c r="N276" s="2">
        <v>30490</v>
      </c>
      <c r="O276" s="2" t="s">
        <v>1053</v>
      </c>
      <c r="P276" s="2" t="s">
        <v>1130</v>
      </c>
      <c r="Q276" s="2" t="s">
        <v>422</v>
      </c>
      <c r="R276" s="2">
        <v>1660</v>
      </c>
      <c r="S276" s="2"/>
      <c r="T276" s="2">
        <v>154</v>
      </c>
      <c r="U276" s="39">
        <f>IF(I276="N",T276*Supuestos!$B$4,T276*Supuestos!$C$4)*100</f>
        <v>6.5900181935852942</v>
      </c>
      <c r="V276" s="20">
        <f t="shared" si="24"/>
        <v>15.174464935064933</v>
      </c>
      <c r="W276" s="2">
        <f t="shared" si="22"/>
        <v>28644</v>
      </c>
      <c r="X276" s="2">
        <f t="shared" si="23"/>
        <v>1225.7433840068647</v>
      </c>
    </row>
    <row r="277" spans="1:24" x14ac:dyDescent="0.25">
      <c r="A277" s="6" t="s">
        <v>85</v>
      </c>
      <c r="B277" s="6" t="s">
        <v>237</v>
      </c>
      <c r="C277" s="6" t="s">
        <v>401</v>
      </c>
      <c r="D277" s="6" t="s">
        <v>72</v>
      </c>
      <c r="E277" s="11" t="str">
        <f t="shared" si="20"/>
        <v>SUV</v>
      </c>
      <c r="F277" s="6" t="s">
        <v>14</v>
      </c>
      <c r="G277" s="11">
        <v>1500</v>
      </c>
      <c r="H277" s="6" t="s">
        <v>1050</v>
      </c>
      <c r="I277" s="6" t="str">
        <f t="shared" si="21"/>
        <v>N</v>
      </c>
      <c r="J277" s="17" t="s">
        <v>9</v>
      </c>
      <c r="K277" s="6">
        <v>147</v>
      </c>
      <c r="L277" s="9">
        <v>163</v>
      </c>
      <c r="M277" s="2">
        <v>163</v>
      </c>
      <c r="N277" s="2">
        <v>29790</v>
      </c>
      <c r="O277" s="2" t="s">
        <v>1060</v>
      </c>
      <c r="P277" s="2" t="s">
        <v>1135</v>
      </c>
      <c r="Q277" s="2" t="s">
        <v>424</v>
      </c>
      <c r="R277" s="2">
        <v>2045</v>
      </c>
      <c r="S277" s="2"/>
      <c r="T277" s="2">
        <v>179</v>
      </c>
      <c r="U277" s="39">
        <f>IF(I277="N",T277*Supuestos!$B$4,T277*Supuestos!$C$4)*100</f>
        <v>7.6598263418945951</v>
      </c>
      <c r="V277" s="20">
        <f t="shared" si="24"/>
        <v>13.05512625698324</v>
      </c>
      <c r="W277" s="2">
        <f t="shared" si="22"/>
        <v>29177</v>
      </c>
      <c r="X277" s="2">
        <f t="shared" si="23"/>
        <v>1248.5516937288189</v>
      </c>
    </row>
    <row r="278" spans="1:24" x14ac:dyDescent="0.25">
      <c r="A278" s="6" t="s">
        <v>85</v>
      </c>
      <c r="B278" s="6" t="s">
        <v>758</v>
      </c>
      <c r="C278" s="6" t="s">
        <v>401</v>
      </c>
      <c r="D278" s="6" t="s">
        <v>72</v>
      </c>
      <c r="E278" s="11" t="str">
        <f t="shared" si="20"/>
        <v>SUV</v>
      </c>
      <c r="F278" s="6" t="s">
        <v>14</v>
      </c>
      <c r="G278" s="11">
        <v>1500</v>
      </c>
      <c r="H278" s="6" t="s">
        <v>1050</v>
      </c>
      <c r="I278" s="6" t="str">
        <f t="shared" si="21"/>
        <v>N</v>
      </c>
      <c r="J278" s="17" t="s">
        <v>9</v>
      </c>
      <c r="K278" s="6">
        <v>147</v>
      </c>
      <c r="L278" s="9">
        <v>155</v>
      </c>
      <c r="M278" s="2">
        <v>155</v>
      </c>
      <c r="N278" s="2">
        <v>26490</v>
      </c>
      <c r="O278" s="2" t="s">
        <v>1060</v>
      </c>
      <c r="P278" s="2" t="s">
        <v>1135</v>
      </c>
      <c r="Q278" s="2" t="s">
        <v>424</v>
      </c>
      <c r="R278" s="2">
        <v>2045</v>
      </c>
      <c r="S278" s="2"/>
      <c r="T278" s="2">
        <v>179</v>
      </c>
      <c r="U278" s="39">
        <f>IF(I278="N",T278*Supuestos!$B$4,T278*Supuestos!$C$4)*100</f>
        <v>7.6598263418945951</v>
      </c>
      <c r="V278" s="20">
        <f t="shared" si="24"/>
        <v>13.05512625698324</v>
      </c>
      <c r="W278" s="2">
        <f t="shared" si="22"/>
        <v>27745</v>
      </c>
      <c r="X278" s="2">
        <f t="shared" si="23"/>
        <v>1187.2730829936622</v>
      </c>
    </row>
    <row r="279" spans="1:24" x14ac:dyDescent="0.25">
      <c r="A279" s="6" t="s">
        <v>53</v>
      </c>
      <c r="B279" s="6" t="s">
        <v>1027</v>
      </c>
      <c r="C279" s="6" t="s">
        <v>401</v>
      </c>
      <c r="D279" s="6" t="s">
        <v>72</v>
      </c>
      <c r="E279" s="11" t="str">
        <f t="shared" si="20"/>
        <v>SUV</v>
      </c>
      <c r="F279" s="6" t="s">
        <v>23</v>
      </c>
      <c r="G279" s="11">
        <v>1400</v>
      </c>
      <c r="H279" s="6" t="s">
        <v>1050</v>
      </c>
      <c r="I279" s="6" t="str">
        <f t="shared" si="21"/>
        <v>N</v>
      </c>
      <c r="J279" s="17" t="s">
        <v>9</v>
      </c>
      <c r="K279" s="6">
        <v>150</v>
      </c>
      <c r="L279" s="9">
        <v>146</v>
      </c>
      <c r="M279" s="2">
        <v>146</v>
      </c>
      <c r="N279" s="2">
        <v>45590</v>
      </c>
      <c r="O279" s="2" t="s">
        <v>1053</v>
      </c>
      <c r="P279" s="2" t="s">
        <v>1137</v>
      </c>
      <c r="Q279" s="2" t="s">
        <v>424</v>
      </c>
      <c r="R279" s="2">
        <v>1890</v>
      </c>
      <c r="S279" s="2"/>
      <c r="T279" s="2">
        <v>151</v>
      </c>
      <c r="U279" s="39">
        <f>IF(I279="N",T279*Supuestos!$B$4,T279*Supuestos!$C$4)*100</f>
        <v>6.4616412157881777</v>
      </c>
      <c r="V279" s="20">
        <f t="shared" si="24"/>
        <v>15.475944370860926</v>
      </c>
      <c r="W279" s="2">
        <f t="shared" si="22"/>
        <v>22046</v>
      </c>
      <c r="X279" s="2">
        <f t="shared" si="23"/>
        <v>943.39961750507393</v>
      </c>
    </row>
    <row r="280" spans="1:24" x14ac:dyDescent="0.25">
      <c r="A280" s="6" t="s">
        <v>62</v>
      </c>
      <c r="B280" s="6" t="s">
        <v>886</v>
      </c>
      <c r="C280" s="6" t="s">
        <v>401</v>
      </c>
      <c r="D280" s="6" t="s">
        <v>72</v>
      </c>
      <c r="E280" s="11" t="str">
        <f t="shared" si="20"/>
        <v>SUV</v>
      </c>
      <c r="F280" s="6" t="s">
        <v>21</v>
      </c>
      <c r="G280" s="11">
        <v>1600</v>
      </c>
      <c r="H280" s="6" t="s">
        <v>1050</v>
      </c>
      <c r="I280" s="6" t="str">
        <f t="shared" si="21"/>
        <v>N</v>
      </c>
      <c r="J280" s="17" t="s">
        <v>9</v>
      </c>
      <c r="K280" s="6">
        <v>115</v>
      </c>
      <c r="L280" s="9">
        <v>139</v>
      </c>
      <c r="M280" s="2">
        <v>139</v>
      </c>
      <c r="N280" s="2">
        <v>25500</v>
      </c>
      <c r="O280" s="2" t="s">
        <v>1053</v>
      </c>
      <c r="P280" s="2" t="s">
        <v>1069</v>
      </c>
      <c r="Q280" s="2" t="s">
        <v>422</v>
      </c>
      <c r="R280" s="2">
        <v>1585</v>
      </c>
      <c r="S280" s="2"/>
      <c r="T280" s="2">
        <v>169</v>
      </c>
      <c r="U280" s="39">
        <f>IF(I280="N",T280*Supuestos!$B$4,T280*Supuestos!$C$4)*100</f>
        <v>7.2319030825708746</v>
      </c>
      <c r="V280" s="20">
        <f t="shared" si="24"/>
        <v>13.827618934911241</v>
      </c>
      <c r="W280" s="2">
        <f t="shared" si="22"/>
        <v>23491</v>
      </c>
      <c r="X280" s="2">
        <f t="shared" si="23"/>
        <v>1005.2345284773515</v>
      </c>
    </row>
    <row r="281" spans="1:24" x14ac:dyDescent="0.25">
      <c r="A281" s="6" t="s">
        <v>18</v>
      </c>
      <c r="B281" s="6" t="s">
        <v>136</v>
      </c>
      <c r="C281" s="6" t="s">
        <v>401</v>
      </c>
      <c r="D281" s="6" t="s">
        <v>72</v>
      </c>
      <c r="E281" s="11" t="str">
        <f t="shared" si="20"/>
        <v>SUV</v>
      </c>
      <c r="F281" s="6" t="s">
        <v>14</v>
      </c>
      <c r="G281" s="11">
        <v>1500</v>
      </c>
      <c r="H281" s="6" t="s">
        <v>1050</v>
      </c>
      <c r="I281" s="6" t="str">
        <f t="shared" si="21"/>
        <v>N</v>
      </c>
      <c r="J281" s="17" t="s">
        <v>9</v>
      </c>
      <c r="K281" s="6">
        <v>106</v>
      </c>
      <c r="L281" s="9">
        <v>137</v>
      </c>
      <c r="M281" s="2">
        <v>137</v>
      </c>
      <c r="N281" s="2">
        <v>19990</v>
      </c>
      <c r="O281" s="2" t="s">
        <v>1053</v>
      </c>
      <c r="P281" s="2" t="s">
        <v>1140</v>
      </c>
      <c r="Q281" s="2" t="s">
        <v>424</v>
      </c>
      <c r="R281" s="2">
        <v>1650</v>
      </c>
      <c r="S281" s="2"/>
      <c r="T281" s="2">
        <v>169</v>
      </c>
      <c r="U281" s="39">
        <f>IF(I281="N",T281*Supuestos!$B$4,T281*Supuestos!$C$4)*100</f>
        <v>7.2319030825708746</v>
      </c>
      <c r="V281" s="20">
        <f t="shared" si="24"/>
        <v>13.827618934911241</v>
      </c>
      <c r="W281" s="2">
        <f t="shared" si="22"/>
        <v>23153</v>
      </c>
      <c r="X281" s="2">
        <f t="shared" si="23"/>
        <v>990.77072231220984</v>
      </c>
    </row>
    <row r="282" spans="1:24" x14ac:dyDescent="0.25">
      <c r="A282" s="6" t="s">
        <v>33</v>
      </c>
      <c r="B282" s="6" t="s">
        <v>700</v>
      </c>
      <c r="C282" s="6" t="s">
        <v>401</v>
      </c>
      <c r="D282" s="6" t="s">
        <v>72</v>
      </c>
      <c r="E282" s="11" t="str">
        <f t="shared" si="20"/>
        <v>SUV</v>
      </c>
      <c r="F282" s="6" t="s">
        <v>21</v>
      </c>
      <c r="G282" s="11">
        <v>1500</v>
      </c>
      <c r="H282" s="6" t="s">
        <v>1050</v>
      </c>
      <c r="I282" s="6" t="str">
        <f t="shared" si="21"/>
        <v>N</v>
      </c>
      <c r="J282" s="17" t="s">
        <v>9</v>
      </c>
      <c r="K282" s="6">
        <v>118</v>
      </c>
      <c r="L282" s="9">
        <v>134</v>
      </c>
      <c r="M282" s="2">
        <v>134</v>
      </c>
      <c r="N282" s="2">
        <v>27900</v>
      </c>
      <c r="O282" s="2" t="s">
        <v>1060</v>
      </c>
      <c r="P282" s="2" t="s">
        <v>1102</v>
      </c>
      <c r="Q282" s="2" t="s">
        <v>424</v>
      </c>
      <c r="R282" s="2">
        <v>1590</v>
      </c>
      <c r="S282" s="2"/>
      <c r="T282" s="2">
        <v>157</v>
      </c>
      <c r="U282" s="39">
        <f>IF(I282="N",T282*Supuestos!$B$4,T282*Supuestos!$C$4)*100</f>
        <v>6.7183951713824088</v>
      </c>
      <c r="V282" s="20">
        <f t="shared" si="24"/>
        <v>14.884507006369429</v>
      </c>
      <c r="W282" s="2">
        <f t="shared" si="22"/>
        <v>21038</v>
      </c>
      <c r="X282" s="2">
        <f t="shared" si="23"/>
        <v>900.26495296524274</v>
      </c>
    </row>
    <row r="283" spans="1:24" x14ac:dyDescent="0.25">
      <c r="A283" s="6" t="s">
        <v>18</v>
      </c>
      <c r="B283" s="6" t="s">
        <v>589</v>
      </c>
      <c r="C283" s="6" t="s">
        <v>401</v>
      </c>
      <c r="D283" s="6" t="s">
        <v>72</v>
      </c>
      <c r="E283" s="11" t="str">
        <f t="shared" si="20"/>
        <v>SUV</v>
      </c>
      <c r="F283" s="6" t="s">
        <v>14</v>
      </c>
      <c r="G283" s="11">
        <v>1000</v>
      </c>
      <c r="H283" s="6" t="s">
        <v>1050</v>
      </c>
      <c r="I283" s="6" t="str">
        <f t="shared" si="21"/>
        <v>N</v>
      </c>
      <c r="J283" s="17" t="s">
        <v>9</v>
      </c>
      <c r="K283" s="6">
        <v>100</v>
      </c>
      <c r="L283" s="9">
        <v>129</v>
      </c>
      <c r="M283" s="2">
        <v>129</v>
      </c>
      <c r="N283" s="2">
        <v>19990</v>
      </c>
      <c r="O283" s="2" t="s">
        <v>1053</v>
      </c>
      <c r="P283" s="2" t="s">
        <v>1138</v>
      </c>
      <c r="Q283" s="2" t="s">
        <v>424</v>
      </c>
      <c r="R283" s="2">
        <v>1637</v>
      </c>
      <c r="S283" s="2"/>
      <c r="T283" s="2">
        <v>157</v>
      </c>
      <c r="U283" s="39">
        <f>IF(I283="N",T283*Supuestos!$B$4,T283*Supuestos!$C$4)*100</f>
        <v>6.7183951713824088</v>
      </c>
      <c r="V283" s="20">
        <f t="shared" si="24"/>
        <v>14.884507006369429</v>
      </c>
      <c r="W283" s="2">
        <f t="shared" si="22"/>
        <v>20253</v>
      </c>
      <c r="X283" s="2">
        <f t="shared" si="23"/>
        <v>866.67297710833077</v>
      </c>
    </row>
    <row r="284" spans="1:24" x14ac:dyDescent="0.25">
      <c r="A284" s="6" t="s">
        <v>29</v>
      </c>
      <c r="B284" s="6" t="s">
        <v>664</v>
      </c>
      <c r="C284" s="6" t="s">
        <v>401</v>
      </c>
      <c r="D284" s="6" t="s">
        <v>72</v>
      </c>
      <c r="E284" s="11" t="str">
        <f t="shared" si="20"/>
        <v>SUV</v>
      </c>
      <c r="F284" s="6" t="s">
        <v>21</v>
      </c>
      <c r="G284" s="11">
        <v>1300</v>
      </c>
      <c r="H284" s="6" t="s">
        <v>1050</v>
      </c>
      <c r="I284" s="6" t="str">
        <f t="shared" si="21"/>
        <v>N</v>
      </c>
      <c r="J284" s="17" t="s">
        <v>9</v>
      </c>
      <c r="K284" s="6">
        <v>99</v>
      </c>
      <c r="L284" s="9">
        <v>129</v>
      </c>
      <c r="M284" s="2">
        <v>129</v>
      </c>
      <c r="N284" s="2">
        <v>23990</v>
      </c>
      <c r="O284" s="2" t="s">
        <v>1060</v>
      </c>
      <c r="P284" s="2" t="s">
        <v>1143</v>
      </c>
      <c r="Q284" s="2" t="s">
        <v>424</v>
      </c>
      <c r="R284" s="2">
        <v>1540</v>
      </c>
      <c r="S284" s="2"/>
      <c r="T284" s="2">
        <v>148</v>
      </c>
      <c r="U284" s="39">
        <f>IF(I284="N",T284*Supuestos!$B$4,T284*Supuestos!$C$4)*100</f>
        <v>6.3332642379910613</v>
      </c>
      <c r="V284" s="20">
        <f t="shared" si="24"/>
        <v>15.789645945945946</v>
      </c>
      <c r="W284" s="2">
        <f t="shared" si="22"/>
        <v>19092</v>
      </c>
      <c r="X284" s="2">
        <f t="shared" si="23"/>
        <v>816.99108670084695</v>
      </c>
    </row>
    <row r="285" spans="1:24" x14ac:dyDescent="0.25">
      <c r="A285" s="6" t="s">
        <v>85</v>
      </c>
      <c r="B285" s="6" t="s">
        <v>236</v>
      </c>
      <c r="C285" s="6" t="s">
        <v>401</v>
      </c>
      <c r="D285" s="6" t="s">
        <v>72</v>
      </c>
      <c r="E285" s="11" t="str">
        <f t="shared" si="20"/>
        <v>SUV</v>
      </c>
      <c r="F285" s="6" t="s">
        <v>14</v>
      </c>
      <c r="G285" s="11">
        <v>1500</v>
      </c>
      <c r="H285" s="6" t="s">
        <v>1050</v>
      </c>
      <c r="I285" s="6" t="str">
        <f t="shared" si="21"/>
        <v>N</v>
      </c>
      <c r="J285" s="17" t="s">
        <v>9</v>
      </c>
      <c r="K285" s="6">
        <v>147</v>
      </c>
      <c r="L285" s="9">
        <v>123</v>
      </c>
      <c r="M285" s="2">
        <v>123</v>
      </c>
      <c r="N285" s="2">
        <v>32790</v>
      </c>
      <c r="O285" s="2" t="s">
        <v>1060</v>
      </c>
      <c r="P285" s="2" t="s">
        <v>1136</v>
      </c>
      <c r="Q285" s="2" t="s">
        <v>424</v>
      </c>
      <c r="R285" s="2">
        <v>2105</v>
      </c>
      <c r="S285" s="2"/>
      <c r="T285" s="2">
        <v>212</v>
      </c>
      <c r="U285" s="39">
        <f>IF(I285="N",T285*Supuestos!$B$4,T285*Supuestos!$C$4)*100</f>
        <v>9.0719730976628714</v>
      </c>
      <c r="V285" s="20">
        <f t="shared" si="24"/>
        <v>11.022960377358491</v>
      </c>
      <c r="W285" s="2">
        <f t="shared" si="22"/>
        <v>26076</v>
      </c>
      <c r="X285" s="2">
        <f t="shared" si="23"/>
        <v>1115.8526910125331</v>
      </c>
    </row>
    <row r="286" spans="1:24" x14ac:dyDescent="0.25">
      <c r="A286" s="6" t="s">
        <v>46</v>
      </c>
      <c r="B286" s="6" t="s">
        <v>279</v>
      </c>
      <c r="C286" s="6" t="s">
        <v>401</v>
      </c>
      <c r="D286" s="6" t="s">
        <v>72</v>
      </c>
      <c r="E286" s="11" t="str">
        <f t="shared" si="20"/>
        <v>SUV</v>
      </c>
      <c r="F286" s="6" t="s">
        <v>24</v>
      </c>
      <c r="G286" s="11">
        <v>1600</v>
      </c>
      <c r="H286" s="6" t="s">
        <v>1050</v>
      </c>
      <c r="I286" s="6" t="str">
        <f t="shared" si="21"/>
        <v>N</v>
      </c>
      <c r="J286" s="17" t="s">
        <v>9</v>
      </c>
      <c r="K286" s="6">
        <v>118</v>
      </c>
      <c r="L286" s="9">
        <v>115</v>
      </c>
      <c r="M286" s="2">
        <v>115</v>
      </c>
      <c r="N286" s="2">
        <v>30490</v>
      </c>
      <c r="O286" s="2" t="s">
        <v>1053</v>
      </c>
      <c r="P286" s="2" t="s">
        <v>1127</v>
      </c>
      <c r="Q286" s="2" t="s">
        <v>1080</v>
      </c>
      <c r="R286" s="2">
        <v>1517</v>
      </c>
      <c r="S286" s="2"/>
      <c r="T286" s="2">
        <v>141</v>
      </c>
      <c r="U286" s="39">
        <f>IF(I286="N",T286*Supuestos!$B$4,T286*Supuestos!$C$4)*100</f>
        <v>6.0337179564644572</v>
      </c>
      <c r="V286" s="20">
        <f t="shared" si="24"/>
        <v>16.573529078014182</v>
      </c>
      <c r="W286" s="2">
        <f t="shared" si="22"/>
        <v>16215</v>
      </c>
      <c r="X286" s="2">
        <f t="shared" si="23"/>
        <v>693.87756499341253</v>
      </c>
    </row>
    <row r="287" spans="1:24" x14ac:dyDescent="0.25">
      <c r="A287" s="6" t="s">
        <v>53</v>
      </c>
      <c r="B287" s="6" t="s">
        <v>1032</v>
      </c>
      <c r="C287" s="6" t="s">
        <v>401</v>
      </c>
      <c r="D287" s="6" t="s">
        <v>72</v>
      </c>
      <c r="E287" s="11" t="str">
        <f t="shared" si="20"/>
        <v>SUV</v>
      </c>
      <c r="F287" s="6" t="s">
        <v>21</v>
      </c>
      <c r="G287" s="11">
        <v>1000</v>
      </c>
      <c r="H287" s="6" t="s">
        <v>1050</v>
      </c>
      <c r="I287" s="6" t="str">
        <f t="shared" si="21"/>
        <v>N</v>
      </c>
      <c r="J287" s="17" t="s">
        <v>9</v>
      </c>
      <c r="K287" s="6">
        <v>95</v>
      </c>
      <c r="L287" s="9">
        <v>114</v>
      </c>
      <c r="M287" s="2">
        <v>114</v>
      </c>
      <c r="N287" s="2">
        <v>27690</v>
      </c>
      <c r="O287" s="2" t="s">
        <v>1053</v>
      </c>
      <c r="P287" s="2" t="s">
        <v>1129</v>
      </c>
      <c r="Q287" s="2" t="s">
        <v>422</v>
      </c>
      <c r="R287" s="2">
        <v>1660</v>
      </c>
      <c r="S287" s="2"/>
      <c r="T287" s="2">
        <v>142</v>
      </c>
      <c r="U287" s="39">
        <f>IF(I287="N",T287*Supuestos!$B$4,T287*Supuestos!$C$4)*100</f>
        <v>6.0765102823968293</v>
      </c>
      <c r="V287" s="20">
        <f t="shared" si="24"/>
        <v>16.456814084507041</v>
      </c>
      <c r="W287" s="2">
        <f t="shared" si="22"/>
        <v>16188</v>
      </c>
      <c r="X287" s="2">
        <f t="shared" si="23"/>
        <v>692.72217219323852</v>
      </c>
    </row>
    <row r="288" spans="1:24" x14ac:dyDescent="0.25">
      <c r="A288" s="6" t="s">
        <v>19</v>
      </c>
      <c r="B288" s="6" t="s">
        <v>601</v>
      </c>
      <c r="C288" s="6" t="s">
        <v>401</v>
      </c>
      <c r="D288" s="6" t="s">
        <v>72</v>
      </c>
      <c r="E288" s="11" t="str">
        <f t="shared" si="20"/>
        <v>SUV</v>
      </c>
      <c r="F288" s="6" t="s">
        <v>14</v>
      </c>
      <c r="G288" s="11">
        <v>1500</v>
      </c>
      <c r="H288" s="6" t="s">
        <v>1050</v>
      </c>
      <c r="I288" s="6" t="str">
        <f t="shared" si="21"/>
        <v>N</v>
      </c>
      <c r="J288" s="17" t="s">
        <v>9</v>
      </c>
      <c r="K288" s="6">
        <v>93</v>
      </c>
      <c r="L288" s="9">
        <v>111</v>
      </c>
      <c r="M288" s="2">
        <v>111</v>
      </c>
      <c r="N288" s="2">
        <v>24990</v>
      </c>
      <c r="O288" s="2" t="s">
        <v>1060</v>
      </c>
      <c r="P288" s="2" t="s">
        <v>1145</v>
      </c>
      <c r="Q288" s="2" t="s">
        <v>424</v>
      </c>
      <c r="R288" s="2">
        <v>1635</v>
      </c>
      <c r="S288" s="2"/>
      <c r="T288" s="2">
        <v>159</v>
      </c>
      <c r="U288" s="39">
        <f>IF(I288="N",T288*Supuestos!$B$4,T288*Supuestos!$C$4)*100</f>
        <v>6.803979823247154</v>
      </c>
      <c r="V288" s="20">
        <f t="shared" si="24"/>
        <v>14.697280503144654</v>
      </c>
      <c r="W288" s="2">
        <f t="shared" si="22"/>
        <v>17649</v>
      </c>
      <c r="X288" s="2">
        <f t="shared" si="23"/>
        <v>755.24176038043413</v>
      </c>
    </row>
    <row r="289" spans="1:24" x14ac:dyDescent="0.25">
      <c r="A289" s="6" t="s">
        <v>19</v>
      </c>
      <c r="B289" s="6" t="s">
        <v>159</v>
      </c>
      <c r="C289" s="6" t="s">
        <v>401</v>
      </c>
      <c r="D289" s="6" t="s">
        <v>72</v>
      </c>
      <c r="E289" s="11" t="str">
        <f t="shared" si="20"/>
        <v>SUV</v>
      </c>
      <c r="F289" s="6" t="s">
        <v>21</v>
      </c>
      <c r="G289" s="11">
        <v>1200</v>
      </c>
      <c r="H289" s="6" t="s">
        <v>1050</v>
      </c>
      <c r="I289" s="6" t="str">
        <f t="shared" si="21"/>
        <v>N</v>
      </c>
      <c r="J289" s="17" t="s">
        <v>9</v>
      </c>
      <c r="K289" s="6">
        <v>130</v>
      </c>
      <c r="L289" s="9">
        <v>109</v>
      </c>
      <c r="M289" s="2">
        <v>109</v>
      </c>
      <c r="N289" s="2">
        <v>28490</v>
      </c>
      <c r="O289" s="2" t="s">
        <v>1060</v>
      </c>
      <c r="P289" s="2" t="s">
        <v>446</v>
      </c>
      <c r="Q289" s="2" t="s">
        <v>424</v>
      </c>
      <c r="R289" s="2">
        <v>1651</v>
      </c>
      <c r="S289" s="2"/>
      <c r="T289" s="2">
        <v>141</v>
      </c>
      <c r="U289" s="39">
        <f>IF(I289="N",T289*Supuestos!$B$4,T289*Supuestos!$C$4)*100</f>
        <v>6.0337179564644572</v>
      </c>
      <c r="V289" s="20">
        <f t="shared" si="24"/>
        <v>16.573529078014182</v>
      </c>
      <c r="W289" s="2">
        <f t="shared" si="22"/>
        <v>15369</v>
      </c>
      <c r="X289" s="2">
        <f t="shared" si="23"/>
        <v>657.67525725462588</v>
      </c>
    </row>
    <row r="290" spans="1:24" x14ac:dyDescent="0.25">
      <c r="A290" s="6" t="s">
        <v>19</v>
      </c>
      <c r="B290" s="6" t="s">
        <v>602</v>
      </c>
      <c r="C290" s="6" t="s">
        <v>401</v>
      </c>
      <c r="D290" s="6" t="s">
        <v>72</v>
      </c>
      <c r="E290" s="11" t="str">
        <f t="shared" si="20"/>
        <v>SUV</v>
      </c>
      <c r="F290" s="6" t="s">
        <v>14</v>
      </c>
      <c r="G290" s="11">
        <v>1500</v>
      </c>
      <c r="H290" s="6" t="s">
        <v>1050</v>
      </c>
      <c r="I290" s="6" t="str">
        <f t="shared" si="21"/>
        <v>N</v>
      </c>
      <c r="J290" s="17" t="s">
        <v>9</v>
      </c>
      <c r="K290" s="6">
        <v>93</v>
      </c>
      <c r="L290" s="9">
        <v>107</v>
      </c>
      <c r="M290" s="2">
        <v>107</v>
      </c>
      <c r="N290" s="2">
        <v>26990</v>
      </c>
      <c r="O290" s="2" t="s">
        <v>1060</v>
      </c>
      <c r="P290" s="2" t="s">
        <v>1145</v>
      </c>
      <c r="Q290" s="2" t="s">
        <v>424</v>
      </c>
      <c r="R290" s="2">
        <v>1635</v>
      </c>
      <c r="S290" s="2"/>
      <c r="T290" s="2">
        <v>159</v>
      </c>
      <c r="U290" s="39">
        <f>IF(I290="N",T290*Supuestos!$B$4,T290*Supuestos!$C$4)*100</f>
        <v>6.803979823247154</v>
      </c>
      <c r="V290" s="20">
        <f t="shared" si="24"/>
        <v>14.697280503144654</v>
      </c>
      <c r="W290" s="2">
        <f t="shared" si="22"/>
        <v>17013</v>
      </c>
      <c r="X290" s="2">
        <f t="shared" si="23"/>
        <v>728.02584108744543</v>
      </c>
    </row>
    <row r="291" spans="1:24" x14ac:dyDescent="0.25">
      <c r="A291" s="6" t="s">
        <v>81</v>
      </c>
      <c r="B291" s="6" t="s">
        <v>170</v>
      </c>
      <c r="C291" s="6" t="s">
        <v>401</v>
      </c>
      <c r="D291" s="6" t="s">
        <v>72</v>
      </c>
      <c r="E291" s="11" t="str">
        <f t="shared" si="20"/>
        <v>SUV</v>
      </c>
      <c r="F291" s="6" t="s">
        <v>21</v>
      </c>
      <c r="G291" s="11">
        <v>1600</v>
      </c>
      <c r="H291" s="6" t="s">
        <v>1050</v>
      </c>
      <c r="I291" s="6" t="str">
        <f t="shared" si="21"/>
        <v>N</v>
      </c>
      <c r="J291" s="17" t="s">
        <v>9</v>
      </c>
      <c r="K291" s="6">
        <v>115</v>
      </c>
      <c r="L291" s="9">
        <v>107</v>
      </c>
      <c r="M291" s="2">
        <v>107</v>
      </c>
      <c r="N291" s="2">
        <v>26990</v>
      </c>
      <c r="O291" s="2" t="s">
        <v>1055</v>
      </c>
      <c r="P291" s="2" t="s">
        <v>1133</v>
      </c>
      <c r="Q291" s="2" t="s">
        <v>429</v>
      </c>
      <c r="R291" s="2">
        <v>1556</v>
      </c>
      <c r="S291" s="2"/>
      <c r="T291" s="2">
        <v>182.49</v>
      </c>
      <c r="U291" s="39">
        <f>IF(I291="N",T291*Supuestos!$B$4,T291*Supuestos!$C$4)*100</f>
        <v>7.8091715593985729</v>
      </c>
      <c r="V291" s="20">
        <f t="shared" si="24"/>
        <v>12.805455641405008</v>
      </c>
      <c r="W291" s="2">
        <f t="shared" si="22"/>
        <v>19526.43</v>
      </c>
      <c r="X291" s="2">
        <f t="shared" si="23"/>
        <v>835.5813568556473</v>
      </c>
    </row>
    <row r="292" spans="1:24" x14ac:dyDescent="0.25">
      <c r="A292" s="6" t="s">
        <v>18</v>
      </c>
      <c r="B292" s="6" t="s">
        <v>139</v>
      </c>
      <c r="C292" s="6" t="s">
        <v>401</v>
      </c>
      <c r="D292" s="6" t="s">
        <v>72</v>
      </c>
      <c r="E292" s="11" t="str">
        <f t="shared" si="20"/>
        <v>SUV</v>
      </c>
      <c r="F292" s="6" t="s">
        <v>14</v>
      </c>
      <c r="G292" s="11">
        <v>1500</v>
      </c>
      <c r="H292" s="6" t="s">
        <v>1050</v>
      </c>
      <c r="I292" s="6" t="str">
        <f t="shared" si="21"/>
        <v>N</v>
      </c>
      <c r="J292" s="17" t="s">
        <v>9</v>
      </c>
      <c r="K292" s="6">
        <v>147</v>
      </c>
      <c r="L292" s="9">
        <v>106</v>
      </c>
      <c r="M292" s="2">
        <v>106</v>
      </c>
      <c r="N292" s="2">
        <v>32990</v>
      </c>
      <c r="O292" s="2" t="s">
        <v>1060</v>
      </c>
      <c r="P292" s="2" t="s">
        <v>449</v>
      </c>
      <c r="Q292" s="2" t="s">
        <v>424</v>
      </c>
      <c r="R292" s="2">
        <v>1888</v>
      </c>
      <c r="S292" s="2"/>
      <c r="T292" s="2">
        <v>189</v>
      </c>
      <c r="U292" s="39">
        <f>IF(I292="N",T292*Supuestos!$B$4,T292*Supuestos!$C$4)*100</f>
        <v>8.0877496012183148</v>
      </c>
      <c r="V292" s="20">
        <f t="shared" si="24"/>
        <v>12.364378835978835</v>
      </c>
      <c r="W292" s="2">
        <f t="shared" si="22"/>
        <v>20034</v>
      </c>
      <c r="X292" s="2">
        <f t="shared" si="23"/>
        <v>857.30145772914136</v>
      </c>
    </row>
    <row r="293" spans="1:24" x14ac:dyDescent="0.25">
      <c r="A293" s="6" t="s">
        <v>19</v>
      </c>
      <c r="B293" s="6" t="s">
        <v>624</v>
      </c>
      <c r="C293" s="6" t="s">
        <v>401</v>
      </c>
      <c r="D293" s="6" t="s">
        <v>72</v>
      </c>
      <c r="E293" s="11" t="str">
        <f t="shared" si="20"/>
        <v>SUV</v>
      </c>
      <c r="F293" s="6" t="s">
        <v>21</v>
      </c>
      <c r="G293" s="11">
        <v>1200</v>
      </c>
      <c r="H293" s="6" t="s">
        <v>1050</v>
      </c>
      <c r="I293" s="6" t="str">
        <f t="shared" si="21"/>
        <v>N</v>
      </c>
      <c r="J293" s="17" t="s">
        <v>9</v>
      </c>
      <c r="K293" s="6">
        <v>130</v>
      </c>
      <c r="L293" s="9">
        <v>101</v>
      </c>
      <c r="M293" s="2">
        <v>101</v>
      </c>
      <c r="N293" s="2">
        <v>33990</v>
      </c>
      <c r="O293" s="2" t="s">
        <v>1060</v>
      </c>
      <c r="P293" s="2" t="s">
        <v>445</v>
      </c>
      <c r="Q293" s="2" t="s">
        <v>424</v>
      </c>
      <c r="R293" s="2">
        <v>1714</v>
      </c>
      <c r="S293" s="2"/>
      <c r="T293" s="2">
        <v>158</v>
      </c>
      <c r="U293" s="39">
        <f>IF(I293="N",T293*Supuestos!$B$4,T293*Supuestos!$C$4)*100</f>
        <v>6.7611874973147819</v>
      </c>
      <c r="V293" s="20">
        <f t="shared" si="24"/>
        <v>14.790301265822784</v>
      </c>
      <c r="W293" s="2">
        <f t="shared" si="22"/>
        <v>15958</v>
      </c>
      <c r="X293" s="2">
        <f t="shared" si="23"/>
        <v>682.87993722879298</v>
      </c>
    </row>
    <row r="294" spans="1:24" x14ac:dyDescent="0.25">
      <c r="A294" s="6" t="s">
        <v>29</v>
      </c>
      <c r="B294" s="6" t="s">
        <v>665</v>
      </c>
      <c r="C294" s="6" t="s">
        <v>401</v>
      </c>
      <c r="D294" s="6" t="s">
        <v>72</v>
      </c>
      <c r="E294" s="11" t="str">
        <f t="shared" si="20"/>
        <v>SUV</v>
      </c>
      <c r="F294" s="6" t="s">
        <v>21</v>
      </c>
      <c r="G294" s="11">
        <v>1300</v>
      </c>
      <c r="H294" s="6" t="s">
        <v>1050</v>
      </c>
      <c r="I294" s="6" t="str">
        <f t="shared" si="21"/>
        <v>N</v>
      </c>
      <c r="J294" s="17" t="s">
        <v>9</v>
      </c>
      <c r="K294" s="6">
        <v>99</v>
      </c>
      <c r="L294" s="9">
        <v>101</v>
      </c>
      <c r="M294" s="2">
        <v>101</v>
      </c>
      <c r="N294" s="2">
        <v>25990</v>
      </c>
      <c r="O294" s="2" t="s">
        <v>1060</v>
      </c>
      <c r="P294" s="2" t="s">
        <v>1144</v>
      </c>
      <c r="Q294" s="2" t="s">
        <v>424</v>
      </c>
      <c r="R294" s="2">
        <v>1588</v>
      </c>
      <c r="S294" s="2"/>
      <c r="T294" s="2">
        <v>143</v>
      </c>
      <c r="U294" s="39">
        <f>IF(I294="N",T294*Supuestos!$B$4,T294*Supuestos!$C$4)*100</f>
        <v>6.1193026083292006</v>
      </c>
      <c r="V294" s="20">
        <f t="shared" si="24"/>
        <v>16.341731468531471</v>
      </c>
      <c r="W294" s="2">
        <f t="shared" si="22"/>
        <v>14443</v>
      </c>
      <c r="X294" s="2">
        <f t="shared" si="23"/>
        <v>618.04956344124923</v>
      </c>
    </row>
    <row r="295" spans="1:24" x14ac:dyDescent="0.25">
      <c r="A295" s="6" t="s">
        <v>53</v>
      </c>
      <c r="B295" s="6" t="s">
        <v>1030</v>
      </c>
      <c r="C295" s="6" t="s">
        <v>401</v>
      </c>
      <c r="D295" s="6" t="s">
        <v>72</v>
      </c>
      <c r="E295" s="11" t="str">
        <f t="shared" si="20"/>
        <v>SUV</v>
      </c>
      <c r="F295" s="6" t="s">
        <v>21</v>
      </c>
      <c r="G295" s="11">
        <v>1000</v>
      </c>
      <c r="H295" s="6" t="s">
        <v>1050</v>
      </c>
      <c r="I295" s="6" t="str">
        <f t="shared" si="21"/>
        <v>N</v>
      </c>
      <c r="J295" s="17" t="s">
        <v>9</v>
      </c>
      <c r="K295" s="6">
        <v>116</v>
      </c>
      <c r="L295" s="9">
        <v>101</v>
      </c>
      <c r="M295" s="2">
        <v>101</v>
      </c>
      <c r="N295" s="2">
        <v>35490</v>
      </c>
      <c r="O295" s="2" t="s">
        <v>1053</v>
      </c>
      <c r="P295" s="2" t="s">
        <v>1130</v>
      </c>
      <c r="Q295" s="2" t="s">
        <v>422</v>
      </c>
      <c r="R295" s="2">
        <v>1660</v>
      </c>
      <c r="S295" s="2"/>
      <c r="T295" s="2">
        <v>154</v>
      </c>
      <c r="U295" s="39">
        <f>IF(I295="N",T295*Supuestos!$B$4,T295*Supuestos!$C$4)*100</f>
        <v>6.5900181935852942</v>
      </c>
      <c r="V295" s="20">
        <f t="shared" si="24"/>
        <v>15.174464935064933</v>
      </c>
      <c r="W295" s="2">
        <f t="shared" si="22"/>
        <v>15554</v>
      </c>
      <c r="X295" s="2">
        <f t="shared" si="23"/>
        <v>665.59183755211473</v>
      </c>
    </row>
    <row r="296" spans="1:24" x14ac:dyDescent="0.25">
      <c r="A296" s="6" t="s">
        <v>48</v>
      </c>
      <c r="B296" s="6" t="s">
        <v>936</v>
      </c>
      <c r="C296" s="6" t="s">
        <v>401</v>
      </c>
      <c r="D296" s="6" t="s">
        <v>72</v>
      </c>
      <c r="E296" s="11" t="str">
        <f t="shared" si="20"/>
        <v>SUV</v>
      </c>
      <c r="F296" s="6" t="s">
        <v>21</v>
      </c>
      <c r="G296" s="11">
        <v>1000</v>
      </c>
      <c r="H296" s="6" t="s">
        <v>1050</v>
      </c>
      <c r="I296" s="6" t="str">
        <f t="shared" si="21"/>
        <v>N</v>
      </c>
      <c r="J296" s="17" t="s">
        <v>9</v>
      </c>
      <c r="K296" s="6">
        <v>79</v>
      </c>
      <c r="L296" s="9">
        <v>100</v>
      </c>
      <c r="M296" s="2">
        <v>100</v>
      </c>
      <c r="N296" s="2">
        <v>18990</v>
      </c>
      <c r="O296" s="2" t="s">
        <v>1148</v>
      </c>
      <c r="P296" s="2"/>
      <c r="Q296" s="2"/>
      <c r="R296" s="2">
        <v>1504</v>
      </c>
      <c r="S296" s="2"/>
      <c r="T296" s="2">
        <v>99</v>
      </c>
      <c r="U296" s="39">
        <f>IF(I296="N",T296*Supuestos!$B$4,T296*Supuestos!$C$4)*100</f>
        <v>4.2364402673048316</v>
      </c>
      <c r="V296" s="20">
        <f t="shared" si="24"/>
        <v>23.604723232323231</v>
      </c>
      <c r="W296" s="2">
        <f t="shared" si="22"/>
        <v>9900</v>
      </c>
      <c r="X296" s="2">
        <f t="shared" si="23"/>
        <v>423.64402673048318</v>
      </c>
    </row>
    <row r="297" spans="1:24" x14ac:dyDescent="0.25">
      <c r="A297" s="6" t="s">
        <v>50</v>
      </c>
      <c r="B297" s="6" t="s">
        <v>972</v>
      </c>
      <c r="C297" s="6" t="s">
        <v>401</v>
      </c>
      <c r="D297" s="6" t="s">
        <v>72</v>
      </c>
      <c r="E297" s="11" t="str">
        <f t="shared" si="20"/>
        <v>SUV</v>
      </c>
      <c r="F297" s="6"/>
      <c r="G297" s="11">
        <v>1500</v>
      </c>
      <c r="H297" s="6" t="s">
        <v>1050</v>
      </c>
      <c r="I297" s="6" t="str">
        <f t="shared" si="21"/>
        <v>N</v>
      </c>
      <c r="J297" s="17" t="s">
        <v>419</v>
      </c>
      <c r="K297" s="6">
        <v>103</v>
      </c>
      <c r="L297" s="9">
        <v>97</v>
      </c>
      <c r="M297" s="2">
        <v>97</v>
      </c>
      <c r="N297" s="2">
        <v>29990</v>
      </c>
      <c r="O297" s="2" t="s">
        <v>1060</v>
      </c>
      <c r="P297" s="2" t="s">
        <v>1150</v>
      </c>
      <c r="Q297" s="2" t="s">
        <v>444</v>
      </c>
      <c r="R297" s="2">
        <v>1480</v>
      </c>
      <c r="S297" s="2"/>
      <c r="T297" s="2">
        <v>120</v>
      </c>
      <c r="U297" s="39">
        <f>IF(I297="N",T297*Supuestos!$B$4,T297*Supuestos!$C$4)*100</f>
        <v>5.1350791118846439</v>
      </c>
      <c r="V297" s="20">
        <f t="shared" si="24"/>
        <v>19.473896666666668</v>
      </c>
      <c r="W297" s="2">
        <f t="shared" si="22"/>
        <v>11640</v>
      </c>
      <c r="X297" s="2">
        <f t="shared" si="23"/>
        <v>498.10267385281048</v>
      </c>
    </row>
    <row r="298" spans="1:24" x14ac:dyDescent="0.25">
      <c r="A298" s="6" t="s">
        <v>34</v>
      </c>
      <c r="B298" s="6" t="s">
        <v>710</v>
      </c>
      <c r="C298" s="6" t="s">
        <v>401</v>
      </c>
      <c r="D298" s="6" t="s">
        <v>72</v>
      </c>
      <c r="E298" s="11" t="str">
        <f t="shared" si="20"/>
        <v>SUV</v>
      </c>
      <c r="F298" s="6" t="s">
        <v>21</v>
      </c>
      <c r="G298" s="11">
        <v>1000</v>
      </c>
      <c r="H298" s="6" t="s">
        <v>1050</v>
      </c>
      <c r="I298" s="6" t="str">
        <f t="shared" si="21"/>
        <v>N</v>
      </c>
      <c r="J298" s="17" t="s">
        <v>9</v>
      </c>
      <c r="K298" s="6">
        <v>120</v>
      </c>
      <c r="L298" s="9">
        <v>92</v>
      </c>
      <c r="M298" s="2">
        <v>92</v>
      </c>
      <c r="N298" s="2">
        <v>30990</v>
      </c>
      <c r="O298" s="2" t="s">
        <v>1053</v>
      </c>
      <c r="P298" s="2" t="s">
        <v>1128</v>
      </c>
      <c r="Q298" s="2" t="s">
        <v>429</v>
      </c>
      <c r="R298" s="2">
        <v>1700</v>
      </c>
      <c r="S298" s="2"/>
      <c r="T298" s="2">
        <v>133</v>
      </c>
      <c r="U298" s="39">
        <f>IF(I298="N",T298*Supuestos!$B$4,T298*Supuestos!$C$4)*100</f>
        <v>5.6913793490054809</v>
      </c>
      <c r="V298" s="20">
        <f t="shared" si="24"/>
        <v>17.570433082706767</v>
      </c>
      <c r="W298" s="2">
        <f t="shared" si="22"/>
        <v>12236</v>
      </c>
      <c r="X298" s="2">
        <f t="shared" si="23"/>
        <v>523.60690010850419</v>
      </c>
    </row>
    <row r="299" spans="1:24" x14ac:dyDescent="0.25">
      <c r="A299" s="6" t="s">
        <v>37</v>
      </c>
      <c r="B299" s="6" t="s">
        <v>752</v>
      </c>
      <c r="C299" s="6" t="s">
        <v>401</v>
      </c>
      <c r="D299" s="6" t="s">
        <v>72</v>
      </c>
      <c r="E299" s="11" t="str">
        <f t="shared" si="20"/>
        <v>SUV</v>
      </c>
      <c r="F299" s="6" t="s">
        <v>21</v>
      </c>
      <c r="G299" s="11">
        <v>1300</v>
      </c>
      <c r="H299" s="6" t="s">
        <v>1050</v>
      </c>
      <c r="I299" s="6" t="str">
        <f t="shared" si="21"/>
        <v>N</v>
      </c>
      <c r="J299" s="17" t="s">
        <v>9</v>
      </c>
      <c r="K299" s="6">
        <v>180</v>
      </c>
      <c r="L299" s="9">
        <v>89</v>
      </c>
      <c r="M299" s="2">
        <v>89</v>
      </c>
      <c r="N299" s="2">
        <v>53490</v>
      </c>
      <c r="O299" s="2" t="s">
        <v>1060</v>
      </c>
      <c r="P299" s="2" t="s">
        <v>1151</v>
      </c>
      <c r="Q299" s="2" t="s">
        <v>1107</v>
      </c>
      <c r="R299" s="2">
        <v>1966</v>
      </c>
      <c r="S299" s="2"/>
      <c r="T299" s="2">
        <v>163</v>
      </c>
      <c r="U299" s="39">
        <f>IF(I299="N",T299*Supuestos!$B$4,T299*Supuestos!$C$4)*100</f>
        <v>6.9751491269766417</v>
      </c>
      <c r="V299" s="20">
        <f t="shared" si="24"/>
        <v>14.336611042944785</v>
      </c>
      <c r="W299" s="2">
        <f t="shared" si="22"/>
        <v>14507</v>
      </c>
      <c r="X299" s="2">
        <f t="shared" si="23"/>
        <v>620.78827230092111</v>
      </c>
    </row>
    <row r="300" spans="1:24" x14ac:dyDescent="0.25">
      <c r="A300" s="6" t="s">
        <v>32</v>
      </c>
      <c r="B300" s="6" t="s">
        <v>684</v>
      </c>
      <c r="C300" s="6" t="s">
        <v>401</v>
      </c>
      <c r="D300" s="6" t="s">
        <v>72</v>
      </c>
      <c r="E300" s="11" t="str">
        <f t="shared" si="20"/>
        <v>SUV</v>
      </c>
      <c r="F300" s="6" t="s">
        <v>14</v>
      </c>
      <c r="G300" s="11">
        <v>1500</v>
      </c>
      <c r="H300" s="6" t="s">
        <v>1050</v>
      </c>
      <c r="I300" s="6" t="str">
        <f t="shared" si="21"/>
        <v>N</v>
      </c>
      <c r="J300" s="17" t="s">
        <v>9</v>
      </c>
      <c r="K300" s="6">
        <v>102</v>
      </c>
      <c r="L300" s="9">
        <v>88</v>
      </c>
      <c r="M300" s="2">
        <v>88</v>
      </c>
      <c r="N300" s="2">
        <v>22990</v>
      </c>
      <c r="O300" s="2" t="s">
        <v>1053</v>
      </c>
      <c r="P300" s="2" t="s">
        <v>1153</v>
      </c>
      <c r="Q300" s="2" t="s">
        <v>429</v>
      </c>
      <c r="R300" s="2">
        <v>1590</v>
      </c>
      <c r="S300" s="2"/>
      <c r="T300" s="2">
        <v>168</v>
      </c>
      <c r="U300" s="39">
        <f>IF(I300="N",T300*Supuestos!$B$4,T300*Supuestos!$C$4)*100</f>
        <v>7.1891107566385015</v>
      </c>
      <c r="V300" s="20">
        <f t="shared" si="24"/>
        <v>13.909926190476192</v>
      </c>
      <c r="W300" s="2">
        <f t="shared" si="22"/>
        <v>14784</v>
      </c>
      <c r="X300" s="2">
        <f t="shared" si="23"/>
        <v>632.64174658418813</v>
      </c>
    </row>
    <row r="301" spans="1:24" x14ac:dyDescent="0.25">
      <c r="A301" s="6" t="s">
        <v>46</v>
      </c>
      <c r="B301" s="6" t="s">
        <v>878</v>
      </c>
      <c r="C301" s="6" t="s">
        <v>401</v>
      </c>
      <c r="D301" s="6" t="s">
        <v>72</v>
      </c>
      <c r="E301" s="11" t="str">
        <f t="shared" si="20"/>
        <v>SUV</v>
      </c>
      <c r="F301" s="6" t="s">
        <v>45</v>
      </c>
      <c r="G301" s="11">
        <v>1500</v>
      </c>
      <c r="H301" s="6" t="s">
        <v>1050</v>
      </c>
      <c r="I301" s="6" t="str">
        <f t="shared" si="21"/>
        <v>N</v>
      </c>
      <c r="J301" s="17" t="s">
        <v>421</v>
      </c>
      <c r="K301" s="6">
        <v>205</v>
      </c>
      <c r="L301" s="9">
        <v>87</v>
      </c>
      <c r="M301" s="2">
        <v>87</v>
      </c>
      <c r="N301" s="2">
        <v>64990</v>
      </c>
      <c r="O301" s="2" t="s">
        <v>1060</v>
      </c>
      <c r="P301" s="2" t="s">
        <v>1154</v>
      </c>
      <c r="Q301" s="2" t="s">
        <v>424</v>
      </c>
      <c r="R301" s="2">
        <v>2505</v>
      </c>
      <c r="S301" s="2"/>
      <c r="T301" s="2">
        <v>131</v>
      </c>
      <c r="U301" s="39">
        <f>IF(I301="N",T301*Supuestos!$B$4,T301*Supuestos!$C$4)*100</f>
        <v>5.6057946971407366</v>
      </c>
      <c r="V301" s="20">
        <f t="shared" si="24"/>
        <v>17.838683969465649</v>
      </c>
      <c r="W301" s="2">
        <f t="shared" si="22"/>
        <v>11397</v>
      </c>
      <c r="X301" s="2">
        <f t="shared" si="23"/>
        <v>487.70413865124408</v>
      </c>
    </row>
    <row r="302" spans="1:24" x14ac:dyDescent="0.25">
      <c r="A302" s="6" t="s">
        <v>62</v>
      </c>
      <c r="B302" s="6" t="s">
        <v>885</v>
      </c>
      <c r="C302" s="6" t="s">
        <v>401</v>
      </c>
      <c r="D302" s="6" t="s">
        <v>72</v>
      </c>
      <c r="E302" s="11" t="str">
        <f t="shared" si="20"/>
        <v>SUV</v>
      </c>
      <c r="F302" s="6" t="s">
        <v>21</v>
      </c>
      <c r="G302" s="11">
        <v>1600</v>
      </c>
      <c r="H302" s="6" t="s">
        <v>1050</v>
      </c>
      <c r="I302" s="6" t="str">
        <f t="shared" si="21"/>
        <v>N</v>
      </c>
      <c r="J302" s="17" t="s">
        <v>9</v>
      </c>
      <c r="K302" s="6">
        <v>115</v>
      </c>
      <c r="L302" s="9">
        <v>87</v>
      </c>
      <c r="M302" s="2">
        <v>87</v>
      </c>
      <c r="N302" s="2">
        <v>27500</v>
      </c>
      <c r="O302" s="2" t="s">
        <v>1053</v>
      </c>
      <c r="P302" s="2" t="s">
        <v>1069</v>
      </c>
      <c r="Q302" s="2" t="s">
        <v>422</v>
      </c>
      <c r="R302" s="2">
        <v>1585</v>
      </c>
      <c r="S302" s="2"/>
      <c r="T302" s="2">
        <v>169</v>
      </c>
      <c r="U302" s="39">
        <f>IF(I302="N",T302*Supuestos!$B$4,T302*Supuestos!$C$4)*100</f>
        <v>7.2319030825708746</v>
      </c>
      <c r="V302" s="20">
        <f t="shared" si="24"/>
        <v>13.827618934911241</v>
      </c>
      <c r="W302" s="2">
        <f t="shared" si="22"/>
        <v>14703</v>
      </c>
      <c r="X302" s="2">
        <f t="shared" si="23"/>
        <v>629.17556818366609</v>
      </c>
    </row>
    <row r="303" spans="1:24" x14ac:dyDescent="0.25">
      <c r="A303" s="6" t="s">
        <v>62</v>
      </c>
      <c r="B303" s="6" t="s">
        <v>300</v>
      </c>
      <c r="C303" s="6" t="s">
        <v>401</v>
      </c>
      <c r="D303" s="6" t="s">
        <v>72</v>
      </c>
      <c r="E303" s="11" t="str">
        <f t="shared" si="20"/>
        <v>SUV</v>
      </c>
      <c r="F303" s="6" t="s">
        <v>57</v>
      </c>
      <c r="G303" s="11">
        <v>1200</v>
      </c>
      <c r="H303" s="6" t="s">
        <v>1050</v>
      </c>
      <c r="I303" s="6" t="str">
        <f t="shared" si="21"/>
        <v>N</v>
      </c>
      <c r="J303" s="17" t="s">
        <v>9</v>
      </c>
      <c r="K303" s="6">
        <v>130</v>
      </c>
      <c r="L303" s="9">
        <v>86</v>
      </c>
      <c r="M303" s="2">
        <v>86</v>
      </c>
      <c r="N303" s="2">
        <v>38900</v>
      </c>
      <c r="O303" s="2" t="s">
        <v>1053</v>
      </c>
      <c r="P303" s="2"/>
      <c r="Q303" s="2" t="s">
        <v>422</v>
      </c>
      <c r="R303" s="2">
        <v>1740</v>
      </c>
      <c r="S303" s="2"/>
      <c r="T303" s="2">
        <v>148</v>
      </c>
      <c r="U303" s="39">
        <f>IF(I303="N",T303*Supuestos!$B$4,T303*Supuestos!$C$4)*100</f>
        <v>6.3332642379910613</v>
      </c>
      <c r="V303" s="20">
        <f t="shared" si="24"/>
        <v>15.789645945945946</v>
      </c>
      <c r="W303" s="2">
        <f t="shared" si="22"/>
        <v>12728</v>
      </c>
      <c r="X303" s="2">
        <f t="shared" si="23"/>
        <v>544.66072446723126</v>
      </c>
    </row>
    <row r="304" spans="1:24" x14ac:dyDescent="0.25">
      <c r="A304" s="6" t="s">
        <v>15</v>
      </c>
      <c r="B304" s="6" t="s">
        <v>537</v>
      </c>
      <c r="C304" s="6" t="s">
        <v>401</v>
      </c>
      <c r="D304" s="6" t="s">
        <v>72</v>
      </c>
      <c r="E304" s="11" t="str">
        <f t="shared" si="20"/>
        <v>SUV</v>
      </c>
      <c r="F304" s="6" t="s">
        <v>14</v>
      </c>
      <c r="G304" s="11"/>
      <c r="H304" s="6" t="s">
        <v>1051</v>
      </c>
      <c r="I304" s="6" t="str">
        <f t="shared" si="21"/>
        <v>E</v>
      </c>
      <c r="J304" s="17" t="s">
        <v>418</v>
      </c>
      <c r="K304" s="6">
        <v>286</v>
      </c>
      <c r="L304" s="9">
        <v>85</v>
      </c>
      <c r="M304" s="21">
        <v>85</v>
      </c>
      <c r="N304" s="2">
        <v>99990</v>
      </c>
      <c r="O304" s="2" t="s">
        <v>1060</v>
      </c>
      <c r="P304" s="2" t="s">
        <v>1353</v>
      </c>
      <c r="Q304" s="2"/>
      <c r="R304" s="2">
        <v>2725</v>
      </c>
      <c r="S304" s="2">
        <v>4.9000000000000004</v>
      </c>
      <c r="T304" s="2"/>
      <c r="U304" s="39">
        <f>IF(I304="N",T304*Supuestos!$B$4,T304*Supuestos!$C$4)*100</f>
        <v>0</v>
      </c>
      <c r="V304" s="20">
        <f t="shared" si="24"/>
        <v>0</v>
      </c>
      <c r="W304" s="2">
        <f t="shared" si="22"/>
        <v>0</v>
      </c>
      <c r="X304" s="2">
        <f t="shared" si="23"/>
        <v>0</v>
      </c>
    </row>
    <row r="305" spans="1:24" x14ac:dyDescent="0.25">
      <c r="A305" s="6" t="s">
        <v>53</v>
      </c>
      <c r="B305" s="6" t="s">
        <v>1033</v>
      </c>
      <c r="C305" s="6" t="s">
        <v>401</v>
      </c>
      <c r="D305" s="6" t="s">
        <v>72</v>
      </c>
      <c r="E305" s="11" t="str">
        <f t="shared" si="20"/>
        <v>SUV</v>
      </c>
      <c r="F305" s="6" t="s">
        <v>24</v>
      </c>
      <c r="G305" s="11">
        <v>1400</v>
      </c>
      <c r="H305" s="6" t="s">
        <v>1050</v>
      </c>
      <c r="I305" s="6" t="str">
        <f t="shared" si="21"/>
        <v>N</v>
      </c>
      <c r="J305" s="17" t="s">
        <v>9</v>
      </c>
      <c r="K305" s="6">
        <v>150</v>
      </c>
      <c r="L305" s="9">
        <v>84</v>
      </c>
      <c r="M305" s="2">
        <v>84</v>
      </c>
      <c r="N305" s="2">
        <v>53990</v>
      </c>
      <c r="O305" s="2" t="s">
        <v>1053</v>
      </c>
      <c r="P305" s="2" t="s">
        <v>1155</v>
      </c>
      <c r="Q305" s="2" t="s">
        <v>429</v>
      </c>
      <c r="R305" s="2">
        <v>1669</v>
      </c>
      <c r="S305" s="2"/>
      <c r="T305" s="2">
        <v>194</v>
      </c>
      <c r="U305" s="39">
        <f>IF(I305="N",T305*Supuestos!$B$4,T305*Supuestos!$C$4)*100</f>
        <v>8.3017112308801746</v>
      </c>
      <c r="V305" s="20">
        <f t="shared" si="24"/>
        <v>12.045709278350516</v>
      </c>
      <c r="W305" s="2">
        <f t="shared" si="22"/>
        <v>16296</v>
      </c>
      <c r="X305" s="2">
        <f t="shared" si="23"/>
        <v>697.34374339393469</v>
      </c>
    </row>
    <row r="306" spans="1:24" x14ac:dyDescent="0.25">
      <c r="A306" s="6" t="s">
        <v>71</v>
      </c>
      <c r="B306" s="6" t="s">
        <v>586</v>
      </c>
      <c r="C306" s="6" t="s">
        <v>401</v>
      </c>
      <c r="D306" s="6" t="s">
        <v>72</v>
      </c>
      <c r="E306" s="11" t="str">
        <f t="shared" si="20"/>
        <v>SUV</v>
      </c>
      <c r="F306" s="6" t="s">
        <v>14</v>
      </c>
      <c r="G306" s="11">
        <v>1500</v>
      </c>
      <c r="H306" s="6" t="s">
        <v>1050</v>
      </c>
      <c r="I306" s="6" t="str">
        <f t="shared" si="21"/>
        <v>N</v>
      </c>
      <c r="J306" s="17" t="s">
        <v>9</v>
      </c>
      <c r="K306" s="6">
        <v>180</v>
      </c>
      <c r="L306" s="9">
        <v>81</v>
      </c>
      <c r="M306" s="2">
        <v>81</v>
      </c>
      <c r="N306" s="2">
        <v>41990</v>
      </c>
      <c r="O306" s="2" t="s">
        <v>1053</v>
      </c>
      <c r="P306" s="2" t="s">
        <v>1156</v>
      </c>
      <c r="Q306" s="2" t="s">
        <v>422</v>
      </c>
      <c r="R306" s="2">
        <v>1840</v>
      </c>
      <c r="S306" s="2"/>
      <c r="T306" s="2">
        <v>176</v>
      </c>
      <c r="U306" s="39">
        <f>IF(I306="N",T306*Supuestos!$B$4,T306*Supuestos!$C$4)*100</f>
        <v>7.5314493640974787</v>
      </c>
      <c r="V306" s="20">
        <f t="shared" si="24"/>
        <v>13.277656818181818</v>
      </c>
      <c r="W306" s="2">
        <f t="shared" si="22"/>
        <v>14256</v>
      </c>
      <c r="X306" s="2">
        <f t="shared" si="23"/>
        <v>610.04739849189582</v>
      </c>
    </row>
    <row r="307" spans="1:24" x14ac:dyDescent="0.25">
      <c r="A307" s="6" t="s">
        <v>53</v>
      </c>
      <c r="B307" s="6" t="s">
        <v>1026</v>
      </c>
      <c r="C307" s="6" t="s">
        <v>401</v>
      </c>
      <c r="D307" s="6" t="s">
        <v>72</v>
      </c>
      <c r="E307" s="11" t="str">
        <f t="shared" si="20"/>
        <v>SUV</v>
      </c>
      <c r="F307" s="6" t="s">
        <v>23</v>
      </c>
      <c r="G307" s="11">
        <v>1400</v>
      </c>
      <c r="H307" s="6" t="s">
        <v>1050</v>
      </c>
      <c r="I307" s="6" t="str">
        <f t="shared" si="21"/>
        <v>N</v>
      </c>
      <c r="J307" s="17" t="s">
        <v>9</v>
      </c>
      <c r="K307" s="6">
        <v>150</v>
      </c>
      <c r="L307" s="9">
        <v>78</v>
      </c>
      <c r="M307" s="2">
        <v>78</v>
      </c>
      <c r="N307" s="2">
        <v>41590</v>
      </c>
      <c r="O307" s="2" t="s">
        <v>1053</v>
      </c>
      <c r="P307" s="2" t="s">
        <v>1137</v>
      </c>
      <c r="Q307" s="2" t="s">
        <v>424</v>
      </c>
      <c r="R307" s="2">
        <v>1890</v>
      </c>
      <c r="S307" s="2"/>
      <c r="T307" s="2">
        <v>151</v>
      </c>
      <c r="U307" s="39">
        <f>IF(I307="N",T307*Supuestos!$B$4,T307*Supuestos!$C$4)*100</f>
        <v>6.4616412157881777</v>
      </c>
      <c r="V307" s="20">
        <f t="shared" si="24"/>
        <v>15.475944370860926</v>
      </c>
      <c r="W307" s="2">
        <f t="shared" si="22"/>
        <v>11778</v>
      </c>
      <c r="X307" s="2">
        <f t="shared" si="23"/>
        <v>504.00801483147785</v>
      </c>
    </row>
    <row r="308" spans="1:24" x14ac:dyDescent="0.25">
      <c r="A308" s="6" t="s">
        <v>53</v>
      </c>
      <c r="B308" s="6" t="s">
        <v>1035</v>
      </c>
      <c r="C308" s="6" t="s">
        <v>401</v>
      </c>
      <c r="D308" s="6" t="s">
        <v>72</v>
      </c>
      <c r="E308" s="11" t="str">
        <f t="shared" si="20"/>
        <v>SUV</v>
      </c>
      <c r="F308" s="6" t="s">
        <v>24</v>
      </c>
      <c r="G308" s="11">
        <v>2000</v>
      </c>
      <c r="H308" s="6" t="s">
        <v>1050</v>
      </c>
      <c r="I308" s="6" t="str">
        <f t="shared" si="21"/>
        <v>N</v>
      </c>
      <c r="J308" s="17" t="s">
        <v>9</v>
      </c>
      <c r="K308" s="6">
        <v>217</v>
      </c>
      <c r="L308" s="9">
        <v>78</v>
      </c>
      <c r="M308" s="2">
        <v>78</v>
      </c>
      <c r="N308" s="2">
        <v>73990</v>
      </c>
      <c r="O308" s="2" t="s">
        <v>1053</v>
      </c>
      <c r="P308" s="2" t="s">
        <v>1157</v>
      </c>
      <c r="Q308" s="2" t="s">
        <v>422</v>
      </c>
      <c r="R308" s="2">
        <v>2041</v>
      </c>
      <c r="S308" s="2"/>
      <c r="T308" s="2">
        <v>201</v>
      </c>
      <c r="U308" s="39">
        <f>IF(I308="N",T308*Supuestos!$B$4,T308*Supuestos!$C$4)*100</f>
        <v>8.6012575124067787</v>
      </c>
      <c r="V308" s="20">
        <f t="shared" si="24"/>
        <v>11.626206965174131</v>
      </c>
      <c r="W308" s="2">
        <f t="shared" si="22"/>
        <v>15678</v>
      </c>
      <c r="X308" s="2">
        <f t="shared" si="23"/>
        <v>670.89808596772878</v>
      </c>
    </row>
    <row r="309" spans="1:24" x14ac:dyDescent="0.25">
      <c r="A309" s="6" t="s">
        <v>39</v>
      </c>
      <c r="B309" s="6" t="s">
        <v>777</v>
      </c>
      <c r="C309" s="6" t="s">
        <v>401</v>
      </c>
      <c r="D309" s="6" t="s">
        <v>72</v>
      </c>
      <c r="E309" s="11" t="str">
        <f t="shared" si="20"/>
        <v>SUV</v>
      </c>
      <c r="F309" s="6" t="s">
        <v>35</v>
      </c>
      <c r="G309" s="11">
        <v>1500</v>
      </c>
      <c r="H309" s="6" t="s">
        <v>1050</v>
      </c>
      <c r="I309" s="6" t="str">
        <f t="shared" si="21"/>
        <v>N</v>
      </c>
      <c r="J309" s="17" t="s">
        <v>9</v>
      </c>
      <c r="K309" s="6">
        <v>113</v>
      </c>
      <c r="L309" s="9">
        <v>77</v>
      </c>
      <c r="M309" s="2">
        <v>77</v>
      </c>
      <c r="N309" s="2">
        <v>28990</v>
      </c>
      <c r="O309" s="2" t="s">
        <v>1060</v>
      </c>
      <c r="P309" s="2" t="s">
        <v>1158</v>
      </c>
      <c r="Q309" s="2" t="s">
        <v>424</v>
      </c>
      <c r="R309" s="2">
        <v>1580</v>
      </c>
      <c r="S309" s="2"/>
      <c r="T309" s="2">
        <v>145</v>
      </c>
      <c r="U309" s="39">
        <f>IF(I309="N",T309*Supuestos!$B$4,T309*Supuestos!$C$4)*100</f>
        <v>6.2048872601939449</v>
      </c>
      <c r="V309" s="20">
        <f t="shared" si="24"/>
        <v>16.11632827586207</v>
      </c>
      <c r="W309" s="2">
        <f t="shared" si="22"/>
        <v>11165</v>
      </c>
      <c r="X309" s="2">
        <f t="shared" si="23"/>
        <v>477.77631903493375</v>
      </c>
    </row>
    <row r="310" spans="1:24" x14ac:dyDescent="0.25">
      <c r="A310" s="6" t="s">
        <v>81</v>
      </c>
      <c r="B310" s="6" t="s">
        <v>636</v>
      </c>
      <c r="C310" s="6" t="s">
        <v>401</v>
      </c>
      <c r="D310" s="6" t="s">
        <v>72</v>
      </c>
      <c r="E310" s="11" t="str">
        <f t="shared" si="20"/>
        <v>SUV</v>
      </c>
      <c r="F310" s="6" t="s">
        <v>21</v>
      </c>
      <c r="G310" s="11">
        <v>1600</v>
      </c>
      <c r="H310" s="6" t="s">
        <v>1050</v>
      </c>
      <c r="I310" s="6" t="str">
        <f t="shared" si="21"/>
        <v>N</v>
      </c>
      <c r="J310" s="17" t="s">
        <v>9</v>
      </c>
      <c r="K310" s="6">
        <v>165</v>
      </c>
      <c r="L310" s="9">
        <v>76</v>
      </c>
      <c r="M310" s="2">
        <v>76</v>
      </c>
      <c r="N310" s="2">
        <v>30490</v>
      </c>
      <c r="O310" s="2" t="s">
        <v>1055</v>
      </c>
      <c r="P310" s="2" t="s">
        <v>1133</v>
      </c>
      <c r="Q310" s="2" t="s">
        <v>429</v>
      </c>
      <c r="R310" s="2">
        <v>1556</v>
      </c>
      <c r="S310" s="2"/>
      <c r="T310" s="2">
        <v>182.49</v>
      </c>
      <c r="U310" s="39">
        <f>IF(I310="N",T310*Supuestos!$B$4,T310*Supuestos!$C$4)*100</f>
        <v>7.8091715593985729</v>
      </c>
      <c r="V310" s="20">
        <f t="shared" si="24"/>
        <v>12.805455641405008</v>
      </c>
      <c r="W310" s="2">
        <f t="shared" si="22"/>
        <v>13869.240000000002</v>
      </c>
      <c r="X310" s="2">
        <f t="shared" si="23"/>
        <v>593.49703851429149</v>
      </c>
    </row>
    <row r="311" spans="1:24" x14ac:dyDescent="0.25">
      <c r="A311" s="6" t="s">
        <v>41</v>
      </c>
      <c r="B311" s="6" t="s">
        <v>246</v>
      </c>
      <c r="C311" s="6" t="s">
        <v>401</v>
      </c>
      <c r="D311" s="6" t="s">
        <v>72</v>
      </c>
      <c r="E311" s="11" t="str">
        <f t="shared" si="20"/>
        <v>SUV</v>
      </c>
      <c r="F311" s="6" t="s">
        <v>24</v>
      </c>
      <c r="G311" s="11">
        <v>2000</v>
      </c>
      <c r="H311" s="6" t="s">
        <v>1050</v>
      </c>
      <c r="I311" s="6" t="str">
        <f t="shared" si="21"/>
        <v>N</v>
      </c>
      <c r="J311" s="17" t="s">
        <v>9</v>
      </c>
      <c r="K311" s="6">
        <v>157</v>
      </c>
      <c r="L311" s="9">
        <v>74</v>
      </c>
      <c r="M311" s="2">
        <v>74</v>
      </c>
      <c r="N311" s="2">
        <v>43990</v>
      </c>
      <c r="O311" s="2" t="s">
        <v>1060</v>
      </c>
      <c r="P311" s="2" t="s">
        <v>450</v>
      </c>
      <c r="Q311" s="2" t="s">
        <v>429</v>
      </c>
      <c r="R311" s="2">
        <v>1936</v>
      </c>
      <c r="S311" s="2"/>
      <c r="T311" s="2">
        <v>177</v>
      </c>
      <c r="U311" s="39">
        <f>IF(I311="N",T311*Supuestos!$B$4,T311*Supuestos!$C$4)*100</f>
        <v>7.5742416900298499</v>
      </c>
      <c r="V311" s="20">
        <f t="shared" si="24"/>
        <v>13.202641807909606</v>
      </c>
      <c r="W311" s="2">
        <f t="shared" si="22"/>
        <v>13098</v>
      </c>
      <c r="X311" s="2">
        <f t="shared" si="23"/>
        <v>560.49388506220885</v>
      </c>
    </row>
    <row r="312" spans="1:24" x14ac:dyDescent="0.25">
      <c r="A312" s="6" t="s">
        <v>19</v>
      </c>
      <c r="B312" s="6" t="s">
        <v>605</v>
      </c>
      <c r="C312" s="6" t="s">
        <v>401</v>
      </c>
      <c r="D312" s="6" t="s">
        <v>72</v>
      </c>
      <c r="E312" s="11" t="str">
        <f t="shared" si="20"/>
        <v>SUV</v>
      </c>
      <c r="F312" s="6" t="s">
        <v>24</v>
      </c>
      <c r="G312" s="11">
        <v>1500</v>
      </c>
      <c r="H312" s="6" t="s">
        <v>1050</v>
      </c>
      <c r="I312" s="6" t="str">
        <f t="shared" si="21"/>
        <v>N</v>
      </c>
      <c r="J312" s="17" t="s">
        <v>9</v>
      </c>
      <c r="K312" s="6">
        <v>170</v>
      </c>
      <c r="L312" s="9">
        <v>71</v>
      </c>
      <c r="M312" s="2">
        <v>71</v>
      </c>
      <c r="N312" s="2">
        <v>49490</v>
      </c>
      <c r="O312" s="2" t="s">
        <v>1060</v>
      </c>
      <c r="P312" s="2" t="s">
        <v>458</v>
      </c>
      <c r="Q312" s="2" t="s">
        <v>429</v>
      </c>
      <c r="R312" s="2">
        <v>2100</v>
      </c>
      <c r="S312" s="2"/>
      <c r="T312" s="2">
        <v>185</v>
      </c>
      <c r="U312" s="39">
        <f>IF(I312="N",T312*Supuestos!$B$4,T312*Supuestos!$C$4)*100</f>
        <v>7.9165802974888262</v>
      </c>
      <c r="V312" s="20">
        <f t="shared" si="24"/>
        <v>12.631716756756758</v>
      </c>
      <c r="W312" s="2">
        <f t="shared" si="22"/>
        <v>13135</v>
      </c>
      <c r="X312" s="2">
        <f t="shared" si="23"/>
        <v>562.07720112170671</v>
      </c>
    </row>
    <row r="313" spans="1:24" x14ac:dyDescent="0.25">
      <c r="A313" s="6" t="s">
        <v>85</v>
      </c>
      <c r="B313" s="6" t="s">
        <v>755</v>
      </c>
      <c r="C313" s="6" t="s">
        <v>401</v>
      </c>
      <c r="D313" s="6" t="s">
        <v>72</v>
      </c>
      <c r="E313" s="11" t="str">
        <f t="shared" si="20"/>
        <v>SUV</v>
      </c>
      <c r="F313" s="6" t="s">
        <v>14</v>
      </c>
      <c r="G313" s="11">
        <v>1500</v>
      </c>
      <c r="H313" s="6" t="s">
        <v>1050</v>
      </c>
      <c r="I313" s="6" t="str">
        <f t="shared" si="21"/>
        <v>N</v>
      </c>
      <c r="J313" s="17" t="s">
        <v>9</v>
      </c>
      <c r="K313" s="6">
        <v>154</v>
      </c>
      <c r="L313" s="9">
        <v>71</v>
      </c>
      <c r="M313" s="2">
        <v>71</v>
      </c>
      <c r="N313" s="2">
        <v>37990</v>
      </c>
      <c r="O313" s="2" t="s">
        <v>1060</v>
      </c>
      <c r="P313" s="2" t="s">
        <v>1161</v>
      </c>
      <c r="Q313" s="2" t="s">
        <v>424</v>
      </c>
      <c r="R313" s="2">
        <v>1928</v>
      </c>
      <c r="S313" s="2"/>
      <c r="T313" s="2">
        <v>190</v>
      </c>
      <c r="U313" s="39">
        <f>IF(I313="N",T313*Supuestos!$B$4,T313*Supuestos!$C$4)*100</f>
        <v>8.130541927150686</v>
      </c>
      <c r="V313" s="20">
        <f t="shared" si="24"/>
        <v>12.299303157894737</v>
      </c>
      <c r="W313" s="2">
        <f t="shared" si="22"/>
        <v>13490</v>
      </c>
      <c r="X313" s="2">
        <f t="shared" si="23"/>
        <v>577.26847682769869</v>
      </c>
    </row>
    <row r="314" spans="1:24" x14ac:dyDescent="0.25">
      <c r="A314" s="6" t="s">
        <v>81</v>
      </c>
      <c r="B314" s="6" t="s">
        <v>169</v>
      </c>
      <c r="C314" s="6" t="s">
        <v>401</v>
      </c>
      <c r="D314" s="6" t="s">
        <v>72</v>
      </c>
      <c r="E314" s="11" t="str">
        <f t="shared" si="20"/>
        <v>SUV</v>
      </c>
      <c r="F314" s="6" t="s">
        <v>21</v>
      </c>
      <c r="G314" s="11">
        <v>1600</v>
      </c>
      <c r="H314" s="6" t="s">
        <v>1050</v>
      </c>
      <c r="I314" s="6" t="str">
        <f t="shared" si="21"/>
        <v>N</v>
      </c>
      <c r="J314" s="17" t="s">
        <v>9</v>
      </c>
      <c r="K314" s="6">
        <v>115</v>
      </c>
      <c r="L314" s="9">
        <v>68</v>
      </c>
      <c r="M314" s="2">
        <v>68</v>
      </c>
      <c r="N314" s="2">
        <v>23990</v>
      </c>
      <c r="O314" s="2" t="s">
        <v>1055</v>
      </c>
      <c r="P314" s="2" t="s">
        <v>1134</v>
      </c>
      <c r="Q314" s="2" t="s">
        <v>429</v>
      </c>
      <c r="R314" s="2">
        <v>1604</v>
      </c>
      <c r="S314" s="2"/>
      <c r="T314" s="2">
        <v>177.53</v>
      </c>
      <c r="U314" s="39">
        <f>IF(I314="N",T314*Supuestos!$B$4,T314*Supuestos!$C$4)*100</f>
        <v>7.5969216227740066</v>
      </c>
      <c r="V314" s="20">
        <f t="shared" si="24"/>
        <v>13.163226496930097</v>
      </c>
      <c r="W314" s="2">
        <f t="shared" si="22"/>
        <v>12072.04</v>
      </c>
      <c r="X314" s="2">
        <f t="shared" si="23"/>
        <v>516.59067034863244</v>
      </c>
    </row>
    <row r="315" spans="1:24" x14ac:dyDescent="0.25">
      <c r="A315" s="6" t="s">
        <v>48</v>
      </c>
      <c r="B315" s="6" t="s">
        <v>324</v>
      </c>
      <c r="C315" s="6" t="s">
        <v>401</v>
      </c>
      <c r="D315" s="6" t="s">
        <v>72</v>
      </c>
      <c r="E315" s="11" t="str">
        <f t="shared" si="20"/>
        <v>SUV</v>
      </c>
      <c r="F315" s="6" t="s">
        <v>21</v>
      </c>
      <c r="G315" s="11">
        <v>1600</v>
      </c>
      <c r="H315" s="6" t="s">
        <v>1050</v>
      </c>
      <c r="I315" s="6" t="str">
        <f t="shared" si="21"/>
        <v>N</v>
      </c>
      <c r="J315" s="17" t="s">
        <v>9</v>
      </c>
      <c r="K315" s="6">
        <v>115</v>
      </c>
      <c r="L315" s="9">
        <v>67</v>
      </c>
      <c r="M315" s="2">
        <v>67</v>
      </c>
      <c r="N315" s="2">
        <v>24990</v>
      </c>
      <c r="O315" s="2" t="s">
        <v>1055</v>
      </c>
      <c r="P315" s="2" t="s">
        <v>1146</v>
      </c>
      <c r="Q315" s="2" t="s">
        <v>429</v>
      </c>
      <c r="R315" s="2">
        <v>1584</v>
      </c>
      <c r="S315" s="2"/>
      <c r="T315" s="2">
        <v>161.69999999999999</v>
      </c>
      <c r="U315" s="39">
        <f>IF(I315="N",T315*Supuestos!$B$4,T315*Supuestos!$C$4)*100</f>
        <v>6.9195191032645571</v>
      </c>
      <c r="V315" s="20">
        <f t="shared" si="24"/>
        <v>14.451871366728511</v>
      </c>
      <c r="W315" s="2">
        <f t="shared" si="22"/>
        <v>10833.9</v>
      </c>
      <c r="X315" s="2">
        <f t="shared" si="23"/>
        <v>463.60777991872533</v>
      </c>
    </row>
    <row r="316" spans="1:24" x14ac:dyDescent="0.25">
      <c r="A316" s="6" t="s">
        <v>32</v>
      </c>
      <c r="B316" s="6" t="s">
        <v>195</v>
      </c>
      <c r="C316" s="6" t="s">
        <v>401</v>
      </c>
      <c r="D316" s="6" t="s">
        <v>72</v>
      </c>
      <c r="E316" s="11" t="str">
        <f t="shared" si="20"/>
        <v>SUV</v>
      </c>
      <c r="F316" s="6" t="s">
        <v>14</v>
      </c>
      <c r="G316" s="11">
        <v>1500</v>
      </c>
      <c r="H316" s="6" t="s">
        <v>1050</v>
      </c>
      <c r="I316" s="6" t="str">
        <f t="shared" si="21"/>
        <v>N</v>
      </c>
      <c r="J316" s="17" t="s">
        <v>9</v>
      </c>
      <c r="K316" s="6">
        <v>174</v>
      </c>
      <c r="L316" s="9">
        <v>65</v>
      </c>
      <c r="M316" s="2">
        <v>65</v>
      </c>
      <c r="N316" s="2">
        <v>33990</v>
      </c>
      <c r="O316" s="2" t="s">
        <v>1053</v>
      </c>
      <c r="P316" s="2" t="s">
        <v>1163</v>
      </c>
      <c r="Q316" s="2" t="s">
        <v>424</v>
      </c>
      <c r="R316" s="2">
        <v>1732</v>
      </c>
      <c r="S316" s="2"/>
      <c r="T316" s="2">
        <v>145</v>
      </c>
      <c r="U316" s="39">
        <f>IF(I316="N",T316*Supuestos!$B$4,T316*Supuestos!$C$4)*100</f>
        <v>6.2048872601939449</v>
      </c>
      <c r="V316" s="20">
        <f t="shared" si="24"/>
        <v>16.11632827586207</v>
      </c>
      <c r="W316" s="2">
        <f t="shared" si="22"/>
        <v>9425</v>
      </c>
      <c r="X316" s="2">
        <f t="shared" si="23"/>
        <v>403.31767191260644</v>
      </c>
    </row>
    <row r="317" spans="1:24" x14ac:dyDescent="0.25">
      <c r="A317" s="6" t="s">
        <v>52</v>
      </c>
      <c r="B317" s="6" t="s">
        <v>373</v>
      </c>
      <c r="C317" s="6" t="s">
        <v>401</v>
      </c>
      <c r="D317" s="6" t="s">
        <v>72</v>
      </c>
      <c r="E317" s="11" t="str">
        <f t="shared" si="20"/>
        <v>SUV</v>
      </c>
      <c r="F317" s="6" t="s">
        <v>45</v>
      </c>
      <c r="G317" s="11">
        <v>2500</v>
      </c>
      <c r="H317" s="6" t="s">
        <v>1050</v>
      </c>
      <c r="I317" s="6" t="str">
        <f t="shared" si="21"/>
        <v>N</v>
      </c>
      <c r="J317" s="17" t="s">
        <v>421</v>
      </c>
      <c r="K317" s="6">
        <v>218</v>
      </c>
      <c r="L317" s="9">
        <v>62</v>
      </c>
      <c r="M317" s="2">
        <v>62</v>
      </c>
      <c r="N317" s="2">
        <v>65990</v>
      </c>
      <c r="O317" s="2" t="s">
        <v>1060</v>
      </c>
      <c r="P317" s="2" t="s">
        <v>1164</v>
      </c>
      <c r="Q317" s="2" t="s">
        <v>424</v>
      </c>
      <c r="R317" s="2">
        <v>2195</v>
      </c>
      <c r="S317" s="2"/>
      <c r="T317" s="2">
        <v>109</v>
      </c>
      <c r="U317" s="39">
        <f>IF(I317="N",T317*Supuestos!$B$4,T317*Supuestos!$C$4)*100</f>
        <v>4.6643635266285521</v>
      </c>
      <c r="V317" s="20">
        <f t="shared" si="24"/>
        <v>21.43915229357798</v>
      </c>
      <c r="W317" s="2">
        <f t="shared" si="22"/>
        <v>6758</v>
      </c>
      <c r="X317" s="2">
        <f t="shared" si="23"/>
        <v>289.19053865097021</v>
      </c>
    </row>
    <row r="318" spans="1:24" x14ac:dyDescent="0.25">
      <c r="A318" s="6" t="s">
        <v>37</v>
      </c>
      <c r="B318" s="6" t="s">
        <v>750</v>
      </c>
      <c r="C318" s="6" t="s">
        <v>401</v>
      </c>
      <c r="D318" s="6" t="s">
        <v>72</v>
      </c>
      <c r="E318" s="11" t="str">
        <f t="shared" si="20"/>
        <v>SUV</v>
      </c>
      <c r="F318" s="6" t="s">
        <v>21</v>
      </c>
      <c r="G318" s="11">
        <v>1300</v>
      </c>
      <c r="H318" s="6" t="s">
        <v>1050</v>
      </c>
      <c r="I318" s="6" t="str">
        <f t="shared" si="21"/>
        <v>N</v>
      </c>
      <c r="J318" s="17" t="s">
        <v>9</v>
      </c>
      <c r="K318" s="6">
        <v>175</v>
      </c>
      <c r="L318" s="9">
        <v>61</v>
      </c>
      <c r="M318" s="2">
        <v>61</v>
      </c>
      <c r="N318" s="2"/>
      <c r="O318" s="2" t="s">
        <v>1060</v>
      </c>
      <c r="P318" s="2" t="s">
        <v>1166</v>
      </c>
      <c r="Q318" s="2" t="s">
        <v>1107</v>
      </c>
      <c r="R318" s="2">
        <v>1892</v>
      </c>
      <c r="S318" s="2"/>
      <c r="T318" s="2">
        <v>179</v>
      </c>
      <c r="U318" s="39">
        <f>IF(I318="N",T318*Supuestos!$B$4,T318*Supuestos!$C$4)*100</f>
        <v>7.6598263418945951</v>
      </c>
      <c r="V318" s="20">
        <f t="shared" si="24"/>
        <v>13.05512625698324</v>
      </c>
      <c r="W318" s="2">
        <f t="shared" si="22"/>
        <v>10919</v>
      </c>
      <c r="X318" s="2">
        <f t="shared" si="23"/>
        <v>467.24940685557033</v>
      </c>
    </row>
    <row r="319" spans="1:24" x14ac:dyDescent="0.25">
      <c r="A319" s="6" t="s">
        <v>17</v>
      </c>
      <c r="B319" s="6" t="s">
        <v>576</v>
      </c>
      <c r="C319" s="6" t="s">
        <v>401</v>
      </c>
      <c r="D319" s="6" t="s">
        <v>72</v>
      </c>
      <c r="E319" s="11" t="str">
        <f t="shared" si="20"/>
        <v>SUV</v>
      </c>
      <c r="F319" s="6" t="s">
        <v>14</v>
      </c>
      <c r="G319" s="11">
        <v>1500</v>
      </c>
      <c r="H319" s="6" t="s">
        <v>1050</v>
      </c>
      <c r="I319" s="6" t="str">
        <f t="shared" si="21"/>
        <v>N</v>
      </c>
      <c r="J319" s="17" t="s">
        <v>420</v>
      </c>
      <c r="K319" s="6">
        <v>214</v>
      </c>
      <c r="L319" s="9">
        <v>60</v>
      </c>
      <c r="M319" s="2">
        <v>60</v>
      </c>
      <c r="N319" s="2">
        <v>49990</v>
      </c>
      <c r="O319" s="2" t="s">
        <v>1060</v>
      </c>
      <c r="P319" s="2" t="s">
        <v>1168</v>
      </c>
      <c r="Q319" s="2" t="s">
        <v>444</v>
      </c>
      <c r="R319" s="2">
        <v>2310</v>
      </c>
      <c r="S319" s="2"/>
      <c r="T319" s="2">
        <v>30</v>
      </c>
      <c r="U319" s="39">
        <f>IF(I319="N",T319*Supuestos!$B$4,T319*Supuestos!$C$4)*100</f>
        <v>1.283769777971161</v>
      </c>
      <c r="V319" s="20">
        <f t="shared" si="24"/>
        <v>77.895586666666674</v>
      </c>
      <c r="W319" s="2">
        <f t="shared" si="22"/>
        <v>1800</v>
      </c>
      <c r="X319" s="2">
        <f t="shared" si="23"/>
        <v>77.026186678269653</v>
      </c>
    </row>
    <row r="320" spans="1:24" x14ac:dyDescent="0.25">
      <c r="A320" s="6" t="s">
        <v>18</v>
      </c>
      <c r="B320" s="6" t="s">
        <v>590</v>
      </c>
      <c r="C320" s="6" t="s">
        <v>401</v>
      </c>
      <c r="D320" s="6" t="s">
        <v>72</v>
      </c>
      <c r="E320" s="11" t="str">
        <f t="shared" si="20"/>
        <v>SUV</v>
      </c>
      <c r="F320" s="6" t="s">
        <v>14</v>
      </c>
      <c r="G320" s="11">
        <v>1000</v>
      </c>
      <c r="H320" s="6" t="s">
        <v>1050</v>
      </c>
      <c r="I320" s="6" t="str">
        <f t="shared" si="21"/>
        <v>N</v>
      </c>
      <c r="J320" s="17" t="s">
        <v>9</v>
      </c>
      <c r="K320" s="6">
        <v>100</v>
      </c>
      <c r="L320" s="9">
        <v>60</v>
      </c>
      <c r="M320" s="2">
        <v>60</v>
      </c>
      <c r="N320" s="2">
        <v>22990</v>
      </c>
      <c r="O320" s="2" t="s">
        <v>1053</v>
      </c>
      <c r="P320" s="2" t="s">
        <v>1138</v>
      </c>
      <c r="Q320" s="2" t="s">
        <v>424</v>
      </c>
      <c r="R320" s="2">
        <v>1637</v>
      </c>
      <c r="S320" s="2"/>
      <c r="T320" s="2">
        <v>157</v>
      </c>
      <c r="U320" s="39">
        <f>IF(I320="N",T320*Supuestos!$B$4,T320*Supuestos!$C$4)*100</f>
        <v>6.7183951713824088</v>
      </c>
      <c r="V320" s="20">
        <f t="shared" si="24"/>
        <v>14.884507006369429</v>
      </c>
      <c r="W320" s="2">
        <f t="shared" si="22"/>
        <v>9420</v>
      </c>
      <c r="X320" s="2">
        <f t="shared" si="23"/>
        <v>403.10371028294452</v>
      </c>
    </row>
    <row r="321" spans="1:24" x14ac:dyDescent="0.25">
      <c r="A321" s="6" t="s">
        <v>18</v>
      </c>
      <c r="B321" s="6" t="s">
        <v>591</v>
      </c>
      <c r="C321" s="6" t="s">
        <v>401</v>
      </c>
      <c r="D321" s="6" t="s">
        <v>72</v>
      </c>
      <c r="E321" s="11" t="str">
        <f t="shared" si="20"/>
        <v>SUV</v>
      </c>
      <c r="F321" s="6" t="s">
        <v>14</v>
      </c>
      <c r="G321" s="11">
        <v>1000</v>
      </c>
      <c r="H321" s="6" t="s">
        <v>1050</v>
      </c>
      <c r="I321" s="6" t="str">
        <f t="shared" si="21"/>
        <v>N</v>
      </c>
      <c r="J321" s="17" t="s">
        <v>9</v>
      </c>
      <c r="K321" s="6">
        <v>100</v>
      </c>
      <c r="L321" s="9">
        <v>60</v>
      </c>
      <c r="M321" s="2">
        <v>60</v>
      </c>
      <c r="N321" s="2">
        <v>24990</v>
      </c>
      <c r="O321" s="2" t="s">
        <v>1053</v>
      </c>
      <c r="P321" s="2" t="s">
        <v>1139</v>
      </c>
      <c r="Q321" s="2" t="s">
        <v>424</v>
      </c>
      <c r="R321" s="2">
        <v>1637</v>
      </c>
      <c r="S321" s="2"/>
      <c r="T321" s="2">
        <v>150</v>
      </c>
      <c r="U321" s="39">
        <f>IF(I321="N",T321*Supuestos!$B$4,T321*Supuestos!$C$4)*100</f>
        <v>6.4188488898558047</v>
      </c>
      <c r="V321" s="20">
        <f t="shared" si="24"/>
        <v>15.579117333333334</v>
      </c>
      <c r="W321" s="2">
        <f t="shared" si="22"/>
        <v>9000</v>
      </c>
      <c r="X321" s="2">
        <f t="shared" si="23"/>
        <v>385.13093339134826</v>
      </c>
    </row>
    <row r="322" spans="1:24" x14ac:dyDescent="0.25">
      <c r="A322" s="6" t="s">
        <v>18</v>
      </c>
      <c r="B322" s="6" t="s">
        <v>137</v>
      </c>
      <c r="C322" s="6" t="s">
        <v>401</v>
      </c>
      <c r="D322" s="6" t="s">
        <v>72</v>
      </c>
      <c r="E322" s="11" t="str">
        <f t="shared" ref="E322:E385" si="25">IF(D322="COMERCIAL","UTILITARIO",IF(C322="SUV Y CROSSOVER","SUV","AUTOMOVIL"))</f>
        <v>SUV</v>
      </c>
      <c r="F322" s="6" t="s">
        <v>14</v>
      </c>
      <c r="G322" s="11">
        <v>1500</v>
      </c>
      <c r="H322" s="6" t="s">
        <v>1050</v>
      </c>
      <c r="I322" s="6" t="str">
        <f t="shared" ref="I322:I385" si="26">IF(H322="NAFTA","N",IF(H322="DIESEL","D",IF(H322="ELÉCTRICO","E","")))</f>
        <v>N</v>
      </c>
      <c r="J322" s="17" t="s">
        <v>9</v>
      </c>
      <c r="K322" s="6">
        <v>116</v>
      </c>
      <c r="L322" s="9">
        <v>60</v>
      </c>
      <c r="M322" s="2">
        <v>60</v>
      </c>
      <c r="N322" s="2">
        <v>24490</v>
      </c>
      <c r="O322" s="2" t="s">
        <v>1060</v>
      </c>
      <c r="P322" s="2" t="s">
        <v>448</v>
      </c>
      <c r="Q322" s="2" t="s">
        <v>429</v>
      </c>
      <c r="R322" s="2">
        <v>1753</v>
      </c>
      <c r="S322" s="2"/>
      <c r="T322" s="2">
        <v>176</v>
      </c>
      <c r="U322" s="39">
        <f>IF(I322="N",T322*Supuestos!$B$4,T322*Supuestos!$C$4)*100</f>
        <v>7.5314493640974787</v>
      </c>
      <c r="V322" s="20">
        <f t="shared" si="24"/>
        <v>13.277656818181818</v>
      </c>
      <c r="W322" s="2">
        <f t="shared" ref="W322:W385" si="27">T322*M322</f>
        <v>10560</v>
      </c>
      <c r="X322" s="2">
        <f t="shared" ref="X322:X385" si="28">+U322*M322</f>
        <v>451.8869618458487</v>
      </c>
    </row>
    <row r="323" spans="1:24" x14ac:dyDescent="0.25">
      <c r="A323" s="6" t="s">
        <v>18</v>
      </c>
      <c r="B323" s="6" t="s">
        <v>598</v>
      </c>
      <c r="C323" s="6" t="s">
        <v>401</v>
      </c>
      <c r="D323" s="6" t="s">
        <v>72</v>
      </c>
      <c r="E323" s="11" t="str">
        <f t="shared" si="25"/>
        <v>SUV</v>
      </c>
      <c r="F323" s="6" t="s">
        <v>14</v>
      </c>
      <c r="G323" s="11">
        <v>1500</v>
      </c>
      <c r="H323" s="6" t="s">
        <v>1050</v>
      </c>
      <c r="I323" s="6" t="str">
        <f t="shared" si="26"/>
        <v>N</v>
      </c>
      <c r="J323" s="17" t="s">
        <v>419</v>
      </c>
      <c r="K323" s="6">
        <v>157</v>
      </c>
      <c r="L323" s="9">
        <v>59</v>
      </c>
      <c r="M323" s="2">
        <v>59</v>
      </c>
      <c r="N323" s="2">
        <v>29990</v>
      </c>
      <c r="O323" s="2" t="s">
        <v>1060</v>
      </c>
      <c r="P323" s="2" t="s">
        <v>447</v>
      </c>
      <c r="Q323" s="2" t="s">
        <v>429</v>
      </c>
      <c r="R323" s="2">
        <v>1789</v>
      </c>
      <c r="S323" s="2"/>
      <c r="T323" s="2">
        <v>179</v>
      </c>
      <c r="U323" s="39">
        <f>IF(I323="N",T323*Supuestos!$B$4,T323*Supuestos!$C$4)*100</f>
        <v>7.6598263418945951</v>
      </c>
      <c r="V323" s="20">
        <f t="shared" ref="V323:V386" si="29">IF(U323&gt;0,100/U323,0)</f>
        <v>13.05512625698324</v>
      </c>
      <c r="W323" s="2">
        <f t="shared" si="27"/>
        <v>10561</v>
      </c>
      <c r="X323" s="2">
        <f t="shared" si="28"/>
        <v>451.9297541717811</v>
      </c>
    </row>
    <row r="324" spans="1:24" x14ac:dyDescent="0.25">
      <c r="A324" s="6" t="s">
        <v>18</v>
      </c>
      <c r="B324" s="6" t="s">
        <v>593</v>
      </c>
      <c r="C324" s="6" t="s">
        <v>401</v>
      </c>
      <c r="D324" s="6" t="s">
        <v>72</v>
      </c>
      <c r="E324" s="11" t="str">
        <f t="shared" si="25"/>
        <v>SUV</v>
      </c>
      <c r="F324" s="6" t="s">
        <v>14</v>
      </c>
      <c r="G324" s="11">
        <v>1500</v>
      </c>
      <c r="H324" s="6" t="s">
        <v>1050</v>
      </c>
      <c r="I324" s="6" t="str">
        <f t="shared" si="26"/>
        <v>N</v>
      </c>
      <c r="J324" s="17" t="s">
        <v>419</v>
      </c>
      <c r="K324" s="6">
        <v>157</v>
      </c>
      <c r="L324" s="9">
        <v>58</v>
      </c>
      <c r="M324" s="2">
        <v>58</v>
      </c>
      <c r="N324" s="2">
        <v>32990</v>
      </c>
      <c r="O324" s="2" t="s">
        <v>1060</v>
      </c>
      <c r="P324" s="2" t="s">
        <v>449</v>
      </c>
      <c r="Q324" s="2" t="s">
        <v>424</v>
      </c>
      <c r="R324" s="2">
        <v>1888</v>
      </c>
      <c r="S324" s="2"/>
      <c r="T324" s="2">
        <v>189</v>
      </c>
      <c r="U324" s="39">
        <f>IF(I324="N",T324*Supuestos!$B$4,T324*Supuestos!$C$4)*100</f>
        <v>8.0877496012183148</v>
      </c>
      <c r="V324" s="20">
        <f t="shared" si="29"/>
        <v>12.364378835978835</v>
      </c>
      <c r="W324" s="2">
        <f t="shared" si="27"/>
        <v>10962</v>
      </c>
      <c r="X324" s="2">
        <f t="shared" si="28"/>
        <v>469.08947687066228</v>
      </c>
    </row>
    <row r="325" spans="1:24" x14ac:dyDescent="0.25">
      <c r="A325" s="6" t="s">
        <v>48</v>
      </c>
      <c r="B325" s="6" t="s">
        <v>917</v>
      </c>
      <c r="C325" s="6" t="s">
        <v>401</v>
      </c>
      <c r="D325" s="6" t="s">
        <v>72</v>
      </c>
      <c r="E325" s="11" t="str">
        <f t="shared" si="25"/>
        <v>SUV</v>
      </c>
      <c r="F325" s="6" t="s">
        <v>20</v>
      </c>
      <c r="G325" s="11">
        <v>1300</v>
      </c>
      <c r="H325" s="6" t="s">
        <v>1050</v>
      </c>
      <c r="I325" s="6" t="str">
        <f t="shared" si="26"/>
        <v>N</v>
      </c>
      <c r="J325" s="17" t="s">
        <v>419</v>
      </c>
      <c r="K325" s="6">
        <v>140</v>
      </c>
      <c r="L325" s="9">
        <v>58</v>
      </c>
      <c r="M325" s="2">
        <v>58</v>
      </c>
      <c r="N325" s="2">
        <v>39990</v>
      </c>
      <c r="O325" s="2" t="s">
        <v>1060</v>
      </c>
      <c r="P325" s="2" t="s">
        <v>1169</v>
      </c>
      <c r="Q325" s="2" t="s">
        <v>444</v>
      </c>
      <c r="R325" s="2">
        <v>1860</v>
      </c>
      <c r="S325" s="2"/>
      <c r="T325" s="2">
        <v>128</v>
      </c>
      <c r="U325" s="39">
        <f>IF(I325="N",T325*Supuestos!$B$4,T325*Supuestos!$C$4)*100</f>
        <v>5.4774177193436202</v>
      </c>
      <c r="V325" s="20">
        <f t="shared" si="29"/>
        <v>18.256778125</v>
      </c>
      <c r="W325" s="2">
        <f t="shared" si="27"/>
        <v>7424</v>
      </c>
      <c r="X325" s="2">
        <f t="shared" si="28"/>
        <v>317.69022772193</v>
      </c>
    </row>
    <row r="326" spans="1:24" x14ac:dyDescent="0.25">
      <c r="A326" s="6" t="s">
        <v>52</v>
      </c>
      <c r="B326" s="6" t="s">
        <v>372</v>
      </c>
      <c r="C326" s="6" t="s">
        <v>401</v>
      </c>
      <c r="D326" s="6" t="s">
        <v>72</v>
      </c>
      <c r="E326" s="11" t="str">
        <f t="shared" si="25"/>
        <v>SUV</v>
      </c>
      <c r="F326" s="6" t="s">
        <v>45</v>
      </c>
      <c r="G326" s="11">
        <v>2500</v>
      </c>
      <c r="H326" s="6" t="s">
        <v>1050</v>
      </c>
      <c r="I326" s="6" t="str">
        <f t="shared" si="26"/>
        <v>N</v>
      </c>
      <c r="J326" s="17" t="s">
        <v>421</v>
      </c>
      <c r="K326" s="6">
        <v>222</v>
      </c>
      <c r="L326" s="9">
        <v>58</v>
      </c>
      <c r="M326" s="2">
        <v>58</v>
      </c>
      <c r="N326" s="2">
        <v>69990</v>
      </c>
      <c r="O326" s="2" t="s">
        <v>1060</v>
      </c>
      <c r="P326" s="2" t="s">
        <v>1165</v>
      </c>
      <c r="Q326" s="2" t="s">
        <v>424</v>
      </c>
      <c r="R326" s="2">
        <v>2230</v>
      </c>
      <c r="S326" s="2"/>
      <c r="T326" s="2">
        <v>109</v>
      </c>
      <c r="U326" s="39">
        <f>IF(I326="N",T326*Supuestos!$B$4,T326*Supuestos!$C$4)*100</f>
        <v>4.6643635266285521</v>
      </c>
      <c r="V326" s="20">
        <f t="shared" si="29"/>
        <v>21.43915229357798</v>
      </c>
      <c r="W326" s="2">
        <f t="shared" si="27"/>
        <v>6322</v>
      </c>
      <c r="X326" s="2">
        <f t="shared" si="28"/>
        <v>270.53308454445602</v>
      </c>
    </row>
    <row r="327" spans="1:24" x14ac:dyDescent="0.25">
      <c r="A327" s="6" t="s">
        <v>48</v>
      </c>
      <c r="B327" s="6" t="s">
        <v>316</v>
      </c>
      <c r="C327" s="6" t="s">
        <v>401</v>
      </c>
      <c r="D327" s="6" t="s">
        <v>72</v>
      </c>
      <c r="E327" s="11" t="str">
        <f t="shared" si="25"/>
        <v>SUV</v>
      </c>
      <c r="F327" s="6" t="s">
        <v>21</v>
      </c>
      <c r="G327" s="11">
        <v>1600</v>
      </c>
      <c r="H327" s="6" t="s">
        <v>1050</v>
      </c>
      <c r="I327" s="6" t="str">
        <f t="shared" si="26"/>
        <v>N</v>
      </c>
      <c r="J327" s="17" t="s">
        <v>9</v>
      </c>
      <c r="K327" s="6">
        <v>118</v>
      </c>
      <c r="L327" s="9">
        <v>57</v>
      </c>
      <c r="M327" s="2">
        <v>57</v>
      </c>
      <c r="N327" s="2">
        <v>25990</v>
      </c>
      <c r="O327" s="2" t="s">
        <v>1053</v>
      </c>
      <c r="P327" s="2" t="s">
        <v>1171</v>
      </c>
      <c r="Q327" s="2" t="s">
        <v>429</v>
      </c>
      <c r="R327" s="2">
        <v>1763</v>
      </c>
      <c r="S327" s="2"/>
      <c r="T327" s="2">
        <v>149</v>
      </c>
      <c r="U327" s="39">
        <f>IF(I327="N",T327*Supuestos!$B$4,T327*Supuestos!$C$4)*100</f>
        <v>6.3760565639234335</v>
      </c>
      <c r="V327" s="20">
        <f t="shared" si="29"/>
        <v>15.683675167785234</v>
      </c>
      <c r="W327" s="2">
        <f t="shared" si="27"/>
        <v>8493</v>
      </c>
      <c r="X327" s="2">
        <f t="shared" si="28"/>
        <v>363.43522414363571</v>
      </c>
    </row>
    <row r="328" spans="1:24" x14ac:dyDescent="0.25">
      <c r="A328" s="6" t="s">
        <v>48</v>
      </c>
      <c r="B328" s="6" t="s">
        <v>317</v>
      </c>
      <c r="C328" s="6" t="s">
        <v>401</v>
      </c>
      <c r="D328" s="6" t="s">
        <v>72</v>
      </c>
      <c r="E328" s="11" t="str">
        <f t="shared" si="25"/>
        <v>SUV</v>
      </c>
      <c r="F328" s="6" t="s">
        <v>21</v>
      </c>
      <c r="G328" s="11">
        <v>1600</v>
      </c>
      <c r="H328" s="6" t="s">
        <v>1050</v>
      </c>
      <c r="I328" s="6" t="str">
        <f t="shared" si="26"/>
        <v>N</v>
      </c>
      <c r="J328" s="17" t="s">
        <v>9</v>
      </c>
      <c r="K328" s="6">
        <v>118</v>
      </c>
      <c r="L328" s="9">
        <v>57</v>
      </c>
      <c r="M328" s="2">
        <v>57</v>
      </c>
      <c r="N328" s="2">
        <v>26990</v>
      </c>
      <c r="O328" s="2" t="s">
        <v>1060</v>
      </c>
      <c r="P328" s="2" t="s">
        <v>1172</v>
      </c>
      <c r="Q328" s="2" t="s">
        <v>424</v>
      </c>
      <c r="R328" s="2">
        <v>1785</v>
      </c>
      <c r="S328" s="2"/>
      <c r="T328" s="2">
        <v>159</v>
      </c>
      <c r="U328" s="39">
        <f>IF(I328="N",T328*Supuestos!$B$4,T328*Supuestos!$C$4)*100</f>
        <v>6.803979823247154</v>
      </c>
      <c r="V328" s="20">
        <f t="shared" si="29"/>
        <v>14.697280503144654</v>
      </c>
      <c r="W328" s="2">
        <f t="shared" si="27"/>
        <v>9063</v>
      </c>
      <c r="X328" s="2">
        <f t="shared" si="28"/>
        <v>387.8268499250878</v>
      </c>
    </row>
    <row r="329" spans="1:24" x14ac:dyDescent="0.25">
      <c r="A329" s="6" t="s">
        <v>33</v>
      </c>
      <c r="B329" s="6" t="s">
        <v>206</v>
      </c>
      <c r="C329" s="6" t="s">
        <v>401</v>
      </c>
      <c r="D329" s="6" t="s">
        <v>72</v>
      </c>
      <c r="E329" s="11" t="str">
        <f t="shared" si="25"/>
        <v>SUV</v>
      </c>
      <c r="F329" s="6" t="s">
        <v>21</v>
      </c>
      <c r="G329" s="11">
        <v>1500</v>
      </c>
      <c r="H329" s="6" t="s">
        <v>1050</v>
      </c>
      <c r="I329" s="6" t="str">
        <f t="shared" si="26"/>
        <v>N</v>
      </c>
      <c r="J329" s="17" t="s">
        <v>9</v>
      </c>
      <c r="K329" s="6">
        <v>118</v>
      </c>
      <c r="L329" s="9">
        <v>56</v>
      </c>
      <c r="M329" s="2">
        <v>56</v>
      </c>
      <c r="N329" s="2">
        <v>23900</v>
      </c>
      <c r="O329" s="2" t="s">
        <v>1060</v>
      </c>
      <c r="P329" s="2" t="s">
        <v>1101</v>
      </c>
      <c r="Q329" s="2" t="s">
        <v>424</v>
      </c>
      <c r="R329" s="2">
        <v>1590</v>
      </c>
      <c r="S329" s="2"/>
      <c r="T329" s="2">
        <v>161</v>
      </c>
      <c r="U329" s="39">
        <f>IF(I329="N",T329*Supuestos!$B$4,T329*Supuestos!$C$4)*100</f>
        <v>6.8895644751118983</v>
      </c>
      <c r="V329" s="20">
        <f t="shared" si="29"/>
        <v>14.51470559006211</v>
      </c>
      <c r="W329" s="2">
        <f t="shared" si="27"/>
        <v>9016</v>
      </c>
      <c r="X329" s="2">
        <f t="shared" si="28"/>
        <v>385.81561060626632</v>
      </c>
    </row>
    <row r="330" spans="1:24" x14ac:dyDescent="0.25">
      <c r="A330" s="6" t="s">
        <v>42</v>
      </c>
      <c r="B330" s="6" t="s">
        <v>833</v>
      </c>
      <c r="C330" s="6" t="s">
        <v>401</v>
      </c>
      <c r="D330" s="6" t="s">
        <v>72</v>
      </c>
      <c r="E330" s="11" t="str">
        <f t="shared" si="25"/>
        <v>SUV</v>
      </c>
      <c r="F330" s="6" t="s">
        <v>11</v>
      </c>
      <c r="G330" s="11">
        <v>2000</v>
      </c>
      <c r="H330" s="6" t="s">
        <v>1050</v>
      </c>
      <c r="I330" s="6" t="str">
        <f t="shared" si="26"/>
        <v>N</v>
      </c>
      <c r="J330" s="17" t="s">
        <v>419</v>
      </c>
      <c r="K330" s="6">
        <v>258</v>
      </c>
      <c r="L330" s="9">
        <v>56</v>
      </c>
      <c r="M330" s="2">
        <v>56</v>
      </c>
      <c r="N330" s="2">
        <v>107990</v>
      </c>
      <c r="O330" s="2" t="s">
        <v>1060</v>
      </c>
      <c r="P330" s="2" t="s">
        <v>61</v>
      </c>
      <c r="Q330" s="2" t="s">
        <v>422</v>
      </c>
      <c r="R330" s="2">
        <v>2400</v>
      </c>
      <c r="S330" s="2"/>
      <c r="T330" s="2">
        <v>174</v>
      </c>
      <c r="U330" s="39">
        <f>IF(I330="N",T330*Supuestos!$B$4,T330*Supuestos!$C$4)*100</f>
        <v>7.4458647122327344</v>
      </c>
      <c r="V330" s="20">
        <f t="shared" si="29"/>
        <v>13.430273563218391</v>
      </c>
      <c r="W330" s="2">
        <f t="shared" si="27"/>
        <v>9744</v>
      </c>
      <c r="X330" s="2">
        <f t="shared" si="28"/>
        <v>416.96842388503313</v>
      </c>
    </row>
    <row r="331" spans="1:24" x14ac:dyDescent="0.25">
      <c r="A331" s="6" t="s">
        <v>39</v>
      </c>
      <c r="B331" s="6" t="s">
        <v>775</v>
      </c>
      <c r="C331" s="6" t="s">
        <v>401</v>
      </c>
      <c r="D331" s="6" t="s">
        <v>72</v>
      </c>
      <c r="E331" s="11" t="str">
        <f t="shared" si="25"/>
        <v>SUV</v>
      </c>
      <c r="F331" s="6" t="s">
        <v>35</v>
      </c>
      <c r="G331" s="11">
        <v>1600</v>
      </c>
      <c r="H331" s="6" t="s">
        <v>1050</v>
      </c>
      <c r="I331" s="6" t="str">
        <f t="shared" si="26"/>
        <v>N</v>
      </c>
      <c r="J331" s="17" t="s">
        <v>9</v>
      </c>
      <c r="K331" s="6">
        <v>123</v>
      </c>
      <c r="L331" s="9">
        <v>55</v>
      </c>
      <c r="M331" s="2">
        <v>55</v>
      </c>
      <c r="N331" s="2">
        <v>33990</v>
      </c>
      <c r="O331" s="2" t="s">
        <v>1060</v>
      </c>
      <c r="P331" s="2" t="s">
        <v>1175</v>
      </c>
      <c r="Q331" s="2" t="s">
        <v>424</v>
      </c>
      <c r="R331" s="2">
        <v>1710</v>
      </c>
      <c r="S331" s="2"/>
      <c r="T331" s="2">
        <v>168</v>
      </c>
      <c r="U331" s="39">
        <f>IF(I331="N",T331*Supuestos!$B$4,T331*Supuestos!$C$4)*100</f>
        <v>7.1891107566385015</v>
      </c>
      <c r="V331" s="20">
        <f t="shared" si="29"/>
        <v>13.909926190476192</v>
      </c>
      <c r="W331" s="2">
        <f t="shared" si="27"/>
        <v>9240</v>
      </c>
      <c r="X331" s="2">
        <f t="shared" si="28"/>
        <v>395.40109161511759</v>
      </c>
    </row>
    <row r="332" spans="1:24" x14ac:dyDescent="0.25">
      <c r="A332" s="6" t="s">
        <v>32</v>
      </c>
      <c r="B332" s="6" t="s">
        <v>679</v>
      </c>
      <c r="C332" s="6" t="s">
        <v>401</v>
      </c>
      <c r="D332" s="6" t="s">
        <v>72</v>
      </c>
      <c r="E332" s="11" t="str">
        <f t="shared" si="25"/>
        <v>SUV</v>
      </c>
      <c r="F332" s="6" t="s">
        <v>14</v>
      </c>
      <c r="G332" s="11">
        <v>1500</v>
      </c>
      <c r="H332" s="6" t="s">
        <v>1050</v>
      </c>
      <c r="I332" s="6" t="str">
        <f t="shared" si="26"/>
        <v>N</v>
      </c>
      <c r="J332" s="17" t="s">
        <v>419</v>
      </c>
      <c r="K332" s="6">
        <v>187</v>
      </c>
      <c r="L332" s="9">
        <v>53</v>
      </c>
      <c r="M332" s="2">
        <v>53</v>
      </c>
      <c r="N332" s="2">
        <v>35990</v>
      </c>
      <c r="O332" s="2" t="s">
        <v>1060</v>
      </c>
      <c r="P332" s="2" t="s">
        <v>1176</v>
      </c>
      <c r="Q332" s="2" t="s">
        <v>424</v>
      </c>
      <c r="R332" s="2">
        <v>2080</v>
      </c>
      <c r="S332" s="2"/>
      <c r="T332" s="2">
        <v>167</v>
      </c>
      <c r="U332" s="39">
        <f>IF(I332="N",T332*Supuestos!$B$4,T332*Supuestos!$C$4)*100</f>
        <v>7.1463184307061294</v>
      </c>
      <c r="V332" s="20">
        <f t="shared" si="29"/>
        <v>13.993219161676647</v>
      </c>
      <c r="W332" s="2">
        <f t="shared" si="27"/>
        <v>8851</v>
      </c>
      <c r="X332" s="2">
        <f t="shared" si="28"/>
        <v>378.75487682742488</v>
      </c>
    </row>
    <row r="333" spans="1:24" x14ac:dyDescent="0.25">
      <c r="A333" s="6" t="s">
        <v>46</v>
      </c>
      <c r="B333" s="6" t="s">
        <v>870</v>
      </c>
      <c r="C333" s="6" t="s">
        <v>401</v>
      </c>
      <c r="D333" s="6" t="s">
        <v>72</v>
      </c>
      <c r="E333" s="11" t="str">
        <f t="shared" si="25"/>
        <v>SUV</v>
      </c>
      <c r="F333" s="6" t="s">
        <v>24</v>
      </c>
      <c r="G333" s="11">
        <v>1600</v>
      </c>
      <c r="H333" s="6" t="s">
        <v>1050</v>
      </c>
      <c r="I333" s="6" t="str">
        <f t="shared" si="26"/>
        <v>N</v>
      </c>
      <c r="J333" s="17" t="s">
        <v>9</v>
      </c>
      <c r="K333" s="6">
        <v>118</v>
      </c>
      <c r="L333" s="9">
        <v>53</v>
      </c>
      <c r="M333" s="2">
        <v>53</v>
      </c>
      <c r="N333" s="2">
        <v>28990</v>
      </c>
      <c r="O333" s="2" t="s">
        <v>1053</v>
      </c>
      <c r="P333" s="2" t="s">
        <v>1127</v>
      </c>
      <c r="Q333" s="2" t="s">
        <v>1080</v>
      </c>
      <c r="R333" s="2">
        <v>1517</v>
      </c>
      <c r="S333" s="2"/>
      <c r="T333" s="2">
        <v>141</v>
      </c>
      <c r="U333" s="39">
        <f>IF(I333="N",T333*Supuestos!$B$4,T333*Supuestos!$C$4)*100</f>
        <v>6.0337179564644572</v>
      </c>
      <c r="V333" s="20">
        <f t="shared" si="29"/>
        <v>16.573529078014182</v>
      </c>
      <c r="W333" s="2">
        <f t="shared" si="27"/>
        <v>7473</v>
      </c>
      <c r="X333" s="2">
        <f t="shared" si="28"/>
        <v>319.78705169261622</v>
      </c>
    </row>
    <row r="334" spans="1:24" x14ac:dyDescent="0.25">
      <c r="A334" s="6" t="s">
        <v>52</v>
      </c>
      <c r="B334" s="6" t="s">
        <v>1000</v>
      </c>
      <c r="C334" s="6" t="s">
        <v>401</v>
      </c>
      <c r="D334" s="6" t="s">
        <v>72</v>
      </c>
      <c r="E334" s="11" t="str">
        <f t="shared" si="25"/>
        <v>SUV</v>
      </c>
      <c r="F334" s="6" t="s">
        <v>64</v>
      </c>
      <c r="G334" s="11">
        <v>1000</v>
      </c>
      <c r="H334" s="6" t="s">
        <v>1050</v>
      </c>
      <c r="I334" s="6" t="str">
        <f t="shared" si="26"/>
        <v>N</v>
      </c>
      <c r="J334" s="17" t="s">
        <v>9</v>
      </c>
      <c r="K334" s="6">
        <v>97</v>
      </c>
      <c r="L334" s="9">
        <v>51</v>
      </c>
      <c r="M334" s="2">
        <v>51</v>
      </c>
      <c r="N334" s="2">
        <v>32990</v>
      </c>
      <c r="O334" s="2" t="s">
        <v>1060</v>
      </c>
      <c r="P334" s="2" t="s">
        <v>1177</v>
      </c>
      <c r="Q334" s="2" t="s">
        <v>424</v>
      </c>
      <c r="R334" s="2">
        <v>1680</v>
      </c>
      <c r="S334" s="2"/>
      <c r="T334" s="2">
        <v>127</v>
      </c>
      <c r="U334" s="39">
        <f>IF(I334="N",T334*Supuestos!$B$4,T334*Supuestos!$C$4)*100</f>
        <v>5.434625393411249</v>
      </c>
      <c r="V334" s="20">
        <f t="shared" si="29"/>
        <v>18.400532283464564</v>
      </c>
      <c r="W334" s="2">
        <f t="shared" si="27"/>
        <v>6477</v>
      </c>
      <c r="X334" s="2">
        <f t="shared" si="28"/>
        <v>277.16589506397372</v>
      </c>
    </row>
    <row r="335" spans="1:24" x14ac:dyDescent="0.25">
      <c r="A335" s="6" t="s">
        <v>15</v>
      </c>
      <c r="B335" s="6" t="s">
        <v>546</v>
      </c>
      <c r="C335" s="6" t="s">
        <v>401</v>
      </c>
      <c r="D335" s="6" t="s">
        <v>72</v>
      </c>
      <c r="E335" s="11" t="str">
        <f t="shared" si="25"/>
        <v>SUV</v>
      </c>
      <c r="F335" s="6" t="s">
        <v>11</v>
      </c>
      <c r="G335" s="11">
        <v>1500</v>
      </c>
      <c r="H335" s="6" t="s">
        <v>1050</v>
      </c>
      <c r="I335" s="6" t="str">
        <f t="shared" si="26"/>
        <v>N</v>
      </c>
      <c r="J335" s="17" t="s">
        <v>420</v>
      </c>
      <c r="K335" s="6">
        <v>245</v>
      </c>
      <c r="L335" s="9">
        <v>50</v>
      </c>
      <c r="M335" s="2">
        <v>50</v>
      </c>
      <c r="N335" s="2">
        <v>78990</v>
      </c>
      <c r="O335" s="2" t="s">
        <v>1060</v>
      </c>
      <c r="P335" s="2" t="s">
        <v>1179</v>
      </c>
      <c r="Q335" s="2" t="s">
        <v>424</v>
      </c>
      <c r="R335" s="2">
        <v>2430</v>
      </c>
      <c r="S335" s="2"/>
      <c r="T335" s="2">
        <v>36</v>
      </c>
      <c r="U335" s="39">
        <f>IF(I335="N",T335*Supuestos!$B$4,T335*Supuestos!$C$4)*100</f>
        <v>1.5405237335653932</v>
      </c>
      <c r="V335" s="20">
        <f t="shared" si="29"/>
        <v>64.91298888888889</v>
      </c>
      <c r="W335" s="2">
        <f t="shared" si="27"/>
        <v>1800</v>
      </c>
      <c r="X335" s="2">
        <f t="shared" si="28"/>
        <v>77.026186678269653</v>
      </c>
    </row>
    <row r="336" spans="1:24" x14ac:dyDescent="0.25">
      <c r="A336" s="6" t="s">
        <v>18</v>
      </c>
      <c r="B336" s="6" t="s">
        <v>597</v>
      </c>
      <c r="C336" s="6" t="s">
        <v>401</v>
      </c>
      <c r="D336" s="6" t="s">
        <v>72</v>
      </c>
      <c r="E336" s="11" t="str">
        <f t="shared" si="25"/>
        <v>SUV</v>
      </c>
      <c r="F336" s="6" t="s">
        <v>14</v>
      </c>
      <c r="G336" s="11">
        <v>1500</v>
      </c>
      <c r="H336" s="6" t="s">
        <v>1050</v>
      </c>
      <c r="I336" s="6" t="str">
        <f t="shared" si="26"/>
        <v>N</v>
      </c>
      <c r="J336" s="17" t="s">
        <v>9</v>
      </c>
      <c r="K336" s="6">
        <v>147</v>
      </c>
      <c r="L336" s="9">
        <v>50</v>
      </c>
      <c r="M336" s="2">
        <v>50</v>
      </c>
      <c r="N336" s="2">
        <v>29990</v>
      </c>
      <c r="O336" s="2" t="s">
        <v>1060</v>
      </c>
      <c r="P336" s="2" t="s">
        <v>447</v>
      </c>
      <c r="Q336" s="2" t="s">
        <v>429</v>
      </c>
      <c r="R336" s="2">
        <v>1789</v>
      </c>
      <c r="S336" s="2"/>
      <c r="T336" s="2">
        <v>179</v>
      </c>
      <c r="U336" s="39">
        <f>IF(I336="N",T336*Supuestos!$B$4,T336*Supuestos!$C$4)*100</f>
        <v>7.6598263418945951</v>
      </c>
      <c r="V336" s="20">
        <f t="shared" si="29"/>
        <v>13.05512625698324</v>
      </c>
      <c r="W336" s="2">
        <f t="shared" si="27"/>
        <v>8950</v>
      </c>
      <c r="X336" s="2">
        <f t="shared" si="28"/>
        <v>382.99131709472977</v>
      </c>
    </row>
    <row r="337" spans="1:24" x14ac:dyDescent="0.25">
      <c r="A337" s="6" t="s">
        <v>30</v>
      </c>
      <c r="B337" s="6" t="s">
        <v>182</v>
      </c>
      <c r="C337" s="6" t="s">
        <v>401</v>
      </c>
      <c r="D337" s="6" t="s">
        <v>72</v>
      </c>
      <c r="E337" s="11" t="str">
        <f t="shared" si="25"/>
        <v>SUV</v>
      </c>
      <c r="F337" s="6" t="s">
        <v>24</v>
      </c>
      <c r="G337" s="11">
        <v>1500</v>
      </c>
      <c r="H337" s="6" t="s">
        <v>1050</v>
      </c>
      <c r="I337" s="6" t="str">
        <f t="shared" si="26"/>
        <v>N</v>
      </c>
      <c r="J337" s="17" t="s">
        <v>9</v>
      </c>
      <c r="K337" s="6">
        <v>175</v>
      </c>
      <c r="L337" s="9">
        <v>50</v>
      </c>
      <c r="M337" s="2">
        <v>50</v>
      </c>
      <c r="N337" s="2">
        <v>52900</v>
      </c>
      <c r="O337" s="2" t="s">
        <v>1053</v>
      </c>
      <c r="P337" s="2">
        <v>2019</v>
      </c>
      <c r="Q337" s="2" t="s">
        <v>1181</v>
      </c>
      <c r="R337" s="2" t="s">
        <v>1182</v>
      </c>
      <c r="S337" s="2"/>
      <c r="T337" s="2">
        <v>170</v>
      </c>
      <c r="U337" s="39">
        <f>IF(I337="N",T337*Supuestos!$B$4,T337*Supuestos!$C$4)*100</f>
        <v>7.2746954085032458</v>
      </c>
      <c r="V337" s="20">
        <f t="shared" si="29"/>
        <v>13.74628</v>
      </c>
      <c r="W337" s="2">
        <f t="shared" si="27"/>
        <v>8500</v>
      </c>
      <c r="X337" s="2">
        <f t="shared" si="28"/>
        <v>363.73477042516231</v>
      </c>
    </row>
    <row r="338" spans="1:24" x14ac:dyDescent="0.25">
      <c r="A338" s="6" t="s">
        <v>62</v>
      </c>
      <c r="B338" s="6" t="s">
        <v>887</v>
      </c>
      <c r="C338" s="6" t="s">
        <v>401</v>
      </c>
      <c r="D338" s="6" t="s">
        <v>72</v>
      </c>
      <c r="E338" s="11" t="str">
        <f t="shared" si="25"/>
        <v>SUV</v>
      </c>
      <c r="F338" s="6" t="s">
        <v>21</v>
      </c>
      <c r="G338" s="11">
        <v>1600</v>
      </c>
      <c r="H338" s="6" t="s">
        <v>1050</v>
      </c>
      <c r="I338" s="6" t="str">
        <f t="shared" si="26"/>
        <v>N</v>
      </c>
      <c r="J338" s="17" t="s">
        <v>9</v>
      </c>
      <c r="K338" s="6">
        <v>115</v>
      </c>
      <c r="L338" s="9">
        <v>50</v>
      </c>
      <c r="M338" s="2">
        <v>50</v>
      </c>
      <c r="N338" s="2">
        <v>27490</v>
      </c>
      <c r="O338" s="2" t="s">
        <v>1053</v>
      </c>
      <c r="P338" s="2" t="s">
        <v>1069</v>
      </c>
      <c r="Q338" s="2" t="s">
        <v>422</v>
      </c>
      <c r="R338" s="2">
        <v>1585</v>
      </c>
      <c r="S338" s="2"/>
      <c r="T338" s="2">
        <v>169</v>
      </c>
      <c r="U338" s="39">
        <f>IF(I338="N",T338*Supuestos!$B$4,T338*Supuestos!$C$4)*100</f>
        <v>7.2319030825708746</v>
      </c>
      <c r="V338" s="20">
        <f t="shared" si="29"/>
        <v>13.827618934911241</v>
      </c>
      <c r="W338" s="2">
        <f t="shared" si="27"/>
        <v>8450</v>
      </c>
      <c r="X338" s="2">
        <f t="shared" si="28"/>
        <v>361.59515412854375</v>
      </c>
    </row>
    <row r="339" spans="1:24" x14ac:dyDescent="0.25">
      <c r="A339" s="6" t="s">
        <v>48</v>
      </c>
      <c r="B339" s="6" t="s">
        <v>319</v>
      </c>
      <c r="C339" s="6" t="s">
        <v>401</v>
      </c>
      <c r="D339" s="6" t="s">
        <v>72</v>
      </c>
      <c r="E339" s="11" t="str">
        <f t="shared" si="25"/>
        <v>SUV</v>
      </c>
      <c r="F339" s="6" t="s">
        <v>21</v>
      </c>
      <c r="G339" s="11">
        <v>1300</v>
      </c>
      <c r="H339" s="6" t="s">
        <v>1050</v>
      </c>
      <c r="I339" s="6" t="str">
        <f t="shared" si="26"/>
        <v>N</v>
      </c>
      <c r="J339" s="17" t="s">
        <v>9</v>
      </c>
      <c r="K339" s="6">
        <v>155</v>
      </c>
      <c r="L339" s="9">
        <v>50</v>
      </c>
      <c r="M339" s="2">
        <v>50</v>
      </c>
      <c r="N339" s="2">
        <v>29990</v>
      </c>
      <c r="O339" s="2" t="s">
        <v>1053</v>
      </c>
      <c r="P339" s="2" t="s">
        <v>1173</v>
      </c>
      <c r="Q339" s="2" t="s">
        <v>429</v>
      </c>
      <c r="R339" s="2">
        <v>1341</v>
      </c>
      <c r="S339" s="2"/>
      <c r="T339" s="2">
        <v>169</v>
      </c>
      <c r="U339" s="39">
        <f>IF(I339="N",T339*Supuestos!$B$4,T339*Supuestos!$C$4)*100</f>
        <v>7.2319030825708746</v>
      </c>
      <c r="V339" s="20">
        <f t="shared" si="29"/>
        <v>13.827618934911241</v>
      </c>
      <c r="W339" s="2">
        <f t="shared" si="27"/>
        <v>8450</v>
      </c>
      <c r="X339" s="2">
        <f t="shared" si="28"/>
        <v>361.59515412854375</v>
      </c>
    </row>
    <row r="340" spans="1:24" x14ac:dyDescent="0.25">
      <c r="A340" s="6" t="s">
        <v>32</v>
      </c>
      <c r="B340" s="6" t="s">
        <v>683</v>
      </c>
      <c r="C340" s="6" t="s">
        <v>401</v>
      </c>
      <c r="D340" s="6" t="s">
        <v>72</v>
      </c>
      <c r="E340" s="11" t="str">
        <f t="shared" si="25"/>
        <v>SUV</v>
      </c>
      <c r="F340" s="6" t="s">
        <v>14</v>
      </c>
      <c r="G340" s="11">
        <v>1500</v>
      </c>
      <c r="H340" s="6" t="s">
        <v>1050</v>
      </c>
      <c r="I340" s="6" t="str">
        <f t="shared" si="26"/>
        <v>N</v>
      </c>
      <c r="J340" s="17" t="s">
        <v>9</v>
      </c>
      <c r="K340" s="6">
        <v>102</v>
      </c>
      <c r="L340" s="9">
        <v>49</v>
      </c>
      <c r="M340" s="2">
        <v>49</v>
      </c>
      <c r="N340" s="2">
        <v>20990</v>
      </c>
      <c r="O340" s="2" t="s">
        <v>1053</v>
      </c>
      <c r="P340" s="2" t="s">
        <v>1153</v>
      </c>
      <c r="Q340" s="2" t="s">
        <v>429</v>
      </c>
      <c r="R340" s="2">
        <v>1590</v>
      </c>
      <c r="S340" s="2"/>
      <c r="T340" s="2">
        <v>168</v>
      </c>
      <c r="U340" s="39">
        <f>IF(I340="N",T340*Supuestos!$B$4,T340*Supuestos!$C$4)*100</f>
        <v>7.1891107566385015</v>
      </c>
      <c r="V340" s="20">
        <f t="shared" si="29"/>
        <v>13.909926190476192</v>
      </c>
      <c r="W340" s="2">
        <f t="shared" si="27"/>
        <v>8232</v>
      </c>
      <c r="X340" s="2">
        <f t="shared" si="28"/>
        <v>352.26642707528657</v>
      </c>
    </row>
    <row r="341" spans="1:24" x14ac:dyDescent="0.25">
      <c r="A341" s="6" t="s">
        <v>37</v>
      </c>
      <c r="B341" s="6" t="s">
        <v>746</v>
      </c>
      <c r="C341" s="6" t="s">
        <v>401</v>
      </c>
      <c r="D341" s="6" t="s">
        <v>72</v>
      </c>
      <c r="E341" s="11" t="str">
        <f t="shared" si="25"/>
        <v>SUV</v>
      </c>
      <c r="F341" s="6" t="s">
        <v>21</v>
      </c>
      <c r="G341" s="11">
        <v>1300</v>
      </c>
      <c r="H341" s="6" t="s">
        <v>1050</v>
      </c>
      <c r="I341" s="6" t="str">
        <f t="shared" si="26"/>
        <v>N</v>
      </c>
      <c r="J341" s="17" t="s">
        <v>9</v>
      </c>
      <c r="K341" s="6">
        <v>175</v>
      </c>
      <c r="L341" s="9">
        <v>49</v>
      </c>
      <c r="M341" s="2">
        <v>49</v>
      </c>
      <c r="N341" s="2">
        <v>63490</v>
      </c>
      <c r="O341" s="2" t="s">
        <v>1060</v>
      </c>
      <c r="P341" s="2" t="s">
        <v>1184</v>
      </c>
      <c r="Q341" s="2" t="s">
        <v>424</v>
      </c>
      <c r="R341" s="2">
        <v>2255</v>
      </c>
      <c r="S341" s="2"/>
      <c r="T341" s="2">
        <v>185</v>
      </c>
      <c r="U341" s="39">
        <f>IF(I341="N",T341*Supuestos!$B$4,T341*Supuestos!$C$4)*100</f>
        <v>7.9165802974888262</v>
      </c>
      <c r="V341" s="20">
        <f t="shared" si="29"/>
        <v>12.631716756756758</v>
      </c>
      <c r="W341" s="2">
        <f t="shared" si="27"/>
        <v>9065</v>
      </c>
      <c r="X341" s="2">
        <f t="shared" si="28"/>
        <v>387.91243457695248</v>
      </c>
    </row>
    <row r="342" spans="1:24" x14ac:dyDescent="0.25">
      <c r="A342" s="6" t="s">
        <v>42</v>
      </c>
      <c r="B342" s="6" t="s">
        <v>830</v>
      </c>
      <c r="C342" s="6" t="s">
        <v>401</v>
      </c>
      <c r="D342" s="6" t="s">
        <v>72</v>
      </c>
      <c r="E342" s="11" t="str">
        <f t="shared" si="25"/>
        <v>SUV</v>
      </c>
      <c r="F342" s="6" t="s">
        <v>11</v>
      </c>
      <c r="G342" s="11">
        <v>2000</v>
      </c>
      <c r="H342" s="6" t="s">
        <v>1050</v>
      </c>
      <c r="I342" s="6" t="str">
        <f t="shared" si="26"/>
        <v>N</v>
      </c>
      <c r="J342" s="17" t="s">
        <v>419</v>
      </c>
      <c r="K342" s="6">
        <v>204</v>
      </c>
      <c r="L342" s="9">
        <v>48</v>
      </c>
      <c r="M342" s="2">
        <v>48</v>
      </c>
      <c r="N342" s="2">
        <v>93990</v>
      </c>
      <c r="O342" s="2" t="s">
        <v>1060</v>
      </c>
      <c r="P342" s="2" t="s">
        <v>1186</v>
      </c>
      <c r="Q342" s="2" t="s">
        <v>424</v>
      </c>
      <c r="R342" s="2">
        <v>2510</v>
      </c>
      <c r="S342" s="2"/>
      <c r="T342" s="2">
        <v>169</v>
      </c>
      <c r="U342" s="39">
        <f>IF(I342="N",T342*Supuestos!$B$4,T342*Supuestos!$C$4)*100</f>
        <v>7.2319030825708746</v>
      </c>
      <c r="V342" s="20">
        <f t="shared" si="29"/>
        <v>13.827618934911241</v>
      </c>
      <c r="W342" s="2">
        <f t="shared" si="27"/>
        <v>8112</v>
      </c>
      <c r="X342" s="2">
        <f t="shared" si="28"/>
        <v>347.13134796340199</v>
      </c>
    </row>
    <row r="343" spans="1:24" x14ac:dyDescent="0.25">
      <c r="A343" s="6" t="s">
        <v>37</v>
      </c>
      <c r="B343" s="6" t="s">
        <v>749</v>
      </c>
      <c r="C343" s="6" t="s">
        <v>401</v>
      </c>
      <c r="D343" s="6" t="s">
        <v>72</v>
      </c>
      <c r="E343" s="11" t="str">
        <f t="shared" si="25"/>
        <v>SUV</v>
      </c>
      <c r="F343" s="6" t="s">
        <v>21</v>
      </c>
      <c r="G343" s="11">
        <v>1300</v>
      </c>
      <c r="H343" s="6" t="s">
        <v>1050</v>
      </c>
      <c r="I343" s="6" t="str">
        <f t="shared" si="26"/>
        <v>N</v>
      </c>
      <c r="J343" s="17" t="s">
        <v>9</v>
      </c>
      <c r="K343" s="6">
        <v>175</v>
      </c>
      <c r="L343" s="9">
        <v>47</v>
      </c>
      <c r="M343" s="2">
        <v>47</v>
      </c>
      <c r="N343" s="2"/>
      <c r="O343" s="2" t="s">
        <v>1060</v>
      </c>
      <c r="P343" s="2" t="s">
        <v>1166</v>
      </c>
      <c r="Q343" s="2" t="s">
        <v>1107</v>
      </c>
      <c r="R343" s="2">
        <v>1844</v>
      </c>
      <c r="S343" s="2"/>
      <c r="T343" s="2">
        <v>179</v>
      </c>
      <c r="U343" s="39">
        <f>IF(I343="N",T343*Supuestos!$B$4,T343*Supuestos!$C$4)*100</f>
        <v>7.6598263418945951</v>
      </c>
      <c r="V343" s="20">
        <f t="shared" si="29"/>
        <v>13.05512625698324</v>
      </c>
      <c r="W343" s="2">
        <f t="shared" si="27"/>
        <v>8413</v>
      </c>
      <c r="X343" s="2">
        <f t="shared" si="28"/>
        <v>360.01183806904595</v>
      </c>
    </row>
    <row r="344" spans="1:24" x14ac:dyDescent="0.25">
      <c r="A344" s="6" t="s">
        <v>34</v>
      </c>
      <c r="B344" s="6" t="s">
        <v>717</v>
      </c>
      <c r="C344" s="6" t="s">
        <v>401</v>
      </c>
      <c r="D344" s="6" t="s">
        <v>72</v>
      </c>
      <c r="E344" s="11" t="str">
        <f t="shared" si="25"/>
        <v>SUV</v>
      </c>
      <c r="F344" s="6" t="s">
        <v>20</v>
      </c>
      <c r="G344" s="11">
        <v>1600</v>
      </c>
      <c r="H344" s="6" t="s">
        <v>1050</v>
      </c>
      <c r="I344" s="6" t="str">
        <f t="shared" si="26"/>
        <v>N</v>
      </c>
      <c r="J344" s="17" t="s">
        <v>421</v>
      </c>
      <c r="K344" s="6">
        <v>141</v>
      </c>
      <c r="L344" s="9">
        <v>46</v>
      </c>
      <c r="M344" s="2">
        <v>46</v>
      </c>
      <c r="N344" s="2">
        <v>43990</v>
      </c>
      <c r="O344" s="2" t="s">
        <v>1060</v>
      </c>
      <c r="P344" s="2" t="s">
        <v>1187</v>
      </c>
      <c r="Q344" s="2" t="s">
        <v>456</v>
      </c>
      <c r="R344" s="2">
        <v>1950</v>
      </c>
      <c r="S344" s="2"/>
      <c r="T344" s="2">
        <v>88</v>
      </c>
      <c r="U344" s="39">
        <f>IF(I344="N",T344*Supuestos!$B$4,T344*Supuestos!$C$4)*100</f>
        <v>3.7657246820487393</v>
      </c>
      <c r="V344" s="20">
        <f t="shared" si="29"/>
        <v>26.555313636363636</v>
      </c>
      <c r="W344" s="2">
        <f t="shared" si="27"/>
        <v>4048</v>
      </c>
      <c r="X344" s="2">
        <f t="shared" si="28"/>
        <v>173.223335374242</v>
      </c>
    </row>
    <row r="345" spans="1:24" x14ac:dyDescent="0.25">
      <c r="A345" s="6" t="s">
        <v>54</v>
      </c>
      <c r="B345" s="6" t="s">
        <v>396</v>
      </c>
      <c r="C345" s="6" t="s">
        <v>401</v>
      </c>
      <c r="D345" s="6" t="s">
        <v>72</v>
      </c>
      <c r="E345" s="11" t="str">
        <f t="shared" si="25"/>
        <v>SUV</v>
      </c>
      <c r="F345" s="6" t="s">
        <v>417</v>
      </c>
      <c r="G345" s="11">
        <v>1500</v>
      </c>
      <c r="H345" s="6" t="s">
        <v>1050</v>
      </c>
      <c r="I345" s="6" t="str">
        <f t="shared" si="26"/>
        <v>N</v>
      </c>
      <c r="J345" s="17" t="s">
        <v>420</v>
      </c>
      <c r="K345" s="6">
        <v>262</v>
      </c>
      <c r="L345" s="9">
        <v>45</v>
      </c>
      <c r="M345" s="2">
        <v>45</v>
      </c>
      <c r="N345" s="2">
        <v>79990</v>
      </c>
      <c r="O345" s="2" t="s">
        <v>1060</v>
      </c>
      <c r="P345" s="2" t="s">
        <v>464</v>
      </c>
      <c r="Q345" s="2" t="s">
        <v>424</v>
      </c>
      <c r="R345" s="2">
        <v>2290</v>
      </c>
      <c r="S345" s="2"/>
      <c r="T345" s="2">
        <v>52</v>
      </c>
      <c r="U345" s="39">
        <f>IF(I345="N",T345*Supuestos!$B$4,T345*Supuestos!$C$4)*100</f>
        <v>2.2252009484833457</v>
      </c>
      <c r="V345" s="20">
        <f t="shared" si="29"/>
        <v>44.939761538461539</v>
      </c>
      <c r="W345" s="2">
        <f t="shared" si="27"/>
        <v>2340</v>
      </c>
      <c r="X345" s="2">
        <f t="shared" si="28"/>
        <v>100.13404268175056</v>
      </c>
    </row>
    <row r="346" spans="1:24" x14ac:dyDescent="0.25">
      <c r="A346" s="6" t="s">
        <v>29</v>
      </c>
      <c r="B346" s="6" t="s">
        <v>653</v>
      </c>
      <c r="C346" s="6" t="s">
        <v>401</v>
      </c>
      <c r="D346" s="6" t="s">
        <v>72</v>
      </c>
      <c r="E346" s="11" t="str">
        <f t="shared" si="25"/>
        <v>SUV</v>
      </c>
      <c r="F346" s="6" t="s">
        <v>21</v>
      </c>
      <c r="G346" s="11">
        <v>1000</v>
      </c>
      <c r="H346" s="6" t="s">
        <v>1050</v>
      </c>
      <c r="I346" s="6" t="str">
        <f t="shared" si="26"/>
        <v>N</v>
      </c>
      <c r="J346" s="17" t="s">
        <v>9</v>
      </c>
      <c r="K346" s="6">
        <v>120</v>
      </c>
      <c r="L346" s="9">
        <v>44</v>
      </c>
      <c r="M346" s="2">
        <v>44</v>
      </c>
      <c r="N346" s="2">
        <v>32690</v>
      </c>
      <c r="O346" s="2" t="s">
        <v>1060</v>
      </c>
      <c r="P346" s="2" t="s">
        <v>1132</v>
      </c>
      <c r="Q346" s="2" t="s">
        <v>1107</v>
      </c>
      <c r="R346" s="2">
        <v>1661</v>
      </c>
      <c r="S346" s="2"/>
      <c r="T346" s="2">
        <v>150</v>
      </c>
      <c r="U346" s="39">
        <f>IF(I346="N",T346*Supuestos!$B$4,T346*Supuestos!$C$4)*100</f>
        <v>6.4188488898558047</v>
      </c>
      <c r="V346" s="20">
        <f t="shared" si="29"/>
        <v>15.579117333333334</v>
      </c>
      <c r="W346" s="2">
        <f t="shared" si="27"/>
        <v>6600</v>
      </c>
      <c r="X346" s="2">
        <f t="shared" si="28"/>
        <v>282.42935115365543</v>
      </c>
    </row>
    <row r="347" spans="1:24" x14ac:dyDescent="0.25">
      <c r="A347" s="6" t="s">
        <v>37</v>
      </c>
      <c r="B347" s="6" t="s">
        <v>754</v>
      </c>
      <c r="C347" s="6" t="s">
        <v>401</v>
      </c>
      <c r="D347" s="6" t="s">
        <v>72</v>
      </c>
      <c r="E347" s="11" t="str">
        <f t="shared" si="25"/>
        <v>SUV</v>
      </c>
      <c r="F347" s="6" t="s">
        <v>21</v>
      </c>
      <c r="G347" s="11">
        <v>1300</v>
      </c>
      <c r="H347" s="6" t="s">
        <v>1050</v>
      </c>
      <c r="I347" s="6" t="str">
        <f t="shared" si="26"/>
        <v>N</v>
      </c>
      <c r="J347" s="17" t="s">
        <v>9</v>
      </c>
      <c r="K347" s="6">
        <v>180</v>
      </c>
      <c r="L347" s="9">
        <v>44</v>
      </c>
      <c r="M347" s="2">
        <v>44</v>
      </c>
      <c r="N347" s="2">
        <v>45990</v>
      </c>
      <c r="O347" s="2" t="s">
        <v>1060</v>
      </c>
      <c r="P347" s="2" t="s">
        <v>1152</v>
      </c>
      <c r="Q347" s="2" t="s">
        <v>1107</v>
      </c>
      <c r="R347" s="2">
        <v>1957</v>
      </c>
      <c r="S347" s="2"/>
      <c r="T347" s="2">
        <v>163</v>
      </c>
      <c r="U347" s="39">
        <f>IF(I347="N",T347*Supuestos!$B$4,T347*Supuestos!$C$4)*100</f>
        <v>6.9751491269766417</v>
      </c>
      <c r="V347" s="20">
        <f t="shared" si="29"/>
        <v>14.336611042944785</v>
      </c>
      <c r="W347" s="2">
        <f t="shared" si="27"/>
        <v>7172</v>
      </c>
      <c r="X347" s="2">
        <f t="shared" si="28"/>
        <v>306.90656158697226</v>
      </c>
    </row>
    <row r="348" spans="1:24" x14ac:dyDescent="0.25">
      <c r="A348" s="6" t="s">
        <v>48</v>
      </c>
      <c r="B348" s="6" t="s">
        <v>937</v>
      </c>
      <c r="C348" s="6" t="s">
        <v>401</v>
      </c>
      <c r="D348" s="6" t="s">
        <v>72</v>
      </c>
      <c r="E348" s="11" t="str">
        <f t="shared" si="25"/>
        <v>SUV</v>
      </c>
      <c r="F348" s="6" t="s">
        <v>21</v>
      </c>
      <c r="G348" s="11">
        <v>1600</v>
      </c>
      <c r="H348" s="6" t="s">
        <v>1050</v>
      </c>
      <c r="I348" s="6" t="str">
        <f t="shared" si="26"/>
        <v>N</v>
      </c>
      <c r="J348" s="17" t="s">
        <v>9</v>
      </c>
      <c r="K348" s="6">
        <v>115</v>
      </c>
      <c r="L348" s="9">
        <v>44</v>
      </c>
      <c r="M348" s="2">
        <v>44</v>
      </c>
      <c r="N348" s="2">
        <v>21990</v>
      </c>
      <c r="O348" s="2"/>
      <c r="P348" s="2" t="s">
        <v>1147</v>
      </c>
      <c r="Q348" s="2" t="s">
        <v>429</v>
      </c>
      <c r="R348" s="2">
        <v>1584</v>
      </c>
      <c r="S348" s="2"/>
      <c r="T348" s="2">
        <v>163.08000000000001</v>
      </c>
      <c r="U348" s="39">
        <f>IF(I348="N",T348*Supuestos!$B$4,T348*Supuestos!$C$4)*100</f>
        <v>6.9785725130512315</v>
      </c>
      <c r="V348" s="20">
        <f t="shared" si="29"/>
        <v>14.329578121167525</v>
      </c>
      <c r="W348" s="2">
        <f t="shared" si="27"/>
        <v>7175.52</v>
      </c>
      <c r="X348" s="2">
        <f t="shared" si="28"/>
        <v>307.05719057425421</v>
      </c>
    </row>
    <row r="349" spans="1:24" x14ac:dyDescent="0.25">
      <c r="A349" s="6" t="s">
        <v>52</v>
      </c>
      <c r="B349" s="6" t="s">
        <v>375</v>
      </c>
      <c r="C349" s="6" t="s">
        <v>401</v>
      </c>
      <c r="D349" s="6" t="s">
        <v>72</v>
      </c>
      <c r="E349" s="11" t="str">
        <f t="shared" si="25"/>
        <v>SUV</v>
      </c>
      <c r="F349" s="6" t="s">
        <v>45</v>
      </c>
      <c r="G349" s="11">
        <v>2500</v>
      </c>
      <c r="H349" s="6" t="s">
        <v>1050</v>
      </c>
      <c r="I349" s="6" t="str">
        <f t="shared" si="26"/>
        <v>N</v>
      </c>
      <c r="J349" s="17" t="s">
        <v>421</v>
      </c>
      <c r="K349" s="6">
        <v>218</v>
      </c>
      <c r="L349" s="9">
        <v>44</v>
      </c>
      <c r="M349" s="2">
        <v>44</v>
      </c>
      <c r="N349" s="2">
        <v>58990</v>
      </c>
      <c r="O349" s="2" t="s">
        <v>1060</v>
      </c>
      <c r="P349" s="2" t="s">
        <v>1164</v>
      </c>
      <c r="Q349" s="2" t="s">
        <v>424</v>
      </c>
      <c r="R349" s="2">
        <v>2195</v>
      </c>
      <c r="S349" s="2"/>
      <c r="T349" s="2">
        <v>109</v>
      </c>
      <c r="U349" s="39">
        <f>IF(I349="N",T349*Supuestos!$B$4,T349*Supuestos!$C$4)*100</f>
        <v>4.6643635266285521</v>
      </c>
      <c r="V349" s="20">
        <f t="shared" si="29"/>
        <v>21.43915229357798</v>
      </c>
      <c r="W349" s="2">
        <f t="shared" si="27"/>
        <v>4796</v>
      </c>
      <c r="X349" s="2">
        <f t="shared" si="28"/>
        <v>205.23199517165631</v>
      </c>
    </row>
    <row r="350" spans="1:24" x14ac:dyDescent="0.25">
      <c r="A350" s="6" t="s">
        <v>71</v>
      </c>
      <c r="B350" s="6" t="s">
        <v>582</v>
      </c>
      <c r="C350" s="6" t="s">
        <v>401</v>
      </c>
      <c r="D350" s="6" t="s">
        <v>72</v>
      </c>
      <c r="E350" s="11" t="str">
        <f t="shared" si="25"/>
        <v>SUV</v>
      </c>
      <c r="F350" s="6" t="s">
        <v>14</v>
      </c>
      <c r="G350" s="11">
        <v>1500</v>
      </c>
      <c r="H350" s="6" t="s">
        <v>1050</v>
      </c>
      <c r="I350" s="6" t="str">
        <f t="shared" si="26"/>
        <v>N</v>
      </c>
      <c r="J350" s="17" t="s">
        <v>9</v>
      </c>
      <c r="K350" s="6">
        <v>180</v>
      </c>
      <c r="L350" s="9">
        <v>43</v>
      </c>
      <c r="M350" s="2">
        <v>43</v>
      </c>
      <c r="N350" s="2">
        <v>36990</v>
      </c>
      <c r="O350" s="2" t="s">
        <v>1053</v>
      </c>
      <c r="P350" s="2" t="s">
        <v>1188</v>
      </c>
      <c r="Q350" s="2" t="s">
        <v>424</v>
      </c>
      <c r="R350" s="2">
        <v>1820</v>
      </c>
      <c r="S350" s="2"/>
      <c r="T350" s="2">
        <v>154</v>
      </c>
      <c r="U350" s="39">
        <f>IF(I350="N",T350*Supuestos!$B$4,T350*Supuestos!$C$4)*100</f>
        <v>6.5900181935852942</v>
      </c>
      <c r="V350" s="20">
        <f t="shared" si="29"/>
        <v>15.174464935064933</v>
      </c>
      <c r="W350" s="2">
        <f t="shared" si="27"/>
        <v>6622</v>
      </c>
      <c r="X350" s="2">
        <f t="shared" si="28"/>
        <v>283.37078232416764</v>
      </c>
    </row>
    <row r="351" spans="1:24" x14ac:dyDescent="0.25">
      <c r="A351" s="6" t="s">
        <v>29</v>
      </c>
      <c r="B351" s="6" t="s">
        <v>666</v>
      </c>
      <c r="C351" s="6" t="s">
        <v>401</v>
      </c>
      <c r="D351" s="6" t="s">
        <v>72</v>
      </c>
      <c r="E351" s="11" t="str">
        <f t="shared" si="25"/>
        <v>SUV</v>
      </c>
      <c r="F351" s="6" t="s">
        <v>21</v>
      </c>
      <c r="G351" s="11">
        <v>1000</v>
      </c>
      <c r="H351" s="6" t="s">
        <v>1050</v>
      </c>
      <c r="I351" s="6" t="str">
        <f t="shared" si="26"/>
        <v>N</v>
      </c>
      <c r="J351" s="17" t="s">
        <v>9</v>
      </c>
      <c r="K351" s="6">
        <v>125</v>
      </c>
      <c r="L351" s="9">
        <v>43</v>
      </c>
      <c r="M351" s="2">
        <v>43</v>
      </c>
      <c r="N351" s="2">
        <v>29990</v>
      </c>
      <c r="O351" s="2" t="s">
        <v>1060</v>
      </c>
      <c r="P351" s="2" t="s">
        <v>1142</v>
      </c>
      <c r="Q351" s="2" t="s">
        <v>1107</v>
      </c>
      <c r="R351" s="2">
        <v>1634</v>
      </c>
      <c r="S351" s="2"/>
      <c r="T351" s="2">
        <v>162</v>
      </c>
      <c r="U351" s="39">
        <f>IF(I351="N",T351*Supuestos!$B$4,T351*Supuestos!$C$4)*100</f>
        <v>6.9323568010442687</v>
      </c>
      <c r="V351" s="20">
        <f t="shared" si="29"/>
        <v>14.42510864197531</v>
      </c>
      <c r="W351" s="2">
        <f t="shared" si="27"/>
        <v>6966</v>
      </c>
      <c r="X351" s="2">
        <f t="shared" si="28"/>
        <v>298.09134244490355</v>
      </c>
    </row>
    <row r="352" spans="1:24" x14ac:dyDescent="0.25">
      <c r="A352" s="6" t="s">
        <v>37</v>
      </c>
      <c r="B352" s="6" t="s">
        <v>235</v>
      </c>
      <c r="C352" s="6" t="s">
        <v>401</v>
      </c>
      <c r="D352" s="6" t="s">
        <v>72</v>
      </c>
      <c r="E352" s="11" t="str">
        <f t="shared" si="25"/>
        <v>SUV</v>
      </c>
      <c r="F352" s="6" t="s">
        <v>21</v>
      </c>
      <c r="G352" s="11">
        <v>1300</v>
      </c>
      <c r="H352" s="6" t="s">
        <v>1050</v>
      </c>
      <c r="I352" s="6" t="str">
        <f t="shared" si="26"/>
        <v>N</v>
      </c>
      <c r="J352" s="17" t="s">
        <v>9</v>
      </c>
      <c r="K352" s="6">
        <v>180</v>
      </c>
      <c r="L352" s="9">
        <v>43</v>
      </c>
      <c r="M352" s="2">
        <v>43</v>
      </c>
      <c r="N352" s="2">
        <v>51490</v>
      </c>
      <c r="O352" s="2" t="s">
        <v>1060</v>
      </c>
      <c r="P352" s="2" t="s">
        <v>1151</v>
      </c>
      <c r="Q352" s="2" t="s">
        <v>1107</v>
      </c>
      <c r="R352" s="2">
        <v>1966</v>
      </c>
      <c r="S352" s="2"/>
      <c r="T352" s="2">
        <v>163</v>
      </c>
      <c r="U352" s="39">
        <f>IF(I352="N",T352*Supuestos!$B$4,T352*Supuestos!$C$4)*100</f>
        <v>6.9751491269766417</v>
      </c>
      <c r="V352" s="20">
        <f t="shared" si="29"/>
        <v>14.336611042944785</v>
      </c>
      <c r="W352" s="2">
        <f t="shared" si="27"/>
        <v>7009</v>
      </c>
      <c r="X352" s="2">
        <f t="shared" si="28"/>
        <v>299.93141245999561</v>
      </c>
    </row>
    <row r="353" spans="1:24" x14ac:dyDescent="0.25">
      <c r="A353" s="6" t="s">
        <v>53</v>
      </c>
      <c r="B353" s="6" t="s">
        <v>1031</v>
      </c>
      <c r="C353" s="6" t="s">
        <v>401</v>
      </c>
      <c r="D353" s="6" t="s">
        <v>72</v>
      </c>
      <c r="E353" s="11" t="str">
        <f t="shared" si="25"/>
        <v>SUV</v>
      </c>
      <c r="F353" s="6" t="s">
        <v>21</v>
      </c>
      <c r="G353" s="11">
        <v>1000</v>
      </c>
      <c r="H353" s="6" t="s">
        <v>1050</v>
      </c>
      <c r="I353" s="6" t="str">
        <f t="shared" si="26"/>
        <v>N</v>
      </c>
      <c r="J353" s="17" t="s">
        <v>9</v>
      </c>
      <c r="K353" s="6">
        <v>116</v>
      </c>
      <c r="L353" s="9">
        <v>41</v>
      </c>
      <c r="M353" s="2">
        <v>41</v>
      </c>
      <c r="N353" s="2">
        <v>35490</v>
      </c>
      <c r="O353" s="2" t="s">
        <v>1053</v>
      </c>
      <c r="P353" s="2" t="s">
        <v>1130</v>
      </c>
      <c r="Q353" s="2" t="s">
        <v>422</v>
      </c>
      <c r="R353" s="2">
        <v>1660</v>
      </c>
      <c r="S353" s="2"/>
      <c r="T353" s="2">
        <v>154</v>
      </c>
      <c r="U353" s="39">
        <f>IF(I353="N",T353*Supuestos!$B$4,T353*Supuestos!$C$4)*100</f>
        <v>6.5900181935852942</v>
      </c>
      <c r="V353" s="20">
        <f t="shared" si="29"/>
        <v>15.174464935064933</v>
      </c>
      <c r="W353" s="2">
        <f t="shared" si="27"/>
        <v>6314</v>
      </c>
      <c r="X353" s="2">
        <f t="shared" si="28"/>
        <v>270.19074593699708</v>
      </c>
    </row>
    <row r="354" spans="1:24" x14ac:dyDescent="0.25">
      <c r="A354" s="6" t="s">
        <v>18</v>
      </c>
      <c r="B354" s="6" t="s">
        <v>594</v>
      </c>
      <c r="C354" s="6" t="s">
        <v>401</v>
      </c>
      <c r="D354" s="6" t="s">
        <v>72</v>
      </c>
      <c r="E354" s="11" t="str">
        <f t="shared" si="25"/>
        <v>SUV</v>
      </c>
      <c r="F354" s="6" t="s">
        <v>14</v>
      </c>
      <c r="G354" s="11">
        <v>1500</v>
      </c>
      <c r="H354" s="6" t="s">
        <v>1050</v>
      </c>
      <c r="I354" s="6" t="str">
        <f t="shared" si="26"/>
        <v>N</v>
      </c>
      <c r="J354" s="17" t="s">
        <v>420</v>
      </c>
      <c r="K354" s="6">
        <v>317</v>
      </c>
      <c r="L354" s="9">
        <v>40</v>
      </c>
      <c r="M354" s="2">
        <v>40</v>
      </c>
      <c r="N354" s="2">
        <v>55990</v>
      </c>
      <c r="O354" s="2" t="s">
        <v>1060</v>
      </c>
      <c r="P354" s="2" t="s">
        <v>1189</v>
      </c>
      <c r="Q354" s="2" t="s">
        <v>424</v>
      </c>
      <c r="R354" s="2">
        <v>2323</v>
      </c>
      <c r="S354" s="2"/>
      <c r="T354" s="2">
        <v>27</v>
      </c>
      <c r="U354" s="39">
        <f>IF(I354="N",T354*Supuestos!$B$4,T354*Supuestos!$C$4)*100</f>
        <v>1.155392800174045</v>
      </c>
      <c r="V354" s="20">
        <f t="shared" si="29"/>
        <v>86.550651851851853</v>
      </c>
      <c r="W354" s="2">
        <f t="shared" si="27"/>
        <v>1080</v>
      </c>
      <c r="X354" s="2">
        <f t="shared" si="28"/>
        <v>46.215712006961802</v>
      </c>
    </row>
    <row r="355" spans="1:24" x14ac:dyDescent="0.25">
      <c r="A355" s="6" t="s">
        <v>34</v>
      </c>
      <c r="B355" s="6" t="s">
        <v>731</v>
      </c>
      <c r="C355" s="6" t="s">
        <v>401</v>
      </c>
      <c r="D355" s="6" t="s">
        <v>72</v>
      </c>
      <c r="E355" s="11" t="str">
        <f t="shared" si="25"/>
        <v>SUV</v>
      </c>
      <c r="F355" s="6"/>
      <c r="G355" s="11">
        <v>1600</v>
      </c>
      <c r="H355" s="6" t="s">
        <v>1050</v>
      </c>
      <c r="I355" s="6" t="str">
        <f t="shared" si="26"/>
        <v>N</v>
      </c>
      <c r="J355" s="17" t="s">
        <v>421</v>
      </c>
      <c r="K355" s="6">
        <v>141</v>
      </c>
      <c r="L355" s="9">
        <v>40</v>
      </c>
      <c r="M355" s="2">
        <v>40</v>
      </c>
      <c r="N355" s="2">
        <v>46990</v>
      </c>
      <c r="O355" s="2" t="s">
        <v>1060</v>
      </c>
      <c r="P355" s="2" t="s">
        <v>1187</v>
      </c>
      <c r="Q355" s="2" t="s">
        <v>456</v>
      </c>
      <c r="R355" s="2">
        <v>1950</v>
      </c>
      <c r="S355" s="2"/>
      <c r="T355" s="2">
        <v>88</v>
      </c>
      <c r="U355" s="39">
        <f>IF(I355="N",T355*Supuestos!$B$4,T355*Supuestos!$C$4)*100</f>
        <v>3.7657246820487393</v>
      </c>
      <c r="V355" s="20">
        <f t="shared" si="29"/>
        <v>26.555313636363636</v>
      </c>
      <c r="W355" s="2">
        <f t="shared" si="27"/>
        <v>3520</v>
      </c>
      <c r="X355" s="2">
        <f t="shared" si="28"/>
        <v>150.62898728194958</v>
      </c>
    </row>
    <row r="356" spans="1:24" x14ac:dyDescent="0.25">
      <c r="A356" s="6" t="s">
        <v>48</v>
      </c>
      <c r="B356" s="6" t="s">
        <v>321</v>
      </c>
      <c r="C356" s="6" t="s">
        <v>401</v>
      </c>
      <c r="D356" s="6" t="s">
        <v>72</v>
      </c>
      <c r="E356" s="11" t="str">
        <f t="shared" si="25"/>
        <v>SUV</v>
      </c>
      <c r="F356" s="6" t="s">
        <v>21</v>
      </c>
      <c r="G356" s="11">
        <v>1600</v>
      </c>
      <c r="H356" s="6" t="s">
        <v>1050</v>
      </c>
      <c r="I356" s="6" t="str">
        <f t="shared" si="26"/>
        <v>N</v>
      </c>
      <c r="J356" s="17" t="s">
        <v>9</v>
      </c>
      <c r="K356" s="6">
        <v>118</v>
      </c>
      <c r="L356" s="9">
        <v>40</v>
      </c>
      <c r="M356" s="2">
        <v>40</v>
      </c>
      <c r="N356" s="2">
        <v>23990</v>
      </c>
      <c r="O356" s="2" t="s">
        <v>1053</v>
      </c>
      <c r="P356" s="2" t="s">
        <v>1171</v>
      </c>
      <c r="Q356" s="2" t="s">
        <v>429</v>
      </c>
      <c r="R356" s="2">
        <v>1763</v>
      </c>
      <c r="S356" s="2"/>
      <c r="T356" s="2">
        <v>149</v>
      </c>
      <c r="U356" s="39">
        <f>IF(I356="N",T356*Supuestos!$B$4,T356*Supuestos!$C$4)*100</f>
        <v>6.3760565639234335</v>
      </c>
      <c r="V356" s="20">
        <f t="shared" si="29"/>
        <v>15.683675167785234</v>
      </c>
      <c r="W356" s="2">
        <f t="shared" si="27"/>
        <v>5960</v>
      </c>
      <c r="X356" s="2">
        <f t="shared" si="28"/>
        <v>255.04226255693735</v>
      </c>
    </row>
    <row r="357" spans="1:24" x14ac:dyDescent="0.25">
      <c r="A357" s="6" t="s">
        <v>19</v>
      </c>
      <c r="B357" s="6" t="s">
        <v>142</v>
      </c>
      <c r="C357" s="6" t="s">
        <v>401</v>
      </c>
      <c r="D357" s="6" t="s">
        <v>72</v>
      </c>
      <c r="E357" s="11" t="str">
        <f t="shared" si="25"/>
        <v>SUV</v>
      </c>
      <c r="F357" s="6" t="s">
        <v>14</v>
      </c>
      <c r="G357" s="11">
        <v>1500</v>
      </c>
      <c r="H357" s="6" t="s">
        <v>1050</v>
      </c>
      <c r="I357" s="6" t="str">
        <f t="shared" si="26"/>
        <v>N</v>
      </c>
      <c r="J357" s="17" t="s">
        <v>9</v>
      </c>
      <c r="K357" s="6">
        <v>147</v>
      </c>
      <c r="L357" s="9">
        <v>39</v>
      </c>
      <c r="M357" s="2">
        <v>39</v>
      </c>
      <c r="N357" s="2">
        <v>36490</v>
      </c>
      <c r="O357" s="2" t="s">
        <v>1060</v>
      </c>
      <c r="P357" s="2" t="s">
        <v>1192</v>
      </c>
      <c r="Q357" s="2" t="s">
        <v>424</v>
      </c>
      <c r="R357" s="2">
        <v>1950</v>
      </c>
      <c r="S357" s="2"/>
      <c r="T357" s="2">
        <v>205</v>
      </c>
      <c r="U357" s="39">
        <f>IF(I357="N",T357*Supuestos!$B$4,T357*Supuestos!$C$4)*100</f>
        <v>8.7724268161362673</v>
      </c>
      <c r="V357" s="20">
        <f t="shared" si="29"/>
        <v>11.399354146341464</v>
      </c>
      <c r="W357" s="2">
        <f t="shared" si="27"/>
        <v>7995</v>
      </c>
      <c r="X357" s="2">
        <f t="shared" si="28"/>
        <v>342.12464582931443</v>
      </c>
    </row>
    <row r="358" spans="1:24" x14ac:dyDescent="0.25">
      <c r="A358" s="6" t="s">
        <v>18</v>
      </c>
      <c r="B358" s="6" t="s">
        <v>135</v>
      </c>
      <c r="C358" s="6" t="s">
        <v>401</v>
      </c>
      <c r="D358" s="6" t="s">
        <v>72</v>
      </c>
      <c r="E358" s="11" t="str">
        <f t="shared" si="25"/>
        <v>SUV</v>
      </c>
      <c r="F358" s="6" t="s">
        <v>14</v>
      </c>
      <c r="G358" s="11">
        <v>1500</v>
      </c>
      <c r="H358" s="6" t="s">
        <v>1050</v>
      </c>
      <c r="I358" s="6" t="str">
        <f t="shared" si="26"/>
        <v>N</v>
      </c>
      <c r="J358" s="17" t="s">
        <v>9</v>
      </c>
      <c r="K358" s="6">
        <v>106</v>
      </c>
      <c r="L358" s="9">
        <v>38</v>
      </c>
      <c r="M358" s="2">
        <v>38</v>
      </c>
      <c r="N358" s="2">
        <v>23990</v>
      </c>
      <c r="O358" s="2" t="s">
        <v>1053</v>
      </c>
      <c r="P358" s="2" t="s">
        <v>1140</v>
      </c>
      <c r="Q358" s="2" t="s">
        <v>424</v>
      </c>
      <c r="R358" s="2">
        <v>1650</v>
      </c>
      <c r="S358" s="2"/>
      <c r="T358" s="2">
        <v>169</v>
      </c>
      <c r="U358" s="39">
        <f>IF(I358="N",T358*Supuestos!$B$4,T358*Supuestos!$C$4)*100</f>
        <v>7.2319030825708746</v>
      </c>
      <c r="V358" s="20">
        <f t="shared" si="29"/>
        <v>13.827618934911241</v>
      </c>
      <c r="W358" s="2">
        <f t="shared" si="27"/>
        <v>6422</v>
      </c>
      <c r="X358" s="2">
        <f t="shared" si="28"/>
        <v>274.81231713769324</v>
      </c>
    </row>
    <row r="359" spans="1:24" x14ac:dyDescent="0.25">
      <c r="A359" s="6" t="s">
        <v>34</v>
      </c>
      <c r="B359" s="6" t="s">
        <v>220</v>
      </c>
      <c r="C359" s="6" t="s">
        <v>401</v>
      </c>
      <c r="D359" s="6" t="s">
        <v>72</v>
      </c>
      <c r="E359" s="11" t="str">
        <f t="shared" si="25"/>
        <v>SUV</v>
      </c>
      <c r="F359" s="6" t="s">
        <v>20</v>
      </c>
      <c r="G359" s="11">
        <v>1600</v>
      </c>
      <c r="H359" s="6" t="s">
        <v>1050</v>
      </c>
      <c r="I359" s="6" t="str">
        <f t="shared" si="26"/>
        <v>N</v>
      </c>
      <c r="J359" s="17" t="s">
        <v>421</v>
      </c>
      <c r="K359" s="6">
        <v>141</v>
      </c>
      <c r="L359" s="9">
        <v>38</v>
      </c>
      <c r="M359" s="2">
        <v>38</v>
      </c>
      <c r="N359" s="2">
        <v>38990</v>
      </c>
      <c r="O359" s="2" t="s">
        <v>1060</v>
      </c>
      <c r="P359" s="2" t="s">
        <v>1187</v>
      </c>
      <c r="Q359" s="2" t="s">
        <v>456</v>
      </c>
      <c r="R359" s="2">
        <v>1950</v>
      </c>
      <c r="S359" s="2"/>
      <c r="T359" s="2">
        <v>88</v>
      </c>
      <c r="U359" s="39">
        <f>IF(I359="N",T359*Supuestos!$B$4,T359*Supuestos!$C$4)*100</f>
        <v>3.7657246820487393</v>
      </c>
      <c r="V359" s="20">
        <f t="shared" si="29"/>
        <v>26.555313636363636</v>
      </c>
      <c r="W359" s="2">
        <f t="shared" si="27"/>
        <v>3344</v>
      </c>
      <c r="X359" s="2">
        <f t="shared" si="28"/>
        <v>143.09753791785209</v>
      </c>
    </row>
    <row r="360" spans="1:24" x14ac:dyDescent="0.25">
      <c r="A360" s="6" t="s">
        <v>42</v>
      </c>
      <c r="B360" s="6" t="s">
        <v>824</v>
      </c>
      <c r="C360" s="6" t="s">
        <v>401</v>
      </c>
      <c r="D360" s="6" t="s">
        <v>72</v>
      </c>
      <c r="E360" s="11" t="str">
        <f t="shared" si="25"/>
        <v>SUV</v>
      </c>
      <c r="F360" s="6" t="s">
        <v>11</v>
      </c>
      <c r="G360" s="11"/>
      <c r="H360" s="6" t="s">
        <v>1051</v>
      </c>
      <c r="I360" s="6" t="str">
        <f t="shared" si="26"/>
        <v>E</v>
      </c>
      <c r="J360" s="17" t="s">
        <v>418</v>
      </c>
      <c r="K360" s="6">
        <v>292</v>
      </c>
      <c r="L360" s="9">
        <v>38</v>
      </c>
      <c r="M360" s="21">
        <v>38</v>
      </c>
      <c r="N360" s="2">
        <v>90990</v>
      </c>
      <c r="O360" s="2" t="s">
        <v>1060</v>
      </c>
      <c r="P360" s="2" t="s">
        <v>1368</v>
      </c>
      <c r="Q360" s="2"/>
      <c r="R360" s="2">
        <v>2535</v>
      </c>
      <c r="S360" s="2">
        <v>5.9</v>
      </c>
      <c r="T360" s="2"/>
      <c r="U360" s="39">
        <f>IF(I360="N",T360*Supuestos!$B$4,T360*Supuestos!$C$4)*100</f>
        <v>0</v>
      </c>
      <c r="V360" s="20">
        <f t="shared" si="29"/>
        <v>0</v>
      </c>
      <c r="W360" s="2">
        <f t="shared" si="27"/>
        <v>0</v>
      </c>
      <c r="X360" s="2">
        <f t="shared" si="28"/>
        <v>0</v>
      </c>
    </row>
    <row r="361" spans="1:24" x14ac:dyDescent="0.25">
      <c r="A361" s="6" t="s">
        <v>34</v>
      </c>
      <c r="B361" s="6" t="s">
        <v>719</v>
      </c>
      <c r="C361" s="6" t="s">
        <v>401</v>
      </c>
      <c r="D361" s="6" t="s">
        <v>72</v>
      </c>
      <c r="E361" s="11" t="str">
        <f t="shared" si="25"/>
        <v>SUV</v>
      </c>
      <c r="F361" s="6" t="s">
        <v>20</v>
      </c>
      <c r="G361" s="11">
        <v>2200</v>
      </c>
      <c r="H361" s="6" t="s">
        <v>1052</v>
      </c>
      <c r="I361" s="6" t="str">
        <f t="shared" si="26"/>
        <v>D</v>
      </c>
      <c r="J361" s="17" t="s">
        <v>22</v>
      </c>
      <c r="K361" s="6">
        <v>0</v>
      </c>
      <c r="L361" s="9">
        <v>37</v>
      </c>
      <c r="M361" s="2">
        <v>37</v>
      </c>
      <c r="N361" s="2">
        <v>60000</v>
      </c>
      <c r="O361" s="2" t="s">
        <v>1060</v>
      </c>
      <c r="P361" s="2" t="s">
        <v>1193</v>
      </c>
      <c r="Q361" s="2" t="s">
        <v>456</v>
      </c>
      <c r="R361" s="2">
        <v>2550</v>
      </c>
      <c r="S361" s="2"/>
      <c r="T361" s="2">
        <v>155</v>
      </c>
      <c r="U361" s="39">
        <f>IF(I361="N",T361*Supuestos!$B$4,T361*Supuestos!$C$4)*100</f>
        <v>5.774098348466314</v>
      </c>
      <c r="V361" s="20">
        <f t="shared" si="29"/>
        <v>17.318721290322578</v>
      </c>
      <c r="W361" s="2">
        <f t="shared" si="27"/>
        <v>5735</v>
      </c>
      <c r="X361" s="2">
        <f t="shared" si="28"/>
        <v>213.64163889325363</v>
      </c>
    </row>
    <row r="362" spans="1:24" x14ac:dyDescent="0.25">
      <c r="A362" s="6" t="s">
        <v>10</v>
      </c>
      <c r="B362" s="6" t="s">
        <v>495</v>
      </c>
      <c r="C362" s="6" t="s">
        <v>401</v>
      </c>
      <c r="D362" s="6" t="s">
        <v>72</v>
      </c>
      <c r="E362" s="11" t="str">
        <f t="shared" si="25"/>
        <v>SUV</v>
      </c>
      <c r="F362" s="6" t="s">
        <v>11</v>
      </c>
      <c r="G362" s="11">
        <v>1400</v>
      </c>
      <c r="H362" s="6" t="s">
        <v>1050</v>
      </c>
      <c r="I362" s="6" t="str">
        <f t="shared" si="26"/>
        <v>N</v>
      </c>
      <c r="J362" s="17" t="s">
        <v>9</v>
      </c>
      <c r="K362" s="6">
        <v>150</v>
      </c>
      <c r="L362" s="9">
        <v>36</v>
      </c>
      <c r="M362" s="2">
        <v>36</v>
      </c>
      <c r="N362" s="2">
        <v>49900</v>
      </c>
      <c r="O362" s="2" t="s">
        <v>1053</v>
      </c>
      <c r="P362" s="2" t="s">
        <v>1195</v>
      </c>
      <c r="Q362" s="2" t="s">
        <v>422</v>
      </c>
      <c r="R362" s="2">
        <v>2350</v>
      </c>
      <c r="S362" s="2"/>
      <c r="T362" s="2">
        <v>148</v>
      </c>
      <c r="U362" s="39">
        <f>IF(I362="N",T362*Supuestos!$B$4,T362*Supuestos!$C$4)*100</f>
        <v>6.3332642379910613</v>
      </c>
      <c r="V362" s="20">
        <f t="shared" si="29"/>
        <v>15.789645945945946</v>
      </c>
      <c r="W362" s="2">
        <f t="shared" si="27"/>
        <v>5328</v>
      </c>
      <c r="X362" s="2">
        <f t="shared" si="28"/>
        <v>227.9975125676782</v>
      </c>
    </row>
    <row r="363" spans="1:24" x14ac:dyDescent="0.25">
      <c r="A363" s="6" t="s">
        <v>10</v>
      </c>
      <c r="B363" s="6" t="s">
        <v>101</v>
      </c>
      <c r="C363" s="6" t="s">
        <v>401</v>
      </c>
      <c r="D363" s="6" t="s">
        <v>72</v>
      </c>
      <c r="E363" s="11" t="str">
        <f t="shared" si="25"/>
        <v>SUV</v>
      </c>
      <c r="F363" s="6" t="s">
        <v>51</v>
      </c>
      <c r="G363" s="11">
        <v>1400</v>
      </c>
      <c r="H363" s="6" t="s">
        <v>1050</v>
      </c>
      <c r="I363" s="6" t="str">
        <f t="shared" si="26"/>
        <v>N</v>
      </c>
      <c r="J363" s="17" t="s">
        <v>9</v>
      </c>
      <c r="K363" s="6">
        <v>150</v>
      </c>
      <c r="L363" s="9">
        <v>36</v>
      </c>
      <c r="M363" s="2">
        <v>36</v>
      </c>
      <c r="N363" s="2">
        <v>65200</v>
      </c>
      <c r="O363" s="2" t="s">
        <v>1053</v>
      </c>
      <c r="P363" s="2" t="s">
        <v>1196</v>
      </c>
      <c r="Q363" s="2" t="s">
        <v>422</v>
      </c>
      <c r="R363" s="2">
        <v>2500</v>
      </c>
      <c r="S363" s="2"/>
      <c r="T363" s="2">
        <v>171</v>
      </c>
      <c r="U363" s="39">
        <f>IF(I363="N",T363*Supuestos!$B$4,T363*Supuestos!$C$4)*100</f>
        <v>7.317487734435618</v>
      </c>
      <c r="V363" s="20">
        <f t="shared" si="29"/>
        <v>13.665892397660819</v>
      </c>
      <c r="W363" s="2">
        <f t="shared" si="27"/>
        <v>6156</v>
      </c>
      <c r="X363" s="2">
        <f t="shared" si="28"/>
        <v>263.42955843968224</v>
      </c>
    </row>
    <row r="364" spans="1:24" x14ac:dyDescent="0.25">
      <c r="A364" s="6" t="s">
        <v>53</v>
      </c>
      <c r="B364" s="6" t="s">
        <v>1034</v>
      </c>
      <c r="C364" s="6" t="s">
        <v>401</v>
      </c>
      <c r="D364" s="6" t="s">
        <v>72</v>
      </c>
      <c r="E364" s="11" t="str">
        <f t="shared" si="25"/>
        <v>SUV</v>
      </c>
      <c r="F364" s="6" t="s">
        <v>24</v>
      </c>
      <c r="G364" s="11">
        <v>1400</v>
      </c>
      <c r="H364" s="6" t="s">
        <v>1050</v>
      </c>
      <c r="I364" s="6" t="str">
        <f t="shared" si="26"/>
        <v>N</v>
      </c>
      <c r="J364" s="17" t="s">
        <v>9</v>
      </c>
      <c r="K364" s="6">
        <v>150</v>
      </c>
      <c r="L364" s="9">
        <v>35</v>
      </c>
      <c r="M364" s="2">
        <v>35</v>
      </c>
      <c r="N364" s="2">
        <v>50990</v>
      </c>
      <c r="O364" s="2" t="s">
        <v>1053</v>
      </c>
      <c r="P364" s="2" t="s">
        <v>1155</v>
      </c>
      <c r="Q364" s="2" t="s">
        <v>429</v>
      </c>
      <c r="R364" s="2">
        <v>1669</v>
      </c>
      <c r="S364" s="2"/>
      <c r="T364" s="2">
        <v>194</v>
      </c>
      <c r="U364" s="39">
        <f>IF(I364="N",T364*Supuestos!$B$4,T364*Supuestos!$C$4)*100</f>
        <v>8.3017112308801746</v>
      </c>
      <c r="V364" s="20">
        <f t="shared" si="29"/>
        <v>12.045709278350516</v>
      </c>
      <c r="W364" s="2">
        <f t="shared" si="27"/>
        <v>6790</v>
      </c>
      <c r="X364" s="2">
        <f t="shared" si="28"/>
        <v>290.55989308080609</v>
      </c>
    </row>
    <row r="365" spans="1:24" x14ac:dyDescent="0.25">
      <c r="A365" s="6" t="s">
        <v>33</v>
      </c>
      <c r="B365" s="6" t="s">
        <v>703</v>
      </c>
      <c r="C365" s="6" t="s">
        <v>401</v>
      </c>
      <c r="D365" s="6" t="s">
        <v>72</v>
      </c>
      <c r="E365" s="11" t="str">
        <f t="shared" si="25"/>
        <v>SUV</v>
      </c>
      <c r="F365" s="6" t="s">
        <v>21</v>
      </c>
      <c r="G365" s="11">
        <v>1500</v>
      </c>
      <c r="H365" s="6" t="s">
        <v>1050</v>
      </c>
      <c r="I365" s="6" t="str">
        <f t="shared" si="26"/>
        <v>N</v>
      </c>
      <c r="J365" s="17" t="s">
        <v>9</v>
      </c>
      <c r="K365" s="6">
        <v>119</v>
      </c>
      <c r="L365" s="9">
        <v>34</v>
      </c>
      <c r="M365" s="2">
        <v>34</v>
      </c>
      <c r="N365" s="2">
        <v>38900</v>
      </c>
      <c r="O365" s="2" t="s">
        <v>1060</v>
      </c>
      <c r="P365" s="2" t="s">
        <v>1103</v>
      </c>
      <c r="Q365" s="2" t="s">
        <v>424</v>
      </c>
      <c r="R365" s="2">
        <v>1740</v>
      </c>
      <c r="S365" s="2"/>
      <c r="T365" s="2">
        <v>148</v>
      </c>
      <c r="U365" s="39">
        <f>IF(I365="N",T365*Supuestos!$B$4,T365*Supuestos!$C$4)*100</f>
        <v>6.3332642379910613</v>
      </c>
      <c r="V365" s="20">
        <f t="shared" si="29"/>
        <v>15.789645945945946</v>
      </c>
      <c r="W365" s="2">
        <f t="shared" si="27"/>
        <v>5032</v>
      </c>
      <c r="X365" s="2">
        <f t="shared" si="28"/>
        <v>215.33098409169608</v>
      </c>
    </row>
    <row r="366" spans="1:24" x14ac:dyDescent="0.25">
      <c r="A366" s="6" t="s">
        <v>34</v>
      </c>
      <c r="B366" s="6" t="s">
        <v>734</v>
      </c>
      <c r="C366" s="6" t="s">
        <v>401</v>
      </c>
      <c r="D366" s="6" t="s">
        <v>72</v>
      </c>
      <c r="E366" s="11" t="str">
        <f t="shared" si="25"/>
        <v>SUV</v>
      </c>
      <c r="F366" s="6"/>
      <c r="G366" s="11">
        <v>1600</v>
      </c>
      <c r="H366" s="6" t="s">
        <v>1050</v>
      </c>
      <c r="I366" s="6" t="str">
        <f t="shared" si="26"/>
        <v>N</v>
      </c>
      <c r="J366" s="17" t="s">
        <v>421</v>
      </c>
      <c r="K366" s="6">
        <v>230</v>
      </c>
      <c r="L366" s="9">
        <v>34</v>
      </c>
      <c r="M366" s="2">
        <v>34</v>
      </c>
      <c r="N366" s="2">
        <v>59990</v>
      </c>
      <c r="O366" s="2" t="s">
        <v>1060</v>
      </c>
      <c r="P366" s="2" t="s">
        <v>1198</v>
      </c>
      <c r="Q366" s="2" t="s">
        <v>456</v>
      </c>
      <c r="R366" s="2">
        <v>2175</v>
      </c>
      <c r="S366" s="2"/>
      <c r="T366" s="2">
        <v>112</v>
      </c>
      <c r="U366" s="39">
        <f>IF(I366="N",T366*Supuestos!$B$4,T366*Supuestos!$C$4)*100</f>
        <v>4.7927405044256677</v>
      </c>
      <c r="V366" s="20">
        <f t="shared" si="29"/>
        <v>20.864889285714288</v>
      </c>
      <c r="W366" s="2">
        <f t="shared" si="27"/>
        <v>3808</v>
      </c>
      <c r="X366" s="2">
        <f t="shared" si="28"/>
        <v>162.9531771504727</v>
      </c>
    </row>
    <row r="367" spans="1:24" x14ac:dyDescent="0.25">
      <c r="A367" s="6" t="s">
        <v>15</v>
      </c>
      <c r="B367" s="6" t="s">
        <v>535</v>
      </c>
      <c r="C367" s="6" t="s">
        <v>401</v>
      </c>
      <c r="D367" s="6" t="s">
        <v>72</v>
      </c>
      <c r="E367" s="11" t="str">
        <f t="shared" si="25"/>
        <v>SUV</v>
      </c>
      <c r="F367" s="6"/>
      <c r="G367" s="11"/>
      <c r="H367" s="6" t="s">
        <v>1051</v>
      </c>
      <c r="I367" s="6" t="str">
        <f t="shared" si="26"/>
        <v>E</v>
      </c>
      <c r="J367" s="17" t="s">
        <v>418</v>
      </c>
      <c r="K367" s="6"/>
      <c r="L367" s="9">
        <v>33</v>
      </c>
      <c r="M367" s="21">
        <v>33</v>
      </c>
      <c r="N367" s="2">
        <v>94900</v>
      </c>
      <c r="O367" s="2" t="s">
        <v>1060</v>
      </c>
      <c r="P367" s="2" t="s">
        <v>1352</v>
      </c>
      <c r="Q367" s="2"/>
      <c r="R367" s="2">
        <v>2580</v>
      </c>
      <c r="S367" s="2">
        <v>6.2</v>
      </c>
      <c r="T367" s="2"/>
      <c r="U367" s="39">
        <f>IF(I367="N",T367*Supuestos!$B$4,T367*Supuestos!$C$4)*100</f>
        <v>0</v>
      </c>
      <c r="V367" s="20">
        <f t="shared" si="29"/>
        <v>0</v>
      </c>
      <c r="W367" s="2">
        <f t="shared" si="27"/>
        <v>0</v>
      </c>
      <c r="X367" s="2">
        <f t="shared" si="28"/>
        <v>0</v>
      </c>
    </row>
    <row r="368" spans="1:24" x14ac:dyDescent="0.25">
      <c r="A368" s="6" t="s">
        <v>71</v>
      </c>
      <c r="B368" s="6" t="s">
        <v>580</v>
      </c>
      <c r="C368" s="6" t="s">
        <v>401</v>
      </c>
      <c r="D368" s="6" t="s">
        <v>72</v>
      </c>
      <c r="E368" s="11" t="str">
        <f t="shared" si="25"/>
        <v>SUV</v>
      </c>
      <c r="F368" s="6" t="s">
        <v>14</v>
      </c>
      <c r="G368" s="11">
        <v>1400</v>
      </c>
      <c r="H368" s="6" t="s">
        <v>1050</v>
      </c>
      <c r="I368" s="6" t="str">
        <f t="shared" si="26"/>
        <v>N</v>
      </c>
      <c r="J368" s="17" t="s">
        <v>9</v>
      </c>
      <c r="K368" s="6">
        <v>155</v>
      </c>
      <c r="L368" s="9">
        <v>33</v>
      </c>
      <c r="M368" s="2">
        <v>33</v>
      </c>
      <c r="N368" s="2">
        <v>32990</v>
      </c>
      <c r="O368" s="2" t="s">
        <v>1053</v>
      </c>
      <c r="P368" s="2" t="s">
        <v>1201</v>
      </c>
      <c r="Q368" s="2" t="s">
        <v>424</v>
      </c>
      <c r="R368" s="2">
        <v>1810</v>
      </c>
      <c r="S368" s="2"/>
      <c r="T368" s="2">
        <v>177</v>
      </c>
      <c r="U368" s="39">
        <f>IF(I368="N",T368*Supuestos!$B$4,T368*Supuestos!$C$4)*100</f>
        <v>7.5742416900298499</v>
      </c>
      <c r="V368" s="20">
        <f t="shared" si="29"/>
        <v>13.202641807909606</v>
      </c>
      <c r="W368" s="2">
        <f t="shared" si="27"/>
        <v>5841</v>
      </c>
      <c r="X368" s="2">
        <f t="shared" si="28"/>
        <v>249.94997577098505</v>
      </c>
    </row>
    <row r="369" spans="1:24" x14ac:dyDescent="0.25">
      <c r="A369" s="6" t="s">
        <v>30</v>
      </c>
      <c r="B369" s="6" t="s">
        <v>667</v>
      </c>
      <c r="C369" s="6" t="s">
        <v>401</v>
      </c>
      <c r="D369" s="6" t="s">
        <v>72</v>
      </c>
      <c r="E369" s="11" t="str">
        <f t="shared" si="25"/>
        <v>SUV</v>
      </c>
      <c r="F369" s="6" t="s">
        <v>24</v>
      </c>
      <c r="G369" s="11">
        <v>2000</v>
      </c>
      <c r="H369" s="6" t="s">
        <v>1050</v>
      </c>
      <c r="I369" s="6" t="str">
        <f t="shared" si="26"/>
        <v>N</v>
      </c>
      <c r="J369" s="17" t="s">
        <v>9</v>
      </c>
      <c r="K369" s="6">
        <v>240</v>
      </c>
      <c r="L369" s="9">
        <v>33</v>
      </c>
      <c r="M369" s="2">
        <v>33</v>
      </c>
      <c r="N369" s="2">
        <v>64900</v>
      </c>
      <c r="O369" s="2" t="s">
        <v>1053</v>
      </c>
      <c r="P369" s="2">
        <v>2159</v>
      </c>
      <c r="Q369" s="2" t="s">
        <v>1104</v>
      </c>
      <c r="R369" s="2" t="s">
        <v>1183</v>
      </c>
      <c r="S369" s="2"/>
      <c r="T369" s="2">
        <v>237</v>
      </c>
      <c r="U369" s="39">
        <f>IF(I369="N",T369*Supuestos!$B$4,T369*Supuestos!$C$4)*100</f>
        <v>10.141781245972172</v>
      </c>
      <c r="V369" s="20">
        <f t="shared" si="29"/>
        <v>9.8602008438818558</v>
      </c>
      <c r="W369" s="2">
        <f t="shared" si="27"/>
        <v>7821</v>
      </c>
      <c r="X369" s="2">
        <f t="shared" si="28"/>
        <v>334.67878111708171</v>
      </c>
    </row>
    <row r="370" spans="1:24" x14ac:dyDescent="0.25">
      <c r="A370" s="6" t="s">
        <v>33</v>
      </c>
      <c r="B370" s="6" t="s">
        <v>698</v>
      </c>
      <c r="C370" s="6" t="s">
        <v>401</v>
      </c>
      <c r="D370" s="6" t="s">
        <v>72</v>
      </c>
      <c r="E370" s="11" t="str">
        <f t="shared" si="25"/>
        <v>SUV</v>
      </c>
      <c r="F370" s="6" t="s">
        <v>16</v>
      </c>
      <c r="G370" s="11">
        <v>1500</v>
      </c>
      <c r="H370" s="6" t="s">
        <v>1050</v>
      </c>
      <c r="I370" s="6" t="str">
        <f t="shared" si="26"/>
        <v>N</v>
      </c>
      <c r="J370" s="17" t="s">
        <v>9</v>
      </c>
      <c r="K370" s="6">
        <v>188</v>
      </c>
      <c r="L370" s="9">
        <v>33</v>
      </c>
      <c r="M370" s="2">
        <v>33</v>
      </c>
      <c r="N370" s="2">
        <v>70900</v>
      </c>
      <c r="O370" s="2" t="s">
        <v>1060</v>
      </c>
      <c r="P370" s="2" t="s">
        <v>1105</v>
      </c>
      <c r="Q370" s="2" t="s">
        <v>1104</v>
      </c>
      <c r="R370" s="2">
        <v>2175</v>
      </c>
      <c r="S370" s="2"/>
      <c r="T370" s="2">
        <v>175</v>
      </c>
      <c r="U370" s="39">
        <f>IF(I370="N",T370*Supuestos!$B$4,T370*Supuestos!$C$4)*100</f>
        <v>7.4886570381651056</v>
      </c>
      <c r="V370" s="20">
        <f t="shared" si="29"/>
        <v>13.353529142857143</v>
      </c>
      <c r="W370" s="2">
        <f t="shared" si="27"/>
        <v>5775</v>
      </c>
      <c r="X370" s="2">
        <f t="shared" si="28"/>
        <v>247.1256822594485</v>
      </c>
    </row>
    <row r="371" spans="1:24" x14ac:dyDescent="0.25">
      <c r="A371" s="6" t="s">
        <v>33</v>
      </c>
      <c r="B371" s="6" t="s">
        <v>704</v>
      </c>
      <c r="C371" s="6" t="s">
        <v>401</v>
      </c>
      <c r="D371" s="6" t="s">
        <v>72</v>
      </c>
      <c r="E371" s="11" t="str">
        <f t="shared" si="25"/>
        <v>SUV</v>
      </c>
      <c r="F371" s="6" t="s">
        <v>21</v>
      </c>
      <c r="G371" s="11">
        <v>1500</v>
      </c>
      <c r="H371" s="6" t="s">
        <v>1050</v>
      </c>
      <c r="I371" s="6" t="str">
        <f t="shared" si="26"/>
        <v>N</v>
      </c>
      <c r="J371" s="17" t="s">
        <v>9</v>
      </c>
      <c r="K371" s="6">
        <v>119</v>
      </c>
      <c r="L371" s="9">
        <v>33</v>
      </c>
      <c r="M371" s="2">
        <v>33</v>
      </c>
      <c r="N371" s="2">
        <v>41900</v>
      </c>
      <c r="O371" s="2" t="s">
        <v>1060</v>
      </c>
      <c r="P371" s="2" t="s">
        <v>1103</v>
      </c>
      <c r="Q371" s="2" t="s">
        <v>424</v>
      </c>
      <c r="R371" s="2">
        <v>1740</v>
      </c>
      <c r="S371" s="2"/>
      <c r="T371" s="2">
        <v>148</v>
      </c>
      <c r="U371" s="39">
        <f>IF(I371="N",T371*Supuestos!$B$4,T371*Supuestos!$C$4)*100</f>
        <v>6.3332642379910613</v>
      </c>
      <c r="V371" s="20">
        <f t="shared" si="29"/>
        <v>15.789645945945946</v>
      </c>
      <c r="W371" s="2">
        <f t="shared" si="27"/>
        <v>4884</v>
      </c>
      <c r="X371" s="2">
        <f t="shared" si="28"/>
        <v>208.99771985370504</v>
      </c>
    </row>
    <row r="372" spans="1:24" x14ac:dyDescent="0.25">
      <c r="A372" s="6" t="s">
        <v>34</v>
      </c>
      <c r="B372" s="6" t="s">
        <v>732</v>
      </c>
      <c r="C372" s="6" t="s">
        <v>401</v>
      </c>
      <c r="D372" s="6" t="s">
        <v>72</v>
      </c>
      <c r="E372" s="11" t="str">
        <f t="shared" si="25"/>
        <v>SUV</v>
      </c>
      <c r="F372" s="6"/>
      <c r="G372" s="11">
        <v>1600</v>
      </c>
      <c r="H372" s="6" t="s">
        <v>1050</v>
      </c>
      <c r="I372" s="6" t="str">
        <f t="shared" si="26"/>
        <v>N</v>
      </c>
      <c r="J372" s="17" t="s">
        <v>421</v>
      </c>
      <c r="K372" s="6">
        <v>141</v>
      </c>
      <c r="L372" s="9">
        <v>33</v>
      </c>
      <c r="M372" s="2">
        <v>33</v>
      </c>
      <c r="N372" s="2">
        <v>41990</v>
      </c>
      <c r="O372" s="2" t="s">
        <v>1060</v>
      </c>
      <c r="P372" s="2" t="s">
        <v>1187</v>
      </c>
      <c r="Q372" s="2" t="s">
        <v>456</v>
      </c>
      <c r="R372" s="2">
        <v>1950</v>
      </c>
      <c r="S372" s="2"/>
      <c r="T372" s="2">
        <v>88</v>
      </c>
      <c r="U372" s="39">
        <f>IF(I372="N",T372*Supuestos!$B$4,T372*Supuestos!$C$4)*100</f>
        <v>3.7657246820487393</v>
      </c>
      <c r="V372" s="20">
        <f t="shared" si="29"/>
        <v>26.555313636363636</v>
      </c>
      <c r="W372" s="2">
        <f t="shared" si="27"/>
        <v>2904</v>
      </c>
      <c r="X372" s="2">
        <f t="shared" si="28"/>
        <v>124.2689145076084</v>
      </c>
    </row>
    <row r="373" spans="1:24" x14ac:dyDescent="0.25">
      <c r="A373" s="6" t="s">
        <v>49</v>
      </c>
      <c r="B373" s="6" t="s">
        <v>957</v>
      </c>
      <c r="C373" s="6" t="s">
        <v>401</v>
      </c>
      <c r="D373" s="6" t="s">
        <v>72</v>
      </c>
      <c r="E373" s="11" t="str">
        <f t="shared" si="25"/>
        <v>SUV</v>
      </c>
      <c r="F373" s="6" t="s">
        <v>45</v>
      </c>
      <c r="G373" s="11">
        <v>2000</v>
      </c>
      <c r="H373" s="6" t="s">
        <v>1050</v>
      </c>
      <c r="I373" s="6" t="str">
        <f t="shared" si="26"/>
        <v>N</v>
      </c>
      <c r="J373" s="17" t="s">
        <v>419</v>
      </c>
      <c r="K373" s="6">
        <v>167</v>
      </c>
      <c r="L373" s="9">
        <v>33</v>
      </c>
      <c r="M373" s="2">
        <v>33</v>
      </c>
      <c r="N373" s="2">
        <v>53800</v>
      </c>
      <c r="O373" s="2" t="s">
        <v>1053</v>
      </c>
      <c r="P373" s="2" t="s">
        <v>1202</v>
      </c>
      <c r="Q373" s="2" t="s">
        <v>422</v>
      </c>
      <c r="R373" s="2">
        <v>2100</v>
      </c>
      <c r="S373" s="2"/>
      <c r="T373" s="2">
        <v>165</v>
      </c>
      <c r="U373" s="39">
        <f>IF(I373="N",T373*Supuestos!$B$4,T373*Supuestos!$C$4)*100</f>
        <v>7.0607337788413851</v>
      </c>
      <c r="V373" s="20">
        <f t="shared" si="29"/>
        <v>14.162833939393941</v>
      </c>
      <c r="W373" s="2">
        <f t="shared" si="27"/>
        <v>5445</v>
      </c>
      <c r="X373" s="2">
        <f t="shared" si="28"/>
        <v>233.0042147017657</v>
      </c>
    </row>
    <row r="374" spans="1:24" x14ac:dyDescent="0.25">
      <c r="A374" s="6" t="s">
        <v>54</v>
      </c>
      <c r="B374" s="6" t="s">
        <v>1039</v>
      </c>
      <c r="C374" s="6" t="s">
        <v>401</v>
      </c>
      <c r="D374" s="6" t="s">
        <v>72</v>
      </c>
      <c r="E374" s="11" t="str">
        <f t="shared" si="25"/>
        <v>SUV</v>
      </c>
      <c r="F374" s="6" t="s">
        <v>417</v>
      </c>
      <c r="G374" s="11"/>
      <c r="H374" s="6" t="s">
        <v>1051</v>
      </c>
      <c r="I374" s="6" t="str">
        <f t="shared" si="26"/>
        <v>E</v>
      </c>
      <c r="J374" s="17" t="s">
        <v>418</v>
      </c>
      <c r="K374" s="6">
        <v>408</v>
      </c>
      <c r="L374" s="9">
        <v>33</v>
      </c>
      <c r="M374" s="21">
        <v>33</v>
      </c>
      <c r="N374" s="2">
        <v>87990</v>
      </c>
      <c r="O374" s="2" t="s">
        <v>1060</v>
      </c>
      <c r="P374" s="2" t="s">
        <v>1347</v>
      </c>
      <c r="Q374" s="2"/>
      <c r="R374" s="2">
        <v>2650</v>
      </c>
      <c r="S374" s="2">
        <v>6.9</v>
      </c>
      <c r="T374" s="2"/>
      <c r="U374" s="39">
        <f>IF(I374="N",T374*Supuestos!$B$4,T374*Supuestos!$C$4)*100</f>
        <v>0</v>
      </c>
      <c r="V374" s="20">
        <f t="shared" si="29"/>
        <v>0</v>
      </c>
      <c r="W374" s="2">
        <f t="shared" si="27"/>
        <v>0</v>
      </c>
      <c r="X374" s="2">
        <f t="shared" si="28"/>
        <v>0</v>
      </c>
    </row>
    <row r="375" spans="1:24" x14ac:dyDescent="0.25">
      <c r="A375" s="6" t="s">
        <v>44</v>
      </c>
      <c r="B375" s="6" t="s">
        <v>864</v>
      </c>
      <c r="C375" s="6" t="s">
        <v>401</v>
      </c>
      <c r="D375" s="6" t="s">
        <v>72</v>
      </c>
      <c r="E375" s="11" t="str">
        <f t="shared" si="25"/>
        <v>SUV</v>
      </c>
      <c r="F375" s="6" t="s">
        <v>45</v>
      </c>
      <c r="G375" s="11">
        <v>2500</v>
      </c>
      <c r="H375" s="6" t="s">
        <v>1050</v>
      </c>
      <c r="I375" s="6" t="str">
        <f t="shared" si="26"/>
        <v>N</v>
      </c>
      <c r="J375" s="17" t="s">
        <v>9</v>
      </c>
      <c r="K375" s="6">
        <v>181</v>
      </c>
      <c r="L375" s="9">
        <v>32</v>
      </c>
      <c r="M375" s="2">
        <v>32</v>
      </c>
      <c r="N375" s="2">
        <v>69990</v>
      </c>
      <c r="O375" s="2" t="s">
        <v>1053</v>
      </c>
      <c r="P375" s="2" t="s">
        <v>1203</v>
      </c>
      <c r="Q375" s="2" t="s">
        <v>424</v>
      </c>
      <c r="R375" s="2">
        <v>2245</v>
      </c>
      <c r="S375" s="2"/>
      <c r="T375" s="2">
        <v>185</v>
      </c>
      <c r="U375" s="39">
        <f>IF(I375="N",T375*Supuestos!$B$4,T375*Supuestos!$C$4)*100</f>
        <v>7.9165802974888262</v>
      </c>
      <c r="V375" s="20">
        <f t="shared" si="29"/>
        <v>12.631716756756758</v>
      </c>
      <c r="W375" s="2">
        <f t="shared" si="27"/>
        <v>5920</v>
      </c>
      <c r="X375" s="2">
        <f t="shared" si="28"/>
        <v>253.33056951964244</v>
      </c>
    </row>
    <row r="376" spans="1:24" x14ac:dyDescent="0.25">
      <c r="A376" s="6" t="s">
        <v>34</v>
      </c>
      <c r="B376" s="6" t="s">
        <v>225</v>
      </c>
      <c r="C376" s="6" t="s">
        <v>401</v>
      </c>
      <c r="D376" s="6" t="s">
        <v>72</v>
      </c>
      <c r="E376" s="11" t="str">
        <f t="shared" si="25"/>
        <v>SUV</v>
      </c>
      <c r="F376" s="6" t="s">
        <v>20</v>
      </c>
      <c r="G376" s="11">
        <v>1600</v>
      </c>
      <c r="H376" s="6" t="s">
        <v>1050</v>
      </c>
      <c r="I376" s="6" t="str">
        <f t="shared" si="26"/>
        <v>N</v>
      </c>
      <c r="J376" s="17" t="s">
        <v>9</v>
      </c>
      <c r="K376" s="6">
        <v>180</v>
      </c>
      <c r="L376" s="9">
        <v>31</v>
      </c>
      <c r="M376" s="2">
        <v>31</v>
      </c>
      <c r="N376" s="2">
        <v>62990</v>
      </c>
      <c r="O376" s="2" t="s">
        <v>1060</v>
      </c>
      <c r="P376" s="2" t="s">
        <v>1199</v>
      </c>
      <c r="Q376" s="2" t="s">
        <v>456</v>
      </c>
      <c r="R376" s="2">
        <v>2210</v>
      </c>
      <c r="S376" s="2"/>
      <c r="T376" s="2">
        <v>129</v>
      </c>
      <c r="U376" s="39">
        <f>IF(I376="N",T376*Supuestos!$B$4,T376*Supuestos!$C$4)*100</f>
        <v>5.5202100452759923</v>
      </c>
      <c r="V376" s="20">
        <f t="shared" si="29"/>
        <v>18.115252713178297</v>
      </c>
      <c r="W376" s="2">
        <f t="shared" si="27"/>
        <v>3999</v>
      </c>
      <c r="X376" s="2">
        <f t="shared" si="28"/>
        <v>171.12651140355575</v>
      </c>
    </row>
    <row r="377" spans="1:24" x14ac:dyDescent="0.25">
      <c r="A377" s="6" t="s">
        <v>85</v>
      </c>
      <c r="B377" s="6" t="s">
        <v>756</v>
      </c>
      <c r="C377" s="6" t="s">
        <v>401</v>
      </c>
      <c r="D377" s="6" t="s">
        <v>72</v>
      </c>
      <c r="E377" s="11" t="str">
        <f t="shared" si="25"/>
        <v>SUV</v>
      </c>
      <c r="F377" s="6" t="s">
        <v>14</v>
      </c>
      <c r="G377" s="11">
        <v>1600</v>
      </c>
      <c r="H377" s="6" t="s">
        <v>1050</v>
      </c>
      <c r="I377" s="6" t="str">
        <f t="shared" si="26"/>
        <v>N</v>
      </c>
      <c r="J377" s="17" t="s">
        <v>9</v>
      </c>
      <c r="K377" s="6">
        <v>194</v>
      </c>
      <c r="L377" s="9">
        <v>31</v>
      </c>
      <c r="M377" s="2">
        <v>31</v>
      </c>
      <c r="N377" s="2">
        <v>43990</v>
      </c>
      <c r="O377" s="2" t="s">
        <v>1060</v>
      </c>
      <c r="P377" s="2" t="s">
        <v>1162</v>
      </c>
      <c r="Q377" s="2" t="s">
        <v>424</v>
      </c>
      <c r="R377" s="2">
        <v>1955</v>
      </c>
      <c r="S377" s="2"/>
      <c r="T377" s="2">
        <v>217</v>
      </c>
      <c r="U377" s="39">
        <f>IF(I377="N",T377*Supuestos!$B$4,T377*Supuestos!$C$4)*100</f>
        <v>9.285934727324733</v>
      </c>
      <c r="V377" s="20">
        <f t="shared" si="29"/>
        <v>10.768975115207372</v>
      </c>
      <c r="W377" s="2">
        <f t="shared" si="27"/>
        <v>6727</v>
      </c>
      <c r="X377" s="2">
        <f t="shared" si="28"/>
        <v>287.86397654706673</v>
      </c>
    </row>
    <row r="378" spans="1:24" x14ac:dyDescent="0.25">
      <c r="A378" s="6" t="s">
        <v>62</v>
      </c>
      <c r="B378" s="6" t="s">
        <v>299</v>
      </c>
      <c r="C378" s="6" t="s">
        <v>401</v>
      </c>
      <c r="D378" s="6" t="s">
        <v>72</v>
      </c>
      <c r="E378" s="11" t="str">
        <f t="shared" si="25"/>
        <v>SUV</v>
      </c>
      <c r="F378" s="6" t="s">
        <v>57</v>
      </c>
      <c r="G378" s="11">
        <v>1200</v>
      </c>
      <c r="H378" s="6" t="s">
        <v>1050</v>
      </c>
      <c r="I378" s="6" t="str">
        <f t="shared" si="26"/>
        <v>N</v>
      </c>
      <c r="J378" s="17" t="s">
        <v>9</v>
      </c>
      <c r="K378" s="6">
        <v>130</v>
      </c>
      <c r="L378" s="9">
        <v>31</v>
      </c>
      <c r="M378" s="2">
        <v>31</v>
      </c>
      <c r="N378" s="2">
        <v>35500</v>
      </c>
      <c r="O378" s="2" t="s">
        <v>1053</v>
      </c>
      <c r="P378" s="2"/>
      <c r="Q378" s="2" t="s">
        <v>422</v>
      </c>
      <c r="R378" s="2">
        <v>1740</v>
      </c>
      <c r="S378" s="2"/>
      <c r="T378" s="2">
        <v>148</v>
      </c>
      <c r="U378" s="39">
        <f>IF(I378="N",T378*Supuestos!$B$4,T378*Supuestos!$C$4)*100</f>
        <v>6.3332642379910613</v>
      </c>
      <c r="V378" s="20">
        <f t="shared" si="29"/>
        <v>15.789645945945946</v>
      </c>
      <c r="W378" s="2">
        <f t="shared" si="27"/>
        <v>4588</v>
      </c>
      <c r="X378" s="2">
        <f t="shared" si="28"/>
        <v>196.33119137772289</v>
      </c>
    </row>
    <row r="379" spans="1:24" x14ac:dyDescent="0.25">
      <c r="A379" s="6" t="s">
        <v>71</v>
      </c>
      <c r="B379" s="6" t="s">
        <v>581</v>
      </c>
      <c r="C379" s="6" t="s">
        <v>401</v>
      </c>
      <c r="D379" s="6" t="s">
        <v>72</v>
      </c>
      <c r="E379" s="11" t="str">
        <f t="shared" si="25"/>
        <v>SUV</v>
      </c>
      <c r="F379" s="6" t="s">
        <v>14</v>
      </c>
      <c r="G379" s="11">
        <v>1500</v>
      </c>
      <c r="H379" s="6" t="s">
        <v>1050</v>
      </c>
      <c r="I379" s="6" t="str">
        <f t="shared" si="26"/>
        <v>N</v>
      </c>
      <c r="J379" s="17" t="s">
        <v>9</v>
      </c>
      <c r="K379" s="6">
        <v>180</v>
      </c>
      <c r="L379" s="9">
        <v>30</v>
      </c>
      <c r="M379" s="2">
        <v>30</v>
      </c>
      <c r="N379" s="2">
        <v>39990</v>
      </c>
      <c r="O379" s="2" t="s">
        <v>1053</v>
      </c>
      <c r="P379" s="2" t="s">
        <v>1188</v>
      </c>
      <c r="Q379" s="2" t="s">
        <v>424</v>
      </c>
      <c r="R379" s="2">
        <v>1820</v>
      </c>
      <c r="S379" s="2"/>
      <c r="T379" s="2">
        <v>154</v>
      </c>
      <c r="U379" s="39">
        <f>IF(I379="N",T379*Supuestos!$B$4,T379*Supuestos!$C$4)*100</f>
        <v>6.5900181935852942</v>
      </c>
      <c r="V379" s="20">
        <f t="shared" si="29"/>
        <v>15.174464935064933</v>
      </c>
      <c r="W379" s="2">
        <f t="shared" si="27"/>
        <v>4620</v>
      </c>
      <c r="X379" s="2">
        <f t="shared" si="28"/>
        <v>197.70054580755883</v>
      </c>
    </row>
    <row r="380" spans="1:24" x14ac:dyDescent="0.25">
      <c r="A380" s="6" t="s">
        <v>37</v>
      </c>
      <c r="B380" s="6" t="s">
        <v>753</v>
      </c>
      <c r="C380" s="6" t="s">
        <v>401</v>
      </c>
      <c r="D380" s="6" t="s">
        <v>72</v>
      </c>
      <c r="E380" s="11" t="str">
        <f t="shared" si="25"/>
        <v>SUV</v>
      </c>
      <c r="F380" s="6" t="s">
        <v>21</v>
      </c>
      <c r="G380" s="11">
        <v>1300</v>
      </c>
      <c r="H380" s="6" t="s">
        <v>1050</v>
      </c>
      <c r="I380" s="6" t="str">
        <f t="shared" si="26"/>
        <v>N</v>
      </c>
      <c r="J380" s="17" t="s">
        <v>9</v>
      </c>
      <c r="K380" s="6">
        <v>180</v>
      </c>
      <c r="L380" s="9">
        <v>30</v>
      </c>
      <c r="M380" s="2">
        <v>30</v>
      </c>
      <c r="N380" s="2">
        <v>48490</v>
      </c>
      <c r="O380" s="2" t="s">
        <v>1060</v>
      </c>
      <c r="P380" s="2" t="s">
        <v>1152</v>
      </c>
      <c r="Q380" s="2" t="s">
        <v>1107</v>
      </c>
      <c r="R380" s="2">
        <v>1957</v>
      </c>
      <c r="S380" s="2"/>
      <c r="T380" s="2">
        <v>163</v>
      </c>
      <c r="U380" s="39">
        <f>IF(I380="N",T380*Supuestos!$B$4,T380*Supuestos!$C$4)*100</f>
        <v>6.9751491269766417</v>
      </c>
      <c r="V380" s="20">
        <f t="shared" si="29"/>
        <v>14.336611042944785</v>
      </c>
      <c r="W380" s="2">
        <f t="shared" si="27"/>
        <v>4890</v>
      </c>
      <c r="X380" s="2">
        <f t="shared" si="28"/>
        <v>209.25447380929924</v>
      </c>
    </row>
    <row r="381" spans="1:24" x14ac:dyDescent="0.25">
      <c r="A381" s="6" t="s">
        <v>49</v>
      </c>
      <c r="B381" s="6" t="s">
        <v>959</v>
      </c>
      <c r="C381" s="6" t="s">
        <v>401</v>
      </c>
      <c r="D381" s="6" t="s">
        <v>72</v>
      </c>
      <c r="E381" s="11" t="str">
        <f t="shared" si="25"/>
        <v>SUV</v>
      </c>
      <c r="F381" s="6" t="s">
        <v>45</v>
      </c>
      <c r="G381" s="11">
        <v>2000</v>
      </c>
      <c r="H381" s="6" t="s">
        <v>1050</v>
      </c>
      <c r="I381" s="6" t="str">
        <f t="shared" si="26"/>
        <v>N</v>
      </c>
      <c r="J381" s="17" t="s">
        <v>421</v>
      </c>
      <c r="K381" s="6">
        <v>150</v>
      </c>
      <c r="L381" s="9">
        <v>30</v>
      </c>
      <c r="M381" s="2">
        <v>30</v>
      </c>
      <c r="N381" s="2">
        <v>62800</v>
      </c>
      <c r="O381" s="2" t="s">
        <v>1060</v>
      </c>
      <c r="P381" s="2" t="s">
        <v>1206</v>
      </c>
      <c r="Q381" s="2" t="s">
        <v>424</v>
      </c>
      <c r="R381" s="2">
        <v>2223</v>
      </c>
      <c r="S381" s="2"/>
      <c r="T381" s="2">
        <v>148</v>
      </c>
      <c r="U381" s="39">
        <f>IF(I381="N",T381*Supuestos!$B$4,T381*Supuestos!$C$4)*100</f>
        <v>6.3332642379910613</v>
      </c>
      <c r="V381" s="20">
        <f t="shared" si="29"/>
        <v>15.789645945945946</v>
      </c>
      <c r="W381" s="2">
        <f t="shared" si="27"/>
        <v>4440</v>
      </c>
      <c r="X381" s="2">
        <f t="shared" si="28"/>
        <v>189.99792713973184</v>
      </c>
    </row>
    <row r="382" spans="1:24" x14ac:dyDescent="0.25">
      <c r="A382" s="6" t="s">
        <v>10</v>
      </c>
      <c r="B382" s="6" t="s">
        <v>102</v>
      </c>
      <c r="C382" s="6" t="s">
        <v>401</v>
      </c>
      <c r="D382" s="6" t="s">
        <v>72</v>
      </c>
      <c r="E382" s="11" t="str">
        <f t="shared" si="25"/>
        <v>SUV</v>
      </c>
      <c r="F382" s="6" t="s">
        <v>51</v>
      </c>
      <c r="G382" s="11">
        <v>1400</v>
      </c>
      <c r="H382" s="6" t="s">
        <v>1050</v>
      </c>
      <c r="I382" s="6" t="str">
        <f t="shared" si="26"/>
        <v>N</v>
      </c>
      <c r="J382" s="17" t="s">
        <v>9</v>
      </c>
      <c r="K382" s="6">
        <v>150</v>
      </c>
      <c r="L382" s="9">
        <v>29</v>
      </c>
      <c r="M382" s="2">
        <v>29</v>
      </c>
      <c r="N382" s="2">
        <v>65200</v>
      </c>
      <c r="O382" s="2" t="s">
        <v>1053</v>
      </c>
      <c r="P382" s="2" t="s">
        <v>1196</v>
      </c>
      <c r="Q382" s="2" t="s">
        <v>422</v>
      </c>
      <c r="R382" s="2">
        <v>2500</v>
      </c>
      <c r="S382" s="2"/>
      <c r="T382" s="2">
        <v>171</v>
      </c>
      <c r="U382" s="39">
        <f>IF(I382="N",T382*Supuestos!$B$4,T382*Supuestos!$C$4)*100</f>
        <v>7.317487734435618</v>
      </c>
      <c r="V382" s="20">
        <f t="shared" si="29"/>
        <v>13.665892397660819</v>
      </c>
      <c r="W382" s="2">
        <f t="shared" si="27"/>
        <v>4959</v>
      </c>
      <c r="X382" s="2">
        <f t="shared" si="28"/>
        <v>212.20714429863293</v>
      </c>
    </row>
    <row r="383" spans="1:24" x14ac:dyDescent="0.25">
      <c r="A383" s="6" t="s">
        <v>15</v>
      </c>
      <c r="B383" s="6" t="s">
        <v>543</v>
      </c>
      <c r="C383" s="6" t="s">
        <v>401</v>
      </c>
      <c r="D383" s="6" t="s">
        <v>72</v>
      </c>
      <c r="E383" s="11" t="str">
        <f t="shared" si="25"/>
        <v>SUV</v>
      </c>
      <c r="F383" s="6" t="s">
        <v>11</v>
      </c>
      <c r="G383" s="11">
        <v>1500</v>
      </c>
      <c r="H383" s="6" t="s">
        <v>1050</v>
      </c>
      <c r="I383" s="6" t="str">
        <f t="shared" si="26"/>
        <v>N</v>
      </c>
      <c r="J383" s="17" t="s">
        <v>9</v>
      </c>
      <c r="K383" s="6">
        <v>156</v>
      </c>
      <c r="L383" s="9">
        <v>29</v>
      </c>
      <c r="M383" s="2">
        <v>29</v>
      </c>
      <c r="N383" s="2">
        <v>77990</v>
      </c>
      <c r="O383" s="2" t="s">
        <v>1060</v>
      </c>
      <c r="P383" s="2" t="s">
        <v>1180</v>
      </c>
      <c r="Q383" s="2" t="s">
        <v>424</v>
      </c>
      <c r="R383" s="2">
        <v>2075</v>
      </c>
      <c r="S383" s="2"/>
      <c r="T383" s="2">
        <v>148</v>
      </c>
      <c r="U383" s="39">
        <f>IF(I383="N",T383*Supuestos!$B$4,T383*Supuestos!$C$4)*100</f>
        <v>6.3332642379910613</v>
      </c>
      <c r="V383" s="20">
        <f t="shared" si="29"/>
        <v>15.789645945945946</v>
      </c>
      <c r="W383" s="2">
        <f t="shared" si="27"/>
        <v>4292</v>
      </c>
      <c r="X383" s="2">
        <f t="shared" si="28"/>
        <v>183.66466290174077</v>
      </c>
    </row>
    <row r="384" spans="1:24" x14ac:dyDescent="0.25">
      <c r="A384" s="6" t="s">
        <v>19</v>
      </c>
      <c r="B384" s="6" t="s">
        <v>141</v>
      </c>
      <c r="C384" s="6" t="s">
        <v>401</v>
      </c>
      <c r="D384" s="6" t="s">
        <v>72</v>
      </c>
      <c r="E384" s="11" t="str">
        <f t="shared" si="25"/>
        <v>SUV</v>
      </c>
      <c r="F384" s="6" t="s">
        <v>14</v>
      </c>
      <c r="G384" s="11">
        <v>1500</v>
      </c>
      <c r="H384" s="6" t="s">
        <v>1050</v>
      </c>
      <c r="I384" s="6" t="str">
        <f t="shared" si="26"/>
        <v>N</v>
      </c>
      <c r="J384" s="17" t="s">
        <v>9</v>
      </c>
      <c r="K384" s="6">
        <v>147</v>
      </c>
      <c r="L384" s="9">
        <v>29</v>
      </c>
      <c r="M384" s="2">
        <v>29</v>
      </c>
      <c r="N384" s="2">
        <v>34490</v>
      </c>
      <c r="O384" s="2" t="s">
        <v>1060</v>
      </c>
      <c r="P384" s="2" t="s">
        <v>1192</v>
      </c>
      <c r="Q384" s="2" t="s">
        <v>424</v>
      </c>
      <c r="R384" s="2">
        <v>1950</v>
      </c>
      <c r="S384" s="2"/>
      <c r="T384" s="2">
        <v>205</v>
      </c>
      <c r="U384" s="39">
        <f>IF(I384="N",T384*Supuestos!$B$4,T384*Supuestos!$C$4)*100</f>
        <v>8.7724268161362673</v>
      </c>
      <c r="V384" s="20">
        <f t="shared" si="29"/>
        <v>11.399354146341464</v>
      </c>
      <c r="W384" s="2">
        <f t="shared" si="27"/>
        <v>5945</v>
      </c>
      <c r="X384" s="2">
        <f t="shared" si="28"/>
        <v>254.40037766795174</v>
      </c>
    </row>
    <row r="385" spans="1:24" x14ac:dyDescent="0.25">
      <c r="A385" s="6" t="s">
        <v>81</v>
      </c>
      <c r="B385" s="6" t="s">
        <v>637</v>
      </c>
      <c r="C385" s="6" t="s">
        <v>401</v>
      </c>
      <c r="D385" s="6" t="s">
        <v>72</v>
      </c>
      <c r="E385" s="11" t="str">
        <f t="shared" si="25"/>
        <v>SUV</v>
      </c>
      <c r="F385" s="6" t="s">
        <v>21</v>
      </c>
      <c r="G385" s="11">
        <v>1600</v>
      </c>
      <c r="H385" s="6" t="s">
        <v>1050</v>
      </c>
      <c r="I385" s="6" t="str">
        <f t="shared" si="26"/>
        <v>N</v>
      </c>
      <c r="J385" s="17" t="s">
        <v>9</v>
      </c>
      <c r="K385" s="6">
        <v>165</v>
      </c>
      <c r="L385" s="9">
        <v>29</v>
      </c>
      <c r="M385" s="2">
        <v>29</v>
      </c>
      <c r="N385" s="2">
        <v>29490</v>
      </c>
      <c r="O385" s="2" t="s">
        <v>1055</v>
      </c>
      <c r="P385" s="2" t="s">
        <v>1133</v>
      </c>
      <c r="Q385" s="2" t="s">
        <v>429</v>
      </c>
      <c r="R385" s="2">
        <v>1556</v>
      </c>
      <c r="S385" s="2"/>
      <c r="T385" s="2">
        <v>182.49</v>
      </c>
      <c r="U385" s="39">
        <f>IF(I385="N",T385*Supuestos!$B$4,T385*Supuestos!$C$4)*100</f>
        <v>7.8091715593985729</v>
      </c>
      <c r="V385" s="20">
        <f t="shared" si="29"/>
        <v>12.805455641405008</v>
      </c>
      <c r="W385" s="2">
        <f t="shared" si="27"/>
        <v>5292.21</v>
      </c>
      <c r="X385" s="2">
        <f t="shared" si="28"/>
        <v>226.46597522255863</v>
      </c>
    </row>
    <row r="386" spans="1:24" x14ac:dyDescent="0.25">
      <c r="A386" s="6" t="s">
        <v>34</v>
      </c>
      <c r="B386" s="6" t="s">
        <v>217</v>
      </c>
      <c r="C386" s="6" t="s">
        <v>401</v>
      </c>
      <c r="D386" s="6" t="s">
        <v>72</v>
      </c>
      <c r="E386" s="11" t="str">
        <f t="shared" ref="E386:E449" si="30">IF(D386="COMERCIAL","UTILITARIO",IF(C386="SUV Y CROSSOVER","SUV","AUTOMOVIL"))</f>
        <v>SUV</v>
      </c>
      <c r="F386" s="6" t="s">
        <v>21</v>
      </c>
      <c r="G386" s="11">
        <v>1600</v>
      </c>
      <c r="H386" s="6" t="s">
        <v>1050</v>
      </c>
      <c r="I386" s="6" t="str">
        <f t="shared" ref="I386:I449" si="31">IF(H386="NAFTA","N",IF(H386="DIESEL","D",IF(H386="ELÉCTRICO","E","")))</f>
        <v>N</v>
      </c>
      <c r="J386" s="17" t="s">
        <v>9</v>
      </c>
      <c r="K386" s="6">
        <v>123</v>
      </c>
      <c r="L386" s="9">
        <v>28</v>
      </c>
      <c r="M386" s="22"/>
      <c r="N386" s="2"/>
      <c r="O386" s="2"/>
      <c r="P386" s="2"/>
      <c r="Q386" s="2"/>
      <c r="R386" s="2"/>
      <c r="S386" s="2"/>
      <c r="T386" s="2"/>
      <c r="U386" s="39">
        <f>IF(I386="N",T386*Supuestos!$B$4,T386*Supuestos!$C$4)*100</f>
        <v>0</v>
      </c>
      <c r="V386" s="20">
        <f t="shared" si="29"/>
        <v>0</v>
      </c>
      <c r="W386" s="2">
        <f t="shared" ref="W386:W449" si="32">T386*M386</f>
        <v>0</v>
      </c>
      <c r="X386" s="2">
        <f t="shared" ref="X386:X449" si="33">+U386*M386</f>
        <v>0</v>
      </c>
    </row>
    <row r="387" spans="1:24" x14ac:dyDescent="0.25">
      <c r="A387" s="6" t="s">
        <v>62</v>
      </c>
      <c r="B387" s="6" t="s">
        <v>303</v>
      </c>
      <c r="C387" s="6" t="s">
        <v>401</v>
      </c>
      <c r="D387" s="6" t="s">
        <v>72</v>
      </c>
      <c r="E387" s="11" t="str">
        <f t="shared" si="30"/>
        <v>SUV</v>
      </c>
      <c r="F387" s="6" t="s">
        <v>26</v>
      </c>
      <c r="G387" s="11">
        <v>1200</v>
      </c>
      <c r="H387" s="6" t="s">
        <v>1050</v>
      </c>
      <c r="I387" s="6" t="str">
        <f t="shared" si="31"/>
        <v>N</v>
      </c>
      <c r="J387" s="17" t="s">
        <v>9</v>
      </c>
      <c r="K387" s="6">
        <v>130</v>
      </c>
      <c r="L387" s="9">
        <v>28</v>
      </c>
      <c r="M387" s="2">
        <v>28</v>
      </c>
      <c r="N387" s="2">
        <v>43990</v>
      </c>
      <c r="O387" s="2" t="s">
        <v>1060</v>
      </c>
      <c r="P387" s="2" t="s">
        <v>463</v>
      </c>
      <c r="Q387" s="2" t="s">
        <v>456</v>
      </c>
      <c r="R387" s="2">
        <v>1920</v>
      </c>
      <c r="S387" s="2"/>
      <c r="T387" s="2">
        <v>129</v>
      </c>
      <c r="U387" s="39">
        <f>IF(I387="N",T387*Supuestos!$B$4,T387*Supuestos!$C$4)*100</f>
        <v>5.5202100452759923</v>
      </c>
      <c r="V387" s="20">
        <f t="shared" ref="V387:V450" si="34">IF(U387&gt;0,100/U387,0)</f>
        <v>18.115252713178297</v>
      </c>
      <c r="W387" s="2">
        <f t="shared" si="32"/>
        <v>3612</v>
      </c>
      <c r="X387" s="2">
        <f t="shared" si="33"/>
        <v>154.56588126772778</v>
      </c>
    </row>
    <row r="388" spans="1:24" x14ac:dyDescent="0.25">
      <c r="A388" s="6" t="s">
        <v>49</v>
      </c>
      <c r="B388" s="6" t="s">
        <v>958</v>
      </c>
      <c r="C388" s="6" t="s">
        <v>401</v>
      </c>
      <c r="D388" s="6" t="s">
        <v>72</v>
      </c>
      <c r="E388" s="11" t="str">
        <f t="shared" si="30"/>
        <v>SUV</v>
      </c>
      <c r="F388" s="6" t="s">
        <v>45</v>
      </c>
      <c r="G388" s="11">
        <v>2000</v>
      </c>
      <c r="H388" s="6" t="s">
        <v>1050</v>
      </c>
      <c r="I388" s="6" t="str">
        <f t="shared" si="31"/>
        <v>N</v>
      </c>
      <c r="J388" s="17" t="s">
        <v>421</v>
      </c>
      <c r="K388" s="6">
        <v>150</v>
      </c>
      <c r="L388" s="9">
        <v>27</v>
      </c>
      <c r="M388" s="2">
        <v>27</v>
      </c>
      <c r="N388" s="2">
        <v>57800</v>
      </c>
      <c r="O388" s="2" t="s">
        <v>1060</v>
      </c>
      <c r="P388" s="2" t="s">
        <v>1206</v>
      </c>
      <c r="Q388" s="2" t="s">
        <v>424</v>
      </c>
      <c r="R388" s="2">
        <v>2223</v>
      </c>
      <c r="S388" s="2"/>
      <c r="T388" s="2">
        <v>148</v>
      </c>
      <c r="U388" s="39">
        <f>IF(I388="N",T388*Supuestos!$B$4,T388*Supuestos!$C$4)*100</f>
        <v>6.3332642379910613</v>
      </c>
      <c r="V388" s="20">
        <f t="shared" si="34"/>
        <v>15.789645945945946</v>
      </c>
      <c r="W388" s="2">
        <f t="shared" si="32"/>
        <v>3996</v>
      </c>
      <c r="X388" s="2">
        <f t="shared" si="33"/>
        <v>170.99813442575865</v>
      </c>
    </row>
    <row r="389" spans="1:24" x14ac:dyDescent="0.25">
      <c r="A389" s="6" t="s">
        <v>71</v>
      </c>
      <c r="B389" s="6" t="s">
        <v>587</v>
      </c>
      <c r="C389" s="6" t="s">
        <v>401</v>
      </c>
      <c r="D389" s="6" t="s">
        <v>72</v>
      </c>
      <c r="E389" s="11" t="str">
        <f t="shared" si="30"/>
        <v>SUV</v>
      </c>
      <c r="F389" s="6" t="s">
        <v>14</v>
      </c>
      <c r="G389" s="11">
        <v>1500</v>
      </c>
      <c r="H389" s="6" t="s">
        <v>1050</v>
      </c>
      <c r="I389" s="6" t="str">
        <f t="shared" si="31"/>
        <v>N</v>
      </c>
      <c r="J389" s="17" t="s">
        <v>9</v>
      </c>
      <c r="K389" s="6">
        <v>185</v>
      </c>
      <c r="L389" s="9">
        <v>26</v>
      </c>
      <c r="M389" s="2">
        <v>26</v>
      </c>
      <c r="N389" s="2">
        <v>37990</v>
      </c>
      <c r="O389" s="2" t="s">
        <v>1060</v>
      </c>
      <c r="P389" s="2" t="s">
        <v>1207</v>
      </c>
      <c r="Q389" s="2" t="s">
        <v>424</v>
      </c>
      <c r="R389" s="2">
        <v>1840</v>
      </c>
      <c r="S389" s="2"/>
      <c r="T389" s="2">
        <v>160</v>
      </c>
      <c r="U389" s="39">
        <f>IF(I389="N",T389*Supuestos!$B$4,T389*Supuestos!$C$4)*100</f>
        <v>6.8467721491795253</v>
      </c>
      <c r="V389" s="20">
        <f t="shared" si="34"/>
        <v>14.605422500000001</v>
      </c>
      <c r="W389" s="2">
        <f t="shared" si="32"/>
        <v>4160</v>
      </c>
      <c r="X389" s="2">
        <f t="shared" si="33"/>
        <v>178.01607587866766</v>
      </c>
    </row>
    <row r="390" spans="1:24" x14ac:dyDescent="0.25">
      <c r="A390" s="6" t="s">
        <v>32</v>
      </c>
      <c r="B390" s="6" t="s">
        <v>682</v>
      </c>
      <c r="C390" s="6" t="s">
        <v>401</v>
      </c>
      <c r="D390" s="6" t="s">
        <v>72</v>
      </c>
      <c r="E390" s="11" t="str">
        <f t="shared" si="30"/>
        <v>SUV</v>
      </c>
      <c r="F390" s="6" t="s">
        <v>14</v>
      </c>
      <c r="G390" s="11">
        <v>1500</v>
      </c>
      <c r="H390" s="6" t="s">
        <v>1050</v>
      </c>
      <c r="I390" s="6" t="str">
        <f t="shared" si="31"/>
        <v>N</v>
      </c>
      <c r="J390" s="17" t="s">
        <v>9</v>
      </c>
      <c r="K390" s="6">
        <v>102</v>
      </c>
      <c r="L390" s="9">
        <v>25</v>
      </c>
      <c r="M390" s="2">
        <v>25</v>
      </c>
      <c r="N390" s="2">
        <v>19490</v>
      </c>
      <c r="O390" s="2" t="s">
        <v>1053</v>
      </c>
      <c r="P390" s="2" t="s">
        <v>1153</v>
      </c>
      <c r="Q390" s="2" t="s">
        <v>429</v>
      </c>
      <c r="R390" s="2">
        <v>1590</v>
      </c>
      <c r="S390" s="2"/>
      <c r="T390" s="2">
        <v>168</v>
      </c>
      <c r="U390" s="39">
        <f>IF(I390="N",T390*Supuestos!$B$4,T390*Supuestos!$C$4)*100</f>
        <v>7.1891107566385015</v>
      </c>
      <c r="V390" s="20">
        <f t="shared" si="34"/>
        <v>13.909926190476192</v>
      </c>
      <c r="W390" s="2">
        <f t="shared" si="32"/>
        <v>4200</v>
      </c>
      <c r="X390" s="2">
        <f t="shared" si="33"/>
        <v>179.72776891596254</v>
      </c>
    </row>
    <row r="391" spans="1:24" x14ac:dyDescent="0.25">
      <c r="A391" s="6" t="s">
        <v>34</v>
      </c>
      <c r="B391" s="6" t="s">
        <v>218</v>
      </c>
      <c r="C391" s="6" t="s">
        <v>401</v>
      </c>
      <c r="D391" s="6" t="s">
        <v>72</v>
      </c>
      <c r="E391" s="11" t="str">
        <f t="shared" si="30"/>
        <v>SUV</v>
      </c>
      <c r="F391" s="6" t="s">
        <v>21</v>
      </c>
      <c r="G391" s="11">
        <v>1600</v>
      </c>
      <c r="H391" s="6" t="s">
        <v>1050</v>
      </c>
      <c r="I391" s="6" t="str">
        <f t="shared" si="31"/>
        <v>N</v>
      </c>
      <c r="J391" s="17" t="s">
        <v>9</v>
      </c>
      <c r="K391" s="6">
        <v>123</v>
      </c>
      <c r="L391" s="9">
        <v>25</v>
      </c>
      <c r="M391" s="22"/>
      <c r="N391" s="2"/>
      <c r="O391" s="2"/>
      <c r="P391" s="2"/>
      <c r="Q391" s="2"/>
      <c r="R391" s="2"/>
      <c r="S391" s="2"/>
      <c r="T391" s="2"/>
      <c r="U391" s="39">
        <f>IF(I391="N",T391*Supuestos!$B$4,T391*Supuestos!$C$4)*100</f>
        <v>0</v>
      </c>
      <c r="V391" s="20">
        <f t="shared" si="34"/>
        <v>0</v>
      </c>
      <c r="W391" s="2">
        <f t="shared" si="32"/>
        <v>0</v>
      </c>
      <c r="X391" s="2">
        <f t="shared" si="33"/>
        <v>0</v>
      </c>
    </row>
    <row r="392" spans="1:24" x14ac:dyDescent="0.25">
      <c r="A392" s="6" t="s">
        <v>52</v>
      </c>
      <c r="B392" s="6" t="s">
        <v>1002</v>
      </c>
      <c r="C392" s="6" t="s">
        <v>401</v>
      </c>
      <c r="D392" s="6" t="s">
        <v>72</v>
      </c>
      <c r="E392" s="11" t="str">
        <f t="shared" si="30"/>
        <v>SUV</v>
      </c>
      <c r="F392" s="6" t="s">
        <v>64</v>
      </c>
      <c r="G392" s="11">
        <v>1200</v>
      </c>
      <c r="H392" s="6" t="s">
        <v>1050</v>
      </c>
      <c r="I392" s="6" t="str">
        <f t="shared" si="31"/>
        <v>N</v>
      </c>
      <c r="J392" s="17" t="s">
        <v>9</v>
      </c>
      <c r="K392" s="6">
        <v>87</v>
      </c>
      <c r="L392" s="9">
        <v>25</v>
      </c>
      <c r="M392" s="2">
        <v>25</v>
      </c>
      <c r="N392" s="2">
        <v>28990</v>
      </c>
      <c r="O392" s="2" t="s">
        <v>1060</v>
      </c>
      <c r="P392" s="2" t="s">
        <v>1177</v>
      </c>
      <c r="Q392" s="2" t="s">
        <v>424</v>
      </c>
      <c r="R392" s="2">
        <v>1680</v>
      </c>
      <c r="S392" s="2"/>
      <c r="T392" s="2">
        <v>127</v>
      </c>
      <c r="U392" s="39">
        <f>IF(I392="N",T392*Supuestos!$B$4,T392*Supuestos!$C$4)*100</f>
        <v>5.434625393411249</v>
      </c>
      <c r="V392" s="20">
        <f t="shared" si="34"/>
        <v>18.400532283464564</v>
      </c>
      <c r="W392" s="2">
        <f t="shared" si="32"/>
        <v>3175</v>
      </c>
      <c r="X392" s="2">
        <f t="shared" si="33"/>
        <v>135.86563483528121</v>
      </c>
    </row>
    <row r="393" spans="1:24" x14ac:dyDescent="0.25">
      <c r="A393" s="6" t="s">
        <v>54</v>
      </c>
      <c r="B393" s="6" t="s">
        <v>1040</v>
      </c>
      <c r="C393" s="6" t="s">
        <v>401</v>
      </c>
      <c r="D393" s="6" t="s">
        <v>72</v>
      </c>
      <c r="E393" s="11" t="str">
        <f t="shared" si="30"/>
        <v>SUV</v>
      </c>
      <c r="F393" s="6" t="s">
        <v>417</v>
      </c>
      <c r="G393" s="11">
        <v>1500</v>
      </c>
      <c r="H393" s="6" t="s">
        <v>1050</v>
      </c>
      <c r="I393" s="6" t="str">
        <f t="shared" si="31"/>
        <v>N</v>
      </c>
      <c r="J393" s="17" t="s">
        <v>420</v>
      </c>
      <c r="K393" s="6">
        <v>262</v>
      </c>
      <c r="L393" s="9">
        <v>25</v>
      </c>
      <c r="M393" s="2">
        <v>25</v>
      </c>
      <c r="N393" s="2">
        <v>69990</v>
      </c>
      <c r="O393" s="2" t="s">
        <v>1060</v>
      </c>
      <c r="P393" s="2" t="s">
        <v>464</v>
      </c>
      <c r="Q393" s="2" t="s">
        <v>424</v>
      </c>
      <c r="R393" s="2">
        <v>2290</v>
      </c>
      <c r="S393" s="2"/>
      <c r="T393" s="2">
        <v>52</v>
      </c>
      <c r="U393" s="39">
        <f>IF(I393="N",T393*Supuestos!$B$4,T393*Supuestos!$C$4)*100</f>
        <v>2.2252009484833457</v>
      </c>
      <c r="V393" s="20">
        <f t="shared" si="34"/>
        <v>44.939761538461539</v>
      </c>
      <c r="W393" s="2">
        <f t="shared" si="32"/>
        <v>1300</v>
      </c>
      <c r="X393" s="2">
        <f t="shared" si="33"/>
        <v>55.630023712083641</v>
      </c>
    </row>
    <row r="394" spans="1:24" x14ac:dyDescent="0.25">
      <c r="A394" s="6" t="s">
        <v>15</v>
      </c>
      <c r="B394" s="6" t="s">
        <v>550</v>
      </c>
      <c r="C394" s="6" t="s">
        <v>401</v>
      </c>
      <c r="D394" s="6" t="s">
        <v>72</v>
      </c>
      <c r="E394" s="11" t="str">
        <f t="shared" si="30"/>
        <v>SUV</v>
      </c>
      <c r="F394" s="6" t="s">
        <v>16</v>
      </c>
      <c r="G394" s="11">
        <v>2000</v>
      </c>
      <c r="H394" s="6" t="s">
        <v>1050</v>
      </c>
      <c r="I394" s="6" t="str">
        <f t="shared" si="31"/>
        <v>N</v>
      </c>
      <c r="J394" s="17" t="s">
        <v>420</v>
      </c>
      <c r="K394" s="6">
        <v>252</v>
      </c>
      <c r="L394" s="9">
        <v>24</v>
      </c>
      <c r="M394" s="2">
        <v>24</v>
      </c>
      <c r="N394" s="2">
        <v>99990</v>
      </c>
      <c r="O394" s="2" t="s">
        <v>1060</v>
      </c>
      <c r="P394" s="2" t="s">
        <v>457</v>
      </c>
      <c r="Q394" s="2" t="s">
        <v>424</v>
      </c>
      <c r="R394" s="2">
        <v>2620</v>
      </c>
      <c r="S394" s="2"/>
      <c r="T394" s="2">
        <v>64</v>
      </c>
      <c r="U394" s="39">
        <f>IF(I394="N",T394*Supuestos!$B$4,T394*Supuestos!$C$4)*100</f>
        <v>2.7387088596718101</v>
      </c>
      <c r="V394" s="20">
        <f t="shared" si="34"/>
        <v>36.513556250000001</v>
      </c>
      <c r="W394" s="2">
        <f t="shared" si="32"/>
        <v>1536</v>
      </c>
      <c r="X394" s="2">
        <f t="shared" si="33"/>
        <v>65.729012632123442</v>
      </c>
    </row>
    <row r="395" spans="1:24" x14ac:dyDescent="0.25">
      <c r="A395" s="6" t="s">
        <v>17</v>
      </c>
      <c r="B395" s="6" t="s">
        <v>577</v>
      </c>
      <c r="C395" s="6" t="s">
        <v>401</v>
      </c>
      <c r="D395" s="6" t="s">
        <v>72</v>
      </c>
      <c r="E395" s="11" t="str">
        <f t="shared" si="30"/>
        <v>SUV</v>
      </c>
      <c r="F395" s="6" t="s">
        <v>14</v>
      </c>
      <c r="G395" s="11"/>
      <c r="H395" s="6" t="s">
        <v>1051</v>
      </c>
      <c r="I395" s="6" t="str">
        <f t="shared" si="31"/>
        <v>E</v>
      </c>
      <c r="J395" s="17" t="s">
        <v>418</v>
      </c>
      <c r="K395" s="6">
        <v>510</v>
      </c>
      <c r="L395" s="9">
        <v>24</v>
      </c>
      <c r="M395" s="21">
        <v>24</v>
      </c>
      <c r="N395" s="2">
        <v>82990</v>
      </c>
      <c r="O395" s="2" t="s">
        <v>1060</v>
      </c>
      <c r="P395" s="2" t="s">
        <v>1337</v>
      </c>
      <c r="Q395" s="2"/>
      <c r="R395" s="2">
        <v>2050</v>
      </c>
      <c r="S395" s="2">
        <v>5.8</v>
      </c>
      <c r="T395" s="2"/>
      <c r="U395" s="39">
        <f>IF(I395="N",T395*Supuestos!$B$4,T395*Supuestos!$C$4)*100</f>
        <v>0</v>
      </c>
      <c r="V395" s="20">
        <f t="shared" si="34"/>
        <v>0</v>
      </c>
      <c r="W395" s="2">
        <f t="shared" si="32"/>
        <v>0</v>
      </c>
      <c r="X395" s="2">
        <f t="shared" si="33"/>
        <v>0</v>
      </c>
    </row>
    <row r="396" spans="1:24" x14ac:dyDescent="0.25">
      <c r="A396" s="6" t="s">
        <v>19</v>
      </c>
      <c r="B396" s="6" t="s">
        <v>606</v>
      </c>
      <c r="C396" s="6" t="s">
        <v>401</v>
      </c>
      <c r="D396" s="6" t="s">
        <v>72</v>
      </c>
      <c r="E396" s="11" t="str">
        <f t="shared" si="30"/>
        <v>SUV</v>
      </c>
      <c r="F396" s="6" t="s">
        <v>24</v>
      </c>
      <c r="G396" s="11">
        <v>1500</v>
      </c>
      <c r="H396" s="6" t="s">
        <v>1050</v>
      </c>
      <c r="I396" s="6" t="str">
        <f t="shared" si="31"/>
        <v>N</v>
      </c>
      <c r="J396" s="17" t="s">
        <v>9</v>
      </c>
      <c r="K396" s="6">
        <v>170</v>
      </c>
      <c r="L396" s="9">
        <v>24</v>
      </c>
      <c r="M396" s="2">
        <v>24</v>
      </c>
      <c r="N396" s="2">
        <v>45990</v>
      </c>
      <c r="O396" s="2" t="s">
        <v>1060</v>
      </c>
      <c r="P396" s="2" t="s">
        <v>76</v>
      </c>
      <c r="Q396" s="2" t="s">
        <v>429</v>
      </c>
      <c r="R396" s="2">
        <v>2025</v>
      </c>
      <c r="S396" s="2"/>
      <c r="T396" s="2">
        <v>185</v>
      </c>
      <c r="U396" s="39">
        <f>IF(I396="N",T396*Supuestos!$B$4,T396*Supuestos!$C$4)*100</f>
        <v>7.9165802974888262</v>
      </c>
      <c r="V396" s="20">
        <f t="shared" si="34"/>
        <v>12.631716756756758</v>
      </c>
      <c r="W396" s="2">
        <f t="shared" si="32"/>
        <v>4440</v>
      </c>
      <c r="X396" s="2">
        <f t="shared" si="33"/>
        <v>189.99792713973181</v>
      </c>
    </row>
    <row r="397" spans="1:24" x14ac:dyDescent="0.25">
      <c r="A397" s="6" t="s">
        <v>48</v>
      </c>
      <c r="B397" s="6" t="s">
        <v>320</v>
      </c>
      <c r="C397" s="6" t="s">
        <v>401</v>
      </c>
      <c r="D397" s="6" t="s">
        <v>72</v>
      </c>
      <c r="E397" s="11" t="str">
        <f t="shared" si="30"/>
        <v>SUV</v>
      </c>
      <c r="F397" s="6" t="s">
        <v>21</v>
      </c>
      <c r="G397" s="11">
        <v>1600</v>
      </c>
      <c r="H397" s="6" t="s">
        <v>1050</v>
      </c>
      <c r="I397" s="6" t="str">
        <f t="shared" si="31"/>
        <v>N</v>
      </c>
      <c r="J397" s="17" t="s">
        <v>9</v>
      </c>
      <c r="K397" s="6">
        <v>118</v>
      </c>
      <c r="L397" s="9">
        <v>24</v>
      </c>
      <c r="M397" s="2">
        <v>24</v>
      </c>
      <c r="N397" s="2">
        <v>28490</v>
      </c>
      <c r="O397" s="2" t="s">
        <v>1060</v>
      </c>
      <c r="P397" s="2" t="s">
        <v>1172</v>
      </c>
      <c r="Q397" s="2" t="s">
        <v>424</v>
      </c>
      <c r="R397" s="2">
        <v>1785</v>
      </c>
      <c r="S397" s="2"/>
      <c r="T397" s="2">
        <v>159</v>
      </c>
      <c r="U397" s="39">
        <f>IF(I397="N",T397*Supuestos!$B$4,T397*Supuestos!$C$4)*100</f>
        <v>6.803979823247154</v>
      </c>
      <c r="V397" s="20">
        <f t="shared" si="34"/>
        <v>14.697280503144654</v>
      </c>
      <c r="W397" s="2">
        <f t="shared" si="32"/>
        <v>3816</v>
      </c>
      <c r="X397" s="2">
        <f t="shared" si="33"/>
        <v>163.2955157579317</v>
      </c>
    </row>
    <row r="398" spans="1:24" x14ac:dyDescent="0.25">
      <c r="A398" s="6" t="s">
        <v>34</v>
      </c>
      <c r="B398" s="6" t="s">
        <v>226</v>
      </c>
      <c r="C398" s="6" t="s">
        <v>401</v>
      </c>
      <c r="D398" s="6" t="s">
        <v>72</v>
      </c>
      <c r="E398" s="11" t="str">
        <f t="shared" si="30"/>
        <v>SUV</v>
      </c>
      <c r="F398" s="6" t="s">
        <v>20</v>
      </c>
      <c r="G398" s="11">
        <v>1600</v>
      </c>
      <c r="H398" s="6" t="s">
        <v>1050</v>
      </c>
      <c r="I398" s="6" t="str">
        <f t="shared" si="31"/>
        <v>N</v>
      </c>
      <c r="J398" s="17" t="s">
        <v>9</v>
      </c>
      <c r="K398" s="6">
        <v>180</v>
      </c>
      <c r="L398" s="9">
        <v>23</v>
      </c>
      <c r="M398" s="2">
        <v>23</v>
      </c>
      <c r="N398" s="2">
        <v>54990</v>
      </c>
      <c r="O398" s="2" t="s">
        <v>1060</v>
      </c>
      <c r="P398" s="2" t="s">
        <v>1199</v>
      </c>
      <c r="Q398" s="2" t="s">
        <v>456</v>
      </c>
      <c r="R398" s="2">
        <v>2210</v>
      </c>
      <c r="S398" s="2"/>
      <c r="T398" s="2">
        <v>129</v>
      </c>
      <c r="U398" s="39">
        <f>IF(I398="N",T398*Supuestos!$B$4,T398*Supuestos!$C$4)*100</f>
        <v>5.5202100452759923</v>
      </c>
      <c r="V398" s="20">
        <f t="shared" si="34"/>
        <v>18.115252713178297</v>
      </c>
      <c r="W398" s="2">
        <f t="shared" si="32"/>
        <v>2967</v>
      </c>
      <c r="X398" s="2">
        <f t="shared" si="33"/>
        <v>126.96483104134782</v>
      </c>
    </row>
    <row r="399" spans="1:24" x14ac:dyDescent="0.25">
      <c r="A399" s="6" t="s">
        <v>42</v>
      </c>
      <c r="B399" s="6" t="s">
        <v>834</v>
      </c>
      <c r="C399" s="6" t="s">
        <v>401</v>
      </c>
      <c r="D399" s="6" t="s">
        <v>72</v>
      </c>
      <c r="E399" s="11" t="str">
        <f t="shared" si="30"/>
        <v>SUV</v>
      </c>
      <c r="F399" s="6" t="s">
        <v>11</v>
      </c>
      <c r="G399" s="11">
        <v>2000</v>
      </c>
      <c r="H399" s="6" t="s">
        <v>1050</v>
      </c>
      <c r="I399" s="6" t="str">
        <f t="shared" si="31"/>
        <v>N</v>
      </c>
      <c r="J399" s="17" t="s">
        <v>419</v>
      </c>
      <c r="K399" s="6">
        <v>258</v>
      </c>
      <c r="L399" s="9">
        <v>23</v>
      </c>
      <c r="M399" s="2">
        <v>23</v>
      </c>
      <c r="N399" s="2">
        <v>117990</v>
      </c>
      <c r="O399" s="2" t="s">
        <v>1060</v>
      </c>
      <c r="P399" s="2" t="s">
        <v>77</v>
      </c>
      <c r="Q399" s="2" t="s">
        <v>422</v>
      </c>
      <c r="R399" s="2">
        <v>2430</v>
      </c>
      <c r="S399" s="2"/>
      <c r="T399" s="2">
        <v>177</v>
      </c>
      <c r="U399" s="39">
        <f>IF(I399="N",T399*Supuestos!$B$4,T399*Supuestos!$C$4)*100</f>
        <v>7.5742416900298499</v>
      </c>
      <c r="V399" s="20">
        <f t="shared" si="34"/>
        <v>13.202641807909606</v>
      </c>
      <c r="W399" s="2">
        <f t="shared" si="32"/>
        <v>4071</v>
      </c>
      <c r="X399" s="2">
        <f t="shared" si="33"/>
        <v>174.20755887068654</v>
      </c>
    </row>
    <row r="400" spans="1:24" x14ac:dyDescent="0.25">
      <c r="A400" s="6" t="s">
        <v>42</v>
      </c>
      <c r="B400" s="6" t="s">
        <v>251</v>
      </c>
      <c r="C400" s="6" t="s">
        <v>401</v>
      </c>
      <c r="D400" s="6" t="s">
        <v>72</v>
      </c>
      <c r="E400" s="11" t="str">
        <f t="shared" si="30"/>
        <v>SUV</v>
      </c>
      <c r="F400" s="6" t="s">
        <v>16</v>
      </c>
      <c r="G400" s="11">
        <v>2000</v>
      </c>
      <c r="H400" s="6" t="s">
        <v>1052</v>
      </c>
      <c r="I400" s="6" t="str">
        <f t="shared" si="31"/>
        <v>D</v>
      </c>
      <c r="J400" s="17" t="s">
        <v>420</v>
      </c>
      <c r="K400" s="6">
        <v>320</v>
      </c>
      <c r="L400" s="9">
        <v>23</v>
      </c>
      <c r="M400" s="22"/>
      <c r="N400" s="2"/>
      <c r="O400" s="2"/>
      <c r="P400" s="2"/>
      <c r="Q400" s="2"/>
      <c r="R400" s="2"/>
      <c r="S400" s="2"/>
      <c r="T400" s="2"/>
      <c r="U400" s="39">
        <f>IF(I400="N",T400*Supuestos!$B$4,T400*Supuestos!$C$4)*100</f>
        <v>0</v>
      </c>
      <c r="V400" s="20">
        <f t="shared" si="34"/>
        <v>0</v>
      </c>
      <c r="W400" s="2">
        <f t="shared" si="32"/>
        <v>0</v>
      </c>
      <c r="X400" s="2">
        <f t="shared" si="33"/>
        <v>0</v>
      </c>
    </row>
    <row r="401" spans="1:24" x14ac:dyDescent="0.25">
      <c r="A401" s="6" t="s">
        <v>46</v>
      </c>
      <c r="B401" s="6" t="s">
        <v>872</v>
      </c>
      <c r="C401" s="6" t="s">
        <v>401</v>
      </c>
      <c r="D401" s="6" t="s">
        <v>72</v>
      </c>
      <c r="E401" s="11" t="str">
        <f t="shared" si="30"/>
        <v>SUV</v>
      </c>
      <c r="F401" s="6" t="s">
        <v>68</v>
      </c>
      <c r="G401" s="11">
        <v>1300</v>
      </c>
      <c r="H401" s="6" t="s">
        <v>1050</v>
      </c>
      <c r="I401" s="6" t="str">
        <f t="shared" si="31"/>
        <v>N</v>
      </c>
      <c r="J401" s="17" t="s">
        <v>9</v>
      </c>
      <c r="K401" s="6">
        <v>147</v>
      </c>
      <c r="L401" s="9">
        <v>23</v>
      </c>
      <c r="M401" s="2">
        <v>23</v>
      </c>
      <c r="N401" s="2">
        <v>55990</v>
      </c>
      <c r="O401" s="2" t="s">
        <v>1053</v>
      </c>
      <c r="P401" s="2" t="s">
        <v>1208</v>
      </c>
      <c r="Q401" s="2" t="s">
        <v>429</v>
      </c>
      <c r="R401" s="2">
        <v>2040</v>
      </c>
      <c r="S401" s="2"/>
      <c r="T401" s="2">
        <v>148</v>
      </c>
      <c r="U401" s="39">
        <f>IF(I401="N",T401*Supuestos!$B$4,T401*Supuestos!$C$4)*100</f>
        <v>6.3332642379910613</v>
      </c>
      <c r="V401" s="20">
        <f t="shared" si="34"/>
        <v>15.789645945945946</v>
      </c>
      <c r="W401" s="2">
        <f t="shared" si="32"/>
        <v>3404</v>
      </c>
      <c r="X401" s="2">
        <f t="shared" si="33"/>
        <v>145.66507747379441</v>
      </c>
    </row>
    <row r="402" spans="1:24" x14ac:dyDescent="0.25">
      <c r="A402" s="6" t="s">
        <v>18</v>
      </c>
      <c r="B402" s="6" t="s">
        <v>138</v>
      </c>
      <c r="C402" s="6" t="s">
        <v>401</v>
      </c>
      <c r="D402" s="6" t="s">
        <v>72</v>
      </c>
      <c r="E402" s="11" t="str">
        <f t="shared" si="30"/>
        <v>SUV</v>
      </c>
      <c r="F402" s="6" t="s">
        <v>14</v>
      </c>
      <c r="G402" s="11">
        <v>1500</v>
      </c>
      <c r="H402" s="6" t="s">
        <v>1050</v>
      </c>
      <c r="I402" s="6" t="str">
        <f t="shared" si="31"/>
        <v>N</v>
      </c>
      <c r="J402" s="17" t="s">
        <v>9</v>
      </c>
      <c r="K402" s="6">
        <v>116</v>
      </c>
      <c r="L402" s="9">
        <v>22</v>
      </c>
      <c r="M402" s="2">
        <v>22</v>
      </c>
      <c r="N402" s="2">
        <v>26490</v>
      </c>
      <c r="O402" s="2" t="s">
        <v>1060</v>
      </c>
      <c r="P402" s="2" t="s">
        <v>447</v>
      </c>
      <c r="Q402" s="2" t="s">
        <v>429</v>
      </c>
      <c r="R402" s="2">
        <v>1789</v>
      </c>
      <c r="S402" s="2"/>
      <c r="T402" s="2">
        <v>179</v>
      </c>
      <c r="U402" s="39">
        <f>IF(I402="N",T402*Supuestos!$B$4,T402*Supuestos!$C$4)*100</f>
        <v>7.6598263418945951</v>
      </c>
      <c r="V402" s="20">
        <f t="shared" si="34"/>
        <v>13.05512625698324</v>
      </c>
      <c r="W402" s="2">
        <f t="shared" si="32"/>
        <v>3938</v>
      </c>
      <c r="X402" s="2">
        <f t="shared" si="33"/>
        <v>168.5161795216811</v>
      </c>
    </row>
    <row r="403" spans="1:24" x14ac:dyDescent="0.25">
      <c r="A403" s="6" t="s">
        <v>18</v>
      </c>
      <c r="B403" s="6" t="s">
        <v>599</v>
      </c>
      <c r="C403" s="6" t="s">
        <v>401</v>
      </c>
      <c r="D403" s="6" t="s">
        <v>72</v>
      </c>
      <c r="E403" s="11" t="str">
        <f t="shared" si="30"/>
        <v>SUV</v>
      </c>
      <c r="F403" s="6" t="s">
        <v>14</v>
      </c>
      <c r="G403" s="11">
        <v>1500</v>
      </c>
      <c r="H403" s="6" t="s">
        <v>1050</v>
      </c>
      <c r="I403" s="6" t="str">
        <f t="shared" si="31"/>
        <v>N</v>
      </c>
      <c r="J403" s="17" t="s">
        <v>9</v>
      </c>
      <c r="K403" s="6">
        <v>153</v>
      </c>
      <c r="L403" s="9">
        <v>22</v>
      </c>
      <c r="M403" s="2">
        <v>22</v>
      </c>
      <c r="N403" s="2">
        <v>38990</v>
      </c>
      <c r="O403" s="2" t="s">
        <v>1060</v>
      </c>
      <c r="P403" s="2" t="s">
        <v>1190</v>
      </c>
      <c r="Q403" s="2" t="s">
        <v>424</v>
      </c>
      <c r="R403" s="2">
        <v>2104</v>
      </c>
      <c r="S403" s="2"/>
      <c r="T403" s="2">
        <v>182</v>
      </c>
      <c r="U403" s="39">
        <f>IF(I403="N",T403*Supuestos!$B$4,T403*Supuestos!$C$4)*100</f>
        <v>7.7882033196917098</v>
      </c>
      <c r="V403" s="20">
        <f t="shared" si="34"/>
        <v>12.839931868131869</v>
      </c>
      <c r="W403" s="2">
        <f t="shared" si="32"/>
        <v>4004</v>
      </c>
      <c r="X403" s="2">
        <f t="shared" si="33"/>
        <v>171.34047303321762</v>
      </c>
    </row>
    <row r="404" spans="1:24" x14ac:dyDescent="0.25">
      <c r="A404" s="6" t="s">
        <v>41</v>
      </c>
      <c r="B404" s="6" t="s">
        <v>245</v>
      </c>
      <c r="C404" s="6" t="s">
        <v>401</v>
      </c>
      <c r="D404" s="6" t="s">
        <v>72</v>
      </c>
      <c r="E404" s="11" t="str">
        <f t="shared" si="30"/>
        <v>SUV</v>
      </c>
      <c r="F404" s="6" t="s">
        <v>24</v>
      </c>
      <c r="G404" s="11">
        <v>2000</v>
      </c>
      <c r="H404" s="6" t="s">
        <v>1050</v>
      </c>
      <c r="I404" s="6" t="str">
        <f t="shared" si="31"/>
        <v>N</v>
      </c>
      <c r="J404" s="17" t="s">
        <v>9</v>
      </c>
      <c r="K404" s="6">
        <v>157</v>
      </c>
      <c r="L404" s="9">
        <v>22</v>
      </c>
      <c r="M404" s="2">
        <v>22</v>
      </c>
      <c r="N404" s="2">
        <v>39990</v>
      </c>
      <c r="O404" s="2" t="s">
        <v>1060</v>
      </c>
      <c r="P404" s="2" t="s">
        <v>450</v>
      </c>
      <c r="Q404" s="2" t="s">
        <v>429</v>
      </c>
      <c r="R404" s="2">
        <v>1936</v>
      </c>
      <c r="S404" s="2"/>
      <c r="T404" s="2">
        <v>177</v>
      </c>
      <c r="U404" s="39">
        <f>IF(I404="N",T404*Supuestos!$B$4,T404*Supuestos!$C$4)*100</f>
        <v>7.5742416900298499</v>
      </c>
      <c r="V404" s="20">
        <f t="shared" si="34"/>
        <v>13.202641807909606</v>
      </c>
      <c r="W404" s="2">
        <f t="shared" si="32"/>
        <v>3894</v>
      </c>
      <c r="X404" s="2">
        <f t="shared" si="33"/>
        <v>166.63331718065669</v>
      </c>
    </row>
    <row r="405" spans="1:24" x14ac:dyDescent="0.25">
      <c r="A405" s="6" t="s">
        <v>52</v>
      </c>
      <c r="B405" s="6" t="s">
        <v>374</v>
      </c>
      <c r="C405" s="6" t="s">
        <v>401</v>
      </c>
      <c r="D405" s="6" t="s">
        <v>72</v>
      </c>
      <c r="E405" s="11" t="str">
        <f t="shared" si="30"/>
        <v>SUV</v>
      </c>
      <c r="F405" s="6" t="s">
        <v>45</v>
      </c>
      <c r="G405" s="11">
        <v>2500</v>
      </c>
      <c r="H405" s="6" t="s">
        <v>1050</v>
      </c>
      <c r="I405" s="6" t="str">
        <f t="shared" si="31"/>
        <v>N</v>
      </c>
      <c r="J405" s="17" t="s">
        <v>421</v>
      </c>
      <c r="K405" s="6">
        <v>218</v>
      </c>
      <c r="L405" s="9">
        <v>21</v>
      </c>
      <c r="M405" s="2">
        <v>21</v>
      </c>
      <c r="N405" s="2">
        <v>54990</v>
      </c>
      <c r="O405" s="2" t="s">
        <v>1060</v>
      </c>
      <c r="P405" s="2" t="s">
        <v>1164</v>
      </c>
      <c r="Q405" s="2" t="s">
        <v>424</v>
      </c>
      <c r="R405" s="2">
        <v>2195</v>
      </c>
      <c r="S405" s="2"/>
      <c r="T405" s="2">
        <v>109</v>
      </c>
      <c r="U405" s="39">
        <f>IF(I405="N",T405*Supuestos!$B$4,T405*Supuestos!$C$4)*100</f>
        <v>4.6643635266285521</v>
      </c>
      <c r="V405" s="20">
        <f t="shared" si="34"/>
        <v>21.43915229357798</v>
      </c>
      <c r="W405" s="2">
        <f t="shared" si="32"/>
        <v>2289</v>
      </c>
      <c r="X405" s="2">
        <f t="shared" si="33"/>
        <v>97.951634059199591</v>
      </c>
    </row>
    <row r="406" spans="1:24" x14ac:dyDescent="0.25">
      <c r="A406" s="6" t="s">
        <v>32</v>
      </c>
      <c r="B406" s="6" t="s">
        <v>197</v>
      </c>
      <c r="C406" s="6" t="s">
        <v>401</v>
      </c>
      <c r="D406" s="6" t="s">
        <v>72</v>
      </c>
      <c r="E406" s="11" t="str">
        <f t="shared" si="30"/>
        <v>SUV</v>
      </c>
      <c r="F406" s="6" t="s">
        <v>14</v>
      </c>
      <c r="G406" s="11">
        <v>1500</v>
      </c>
      <c r="H406" s="6" t="s">
        <v>1050</v>
      </c>
      <c r="I406" s="6" t="str">
        <f t="shared" si="31"/>
        <v>N</v>
      </c>
      <c r="J406" s="17" t="s">
        <v>9</v>
      </c>
      <c r="K406" s="6">
        <v>100</v>
      </c>
      <c r="L406" s="9">
        <v>20</v>
      </c>
      <c r="M406" s="2">
        <v>20</v>
      </c>
      <c r="N406" s="2">
        <v>22990</v>
      </c>
      <c r="O406" s="2" t="s">
        <v>1053</v>
      </c>
      <c r="P406" s="2" t="s">
        <v>1153</v>
      </c>
      <c r="Q406" s="2" t="s">
        <v>429</v>
      </c>
      <c r="R406" s="2">
        <v>1590</v>
      </c>
      <c r="S406" s="2"/>
      <c r="T406" s="2">
        <v>168</v>
      </c>
      <c r="U406" s="39">
        <f>IF(I406="N",T406*Supuestos!$B$4,T406*Supuestos!$C$4)*100</f>
        <v>7.1891107566385015</v>
      </c>
      <c r="V406" s="20">
        <f t="shared" si="34"/>
        <v>13.909926190476192</v>
      </c>
      <c r="W406" s="2">
        <f t="shared" si="32"/>
        <v>3360</v>
      </c>
      <c r="X406" s="2">
        <f t="shared" si="33"/>
        <v>143.78221513277003</v>
      </c>
    </row>
    <row r="407" spans="1:24" x14ac:dyDescent="0.25">
      <c r="A407" s="6" t="s">
        <v>39</v>
      </c>
      <c r="B407" s="6" t="s">
        <v>779</v>
      </c>
      <c r="C407" s="6" t="s">
        <v>401</v>
      </c>
      <c r="D407" s="6" t="s">
        <v>72</v>
      </c>
      <c r="E407" s="11" t="str">
        <f t="shared" si="30"/>
        <v>SUV</v>
      </c>
      <c r="F407" s="6" t="s">
        <v>20</v>
      </c>
      <c r="G407" s="11">
        <v>1600</v>
      </c>
      <c r="H407" s="6" t="s">
        <v>1050</v>
      </c>
      <c r="I407" s="6" t="str">
        <f t="shared" si="31"/>
        <v>N</v>
      </c>
      <c r="J407" s="17" t="s">
        <v>9</v>
      </c>
      <c r="K407" s="6">
        <v>180</v>
      </c>
      <c r="L407" s="9">
        <v>20</v>
      </c>
      <c r="M407" s="2">
        <v>20</v>
      </c>
      <c r="N407" s="2">
        <v>65990</v>
      </c>
      <c r="O407" s="2" t="s">
        <v>1060</v>
      </c>
      <c r="P407" s="2" t="s">
        <v>1210</v>
      </c>
      <c r="Q407" s="2" t="s">
        <v>424</v>
      </c>
      <c r="R407" s="2">
        <v>2120</v>
      </c>
      <c r="S407" s="2"/>
      <c r="T407" s="2">
        <v>151</v>
      </c>
      <c r="U407" s="39">
        <f>IF(I407="N",T407*Supuestos!$B$4,T407*Supuestos!$C$4)*100</f>
        <v>6.4616412157881777</v>
      </c>
      <c r="V407" s="20">
        <f t="shared" si="34"/>
        <v>15.475944370860926</v>
      </c>
      <c r="W407" s="2">
        <f t="shared" si="32"/>
        <v>3020</v>
      </c>
      <c r="X407" s="2">
        <f t="shared" si="33"/>
        <v>129.23282431576357</v>
      </c>
    </row>
    <row r="408" spans="1:24" x14ac:dyDescent="0.25">
      <c r="A408" s="6" t="s">
        <v>41</v>
      </c>
      <c r="B408" s="6" t="s">
        <v>811</v>
      </c>
      <c r="C408" s="6" t="s">
        <v>401</v>
      </c>
      <c r="D408" s="6" t="s">
        <v>72</v>
      </c>
      <c r="E408" s="11" t="str">
        <f t="shared" si="30"/>
        <v>SUV</v>
      </c>
      <c r="F408" s="6" t="s">
        <v>24</v>
      </c>
      <c r="G408" s="11">
        <v>2500</v>
      </c>
      <c r="H408" s="6" t="s">
        <v>1050</v>
      </c>
      <c r="I408" s="6" t="str">
        <f t="shared" si="31"/>
        <v>N</v>
      </c>
      <c r="J408" s="17" t="s">
        <v>9</v>
      </c>
      <c r="K408" s="6">
        <v>189</v>
      </c>
      <c r="L408" s="9">
        <v>20</v>
      </c>
      <c r="M408" s="2">
        <v>20</v>
      </c>
      <c r="N408" s="2">
        <v>48990</v>
      </c>
      <c r="O408" s="2" t="s">
        <v>1060</v>
      </c>
      <c r="P408" s="2" t="s">
        <v>1160</v>
      </c>
      <c r="Q408" s="2" t="s">
        <v>429</v>
      </c>
      <c r="R408" s="2">
        <v>2022</v>
      </c>
      <c r="S408" s="2"/>
      <c r="T408" s="2">
        <v>163</v>
      </c>
      <c r="U408" s="39">
        <f>IF(I408="N",T408*Supuestos!$B$4,T408*Supuestos!$C$4)*100</f>
        <v>6.9751491269766417</v>
      </c>
      <c r="V408" s="20">
        <f t="shared" si="34"/>
        <v>14.336611042944785</v>
      </c>
      <c r="W408" s="2">
        <f t="shared" si="32"/>
        <v>3260</v>
      </c>
      <c r="X408" s="2">
        <f t="shared" si="33"/>
        <v>139.50298253953284</v>
      </c>
    </row>
    <row r="409" spans="1:24" x14ac:dyDescent="0.25">
      <c r="A409" s="6" t="s">
        <v>48</v>
      </c>
      <c r="B409" s="6" t="s">
        <v>918</v>
      </c>
      <c r="C409" s="6" t="s">
        <v>401</v>
      </c>
      <c r="D409" s="6" t="s">
        <v>72</v>
      </c>
      <c r="E409" s="11" t="str">
        <f t="shared" si="30"/>
        <v>SUV</v>
      </c>
      <c r="F409" s="6"/>
      <c r="G409" s="11">
        <v>1300</v>
      </c>
      <c r="H409" s="6" t="s">
        <v>1050</v>
      </c>
      <c r="I409" s="6" t="str">
        <f t="shared" si="31"/>
        <v>N</v>
      </c>
      <c r="J409" s="17" t="s">
        <v>9</v>
      </c>
      <c r="K409" s="6">
        <v>150</v>
      </c>
      <c r="L409" s="9">
        <v>19</v>
      </c>
      <c r="M409" s="2">
        <v>19</v>
      </c>
      <c r="N409" s="2">
        <v>43990</v>
      </c>
      <c r="O409" s="2" t="s">
        <v>1060</v>
      </c>
      <c r="P409" s="2" t="s">
        <v>1170</v>
      </c>
      <c r="Q409" s="2" t="s">
        <v>424</v>
      </c>
      <c r="R409" s="2">
        <v>1890</v>
      </c>
      <c r="S409" s="2"/>
      <c r="T409" s="2">
        <v>139</v>
      </c>
      <c r="U409" s="39">
        <f>IF(I409="N",T409*Supuestos!$B$4,T409*Supuestos!$C$4)*100</f>
        <v>5.9481333045997129</v>
      </c>
      <c r="V409" s="20">
        <f t="shared" si="34"/>
        <v>16.811997122302159</v>
      </c>
      <c r="W409" s="2">
        <f t="shared" si="32"/>
        <v>2641</v>
      </c>
      <c r="X409" s="2">
        <f t="shared" si="33"/>
        <v>113.01453278739454</v>
      </c>
    </row>
    <row r="410" spans="1:24" x14ac:dyDescent="0.25">
      <c r="A410" s="6" t="s">
        <v>18</v>
      </c>
      <c r="B410" s="6" t="s">
        <v>592</v>
      </c>
      <c r="C410" s="6" t="s">
        <v>401</v>
      </c>
      <c r="D410" s="6" t="s">
        <v>72</v>
      </c>
      <c r="E410" s="11" t="str">
        <f t="shared" si="30"/>
        <v>SUV</v>
      </c>
      <c r="F410" s="6" t="s">
        <v>14</v>
      </c>
      <c r="G410" s="11">
        <v>1500</v>
      </c>
      <c r="H410" s="6" t="s">
        <v>1050</v>
      </c>
      <c r="I410" s="6" t="str">
        <f t="shared" si="31"/>
        <v>N</v>
      </c>
      <c r="J410" s="17" t="s">
        <v>419</v>
      </c>
      <c r="K410" s="6">
        <v>157</v>
      </c>
      <c r="L410" s="9">
        <v>18</v>
      </c>
      <c r="M410" s="2">
        <v>18</v>
      </c>
      <c r="N410" s="2">
        <v>32990</v>
      </c>
      <c r="O410" s="2" t="s">
        <v>1060</v>
      </c>
      <c r="P410" s="2" t="s">
        <v>449</v>
      </c>
      <c r="Q410" s="2" t="s">
        <v>424</v>
      </c>
      <c r="R410" s="2">
        <v>1888</v>
      </c>
      <c r="S410" s="2"/>
      <c r="T410" s="2">
        <v>189</v>
      </c>
      <c r="U410" s="39">
        <f>IF(I410="N",T410*Supuestos!$B$4,T410*Supuestos!$C$4)*100</f>
        <v>8.0877496012183148</v>
      </c>
      <c r="V410" s="20">
        <f t="shared" si="34"/>
        <v>12.364378835978835</v>
      </c>
      <c r="W410" s="2">
        <f t="shared" si="32"/>
        <v>3402</v>
      </c>
      <c r="X410" s="2">
        <f t="shared" si="33"/>
        <v>145.57949282192968</v>
      </c>
    </row>
    <row r="411" spans="1:24" x14ac:dyDescent="0.25">
      <c r="A411" s="6" t="s">
        <v>18</v>
      </c>
      <c r="B411" s="6" t="s">
        <v>596</v>
      </c>
      <c r="C411" s="6" t="s">
        <v>401</v>
      </c>
      <c r="D411" s="6" t="s">
        <v>72</v>
      </c>
      <c r="E411" s="11" t="str">
        <f t="shared" si="30"/>
        <v>SUV</v>
      </c>
      <c r="F411" s="6"/>
      <c r="G411" s="11">
        <v>1500</v>
      </c>
      <c r="H411" s="6" t="s">
        <v>1050</v>
      </c>
      <c r="I411" s="6" t="str">
        <f t="shared" si="31"/>
        <v>N</v>
      </c>
      <c r="J411" s="17" t="s">
        <v>419</v>
      </c>
      <c r="K411" s="6">
        <v>157</v>
      </c>
      <c r="L411" s="9">
        <v>18</v>
      </c>
      <c r="M411" s="2">
        <v>18</v>
      </c>
      <c r="N411" s="2">
        <v>26990</v>
      </c>
      <c r="O411" s="2" t="s">
        <v>1060</v>
      </c>
      <c r="P411" s="2" t="s">
        <v>447</v>
      </c>
      <c r="Q411" s="2" t="s">
        <v>429</v>
      </c>
      <c r="R411" s="2">
        <v>1789</v>
      </c>
      <c r="S411" s="2"/>
      <c r="T411" s="2">
        <v>179</v>
      </c>
      <c r="U411" s="39">
        <f>IF(I411="N",T411*Supuestos!$B$4,T411*Supuestos!$C$4)*100</f>
        <v>7.6598263418945951</v>
      </c>
      <c r="V411" s="20">
        <f t="shared" si="34"/>
        <v>13.05512625698324</v>
      </c>
      <c r="W411" s="2">
        <f t="shared" si="32"/>
        <v>3222</v>
      </c>
      <c r="X411" s="2">
        <f t="shared" si="33"/>
        <v>137.87687415410272</v>
      </c>
    </row>
    <row r="412" spans="1:24" x14ac:dyDescent="0.25">
      <c r="A412" s="6" t="s">
        <v>39</v>
      </c>
      <c r="B412" s="6" t="s">
        <v>772</v>
      </c>
      <c r="C412" s="6" t="s">
        <v>401</v>
      </c>
      <c r="D412" s="6" t="s">
        <v>72</v>
      </c>
      <c r="E412" s="11" t="str">
        <f t="shared" si="30"/>
        <v>SUV</v>
      </c>
      <c r="F412" s="6" t="s">
        <v>35</v>
      </c>
      <c r="G412" s="11">
        <v>1500</v>
      </c>
      <c r="H412" s="6" t="s">
        <v>1050</v>
      </c>
      <c r="I412" s="6" t="str">
        <f t="shared" si="31"/>
        <v>N</v>
      </c>
      <c r="J412" s="17" t="s">
        <v>9</v>
      </c>
      <c r="K412" s="6">
        <v>113</v>
      </c>
      <c r="L412" s="9">
        <v>18</v>
      </c>
      <c r="M412" s="2">
        <v>18</v>
      </c>
      <c r="N412" s="2">
        <v>39990</v>
      </c>
      <c r="O412" s="2" t="s">
        <v>1060</v>
      </c>
      <c r="P412" s="2" t="s">
        <v>1211</v>
      </c>
      <c r="Q412" s="2" t="s">
        <v>424</v>
      </c>
      <c r="R412" s="2">
        <v>1850</v>
      </c>
      <c r="S412" s="2"/>
      <c r="T412" s="2">
        <v>165</v>
      </c>
      <c r="U412" s="39">
        <f>IF(I412="N",T412*Supuestos!$B$4,T412*Supuestos!$C$4)*100</f>
        <v>7.0607337788413851</v>
      </c>
      <c r="V412" s="20">
        <f t="shared" si="34"/>
        <v>14.162833939393941</v>
      </c>
      <c r="W412" s="2">
        <f t="shared" si="32"/>
        <v>2970</v>
      </c>
      <c r="X412" s="2">
        <f t="shared" si="33"/>
        <v>127.09320801914492</v>
      </c>
    </row>
    <row r="413" spans="1:24" x14ac:dyDescent="0.25">
      <c r="A413" s="6" t="s">
        <v>10</v>
      </c>
      <c r="B413" s="6" t="s">
        <v>103</v>
      </c>
      <c r="C413" s="6" t="s">
        <v>401</v>
      </c>
      <c r="D413" s="6" t="s">
        <v>72</v>
      </c>
      <c r="E413" s="11" t="str">
        <f t="shared" si="30"/>
        <v>SUV</v>
      </c>
      <c r="F413" s="6" t="s">
        <v>51</v>
      </c>
      <c r="G413" s="11">
        <v>1400</v>
      </c>
      <c r="H413" s="6" t="s">
        <v>1050</v>
      </c>
      <c r="I413" s="6" t="str">
        <f t="shared" si="31"/>
        <v>N</v>
      </c>
      <c r="J413" s="17" t="s">
        <v>9</v>
      </c>
      <c r="K413" s="6">
        <v>150</v>
      </c>
      <c r="L413" s="9">
        <v>17</v>
      </c>
      <c r="M413" s="2">
        <v>17</v>
      </c>
      <c r="N413" s="2">
        <v>75900</v>
      </c>
      <c r="O413" s="2" t="s">
        <v>1053</v>
      </c>
      <c r="P413" s="2" t="s">
        <v>1196</v>
      </c>
      <c r="Q413" s="2" t="s">
        <v>422</v>
      </c>
      <c r="R413" s="2">
        <v>2500</v>
      </c>
      <c r="S413" s="2"/>
      <c r="T413" s="2">
        <v>171</v>
      </c>
      <c r="U413" s="39">
        <f>IF(I413="N",T413*Supuestos!$B$4,T413*Supuestos!$C$4)*100</f>
        <v>7.317487734435618</v>
      </c>
      <c r="V413" s="20">
        <f t="shared" si="34"/>
        <v>13.665892397660819</v>
      </c>
      <c r="W413" s="2">
        <f t="shared" si="32"/>
        <v>2907</v>
      </c>
      <c r="X413" s="2">
        <f t="shared" si="33"/>
        <v>124.3972914854055</v>
      </c>
    </row>
    <row r="414" spans="1:24" x14ac:dyDescent="0.25">
      <c r="A414" s="6" t="s">
        <v>10</v>
      </c>
      <c r="B414" s="6" t="s">
        <v>108</v>
      </c>
      <c r="C414" s="6" t="s">
        <v>401</v>
      </c>
      <c r="D414" s="6" t="s">
        <v>72</v>
      </c>
      <c r="E414" s="11" t="str">
        <f t="shared" si="30"/>
        <v>SUV</v>
      </c>
      <c r="F414" s="6" t="s">
        <v>24</v>
      </c>
      <c r="G414" s="11">
        <v>2000</v>
      </c>
      <c r="H414" s="6" t="s">
        <v>1050</v>
      </c>
      <c r="I414" s="6" t="str">
        <f t="shared" si="31"/>
        <v>N</v>
      </c>
      <c r="J414" s="17" t="s">
        <v>419</v>
      </c>
      <c r="K414" s="6">
        <v>245</v>
      </c>
      <c r="L414" s="9">
        <v>17</v>
      </c>
      <c r="M414" s="2">
        <v>17</v>
      </c>
      <c r="N414" s="2">
        <v>99900</v>
      </c>
      <c r="O414" s="2" t="s">
        <v>1053</v>
      </c>
      <c r="P414" s="2" t="s">
        <v>1212</v>
      </c>
      <c r="Q414" s="2" t="s">
        <v>422</v>
      </c>
      <c r="R414" s="2">
        <v>2900</v>
      </c>
      <c r="S414" s="2"/>
      <c r="T414" s="2">
        <v>183</v>
      </c>
      <c r="U414" s="39">
        <f>IF(I414="N",T414*Supuestos!$B$4,T414*Supuestos!$C$4)*100</f>
        <v>7.8309956456240819</v>
      </c>
      <c r="V414" s="20">
        <f t="shared" si="34"/>
        <v>12.769768306010929</v>
      </c>
      <c r="W414" s="2">
        <f t="shared" si="32"/>
        <v>3111</v>
      </c>
      <c r="X414" s="2">
        <f t="shared" si="33"/>
        <v>133.1269259756094</v>
      </c>
    </row>
    <row r="415" spans="1:24" x14ac:dyDescent="0.25">
      <c r="A415" s="6" t="s">
        <v>71</v>
      </c>
      <c r="B415" s="6" t="s">
        <v>585</v>
      </c>
      <c r="C415" s="6" t="s">
        <v>401</v>
      </c>
      <c r="D415" s="6" t="s">
        <v>72</v>
      </c>
      <c r="E415" s="11" t="str">
        <f t="shared" si="30"/>
        <v>SUV</v>
      </c>
      <c r="F415" s="6" t="s">
        <v>14</v>
      </c>
      <c r="G415" s="11">
        <v>1500</v>
      </c>
      <c r="H415" s="6" t="s">
        <v>1050</v>
      </c>
      <c r="I415" s="6" t="str">
        <f t="shared" si="31"/>
        <v>N</v>
      </c>
      <c r="J415" s="17" t="s">
        <v>9</v>
      </c>
      <c r="K415" s="6">
        <v>180</v>
      </c>
      <c r="L415" s="9">
        <v>17</v>
      </c>
      <c r="M415" s="2">
        <v>17</v>
      </c>
      <c r="N415" s="2">
        <v>38990</v>
      </c>
      <c r="O415" s="2" t="s">
        <v>1053</v>
      </c>
      <c r="P415" s="2" t="s">
        <v>1156</v>
      </c>
      <c r="Q415" s="2" t="s">
        <v>422</v>
      </c>
      <c r="R415" s="2">
        <v>1840</v>
      </c>
      <c r="S415" s="2"/>
      <c r="T415" s="2">
        <v>176</v>
      </c>
      <c r="U415" s="39">
        <f>IF(I415="N",T415*Supuestos!$B$4,T415*Supuestos!$C$4)*100</f>
        <v>7.5314493640974787</v>
      </c>
      <c r="V415" s="20">
        <f t="shared" si="34"/>
        <v>13.277656818181818</v>
      </c>
      <c r="W415" s="2">
        <f t="shared" si="32"/>
        <v>2992</v>
      </c>
      <c r="X415" s="2">
        <f t="shared" si="33"/>
        <v>128.03463918965713</v>
      </c>
    </row>
    <row r="416" spans="1:24" x14ac:dyDescent="0.25">
      <c r="A416" s="6" t="s">
        <v>58</v>
      </c>
      <c r="B416" s="6" t="s">
        <v>694</v>
      </c>
      <c r="C416" s="6" t="s">
        <v>401</v>
      </c>
      <c r="D416" s="6" t="s">
        <v>72</v>
      </c>
      <c r="E416" s="11" t="str">
        <f t="shared" si="30"/>
        <v>SUV</v>
      </c>
      <c r="F416" s="6" t="s">
        <v>14</v>
      </c>
      <c r="G416" s="11">
        <v>1500</v>
      </c>
      <c r="H416" s="6" t="s">
        <v>1050</v>
      </c>
      <c r="I416" s="6" t="str">
        <f t="shared" si="31"/>
        <v>N</v>
      </c>
      <c r="J416" s="17" t="s">
        <v>9</v>
      </c>
      <c r="K416" s="6">
        <v>141</v>
      </c>
      <c r="L416" s="9">
        <v>17</v>
      </c>
      <c r="M416" s="2">
        <v>17</v>
      </c>
      <c r="N416" s="2">
        <v>32990</v>
      </c>
      <c r="O416" s="2" t="s">
        <v>1053</v>
      </c>
      <c r="P416" s="2" t="s">
        <v>1213</v>
      </c>
      <c r="Q416" s="2" t="s">
        <v>429</v>
      </c>
      <c r="R416" s="2">
        <v>1740</v>
      </c>
      <c r="S416" s="2"/>
      <c r="T416" s="2">
        <v>172</v>
      </c>
      <c r="U416" s="39">
        <f>IF(I416="N",T416*Supuestos!$B$4,T416*Supuestos!$C$4)*100</f>
        <v>7.3602800603679892</v>
      </c>
      <c r="V416" s="20">
        <f t="shared" si="34"/>
        <v>13.586439534883722</v>
      </c>
      <c r="W416" s="2">
        <f t="shared" si="32"/>
        <v>2924</v>
      </c>
      <c r="X416" s="2">
        <f t="shared" si="33"/>
        <v>125.12476102625581</v>
      </c>
    </row>
    <row r="417" spans="1:24" x14ac:dyDescent="0.25">
      <c r="A417" s="6" t="s">
        <v>43</v>
      </c>
      <c r="B417" s="6" t="s">
        <v>855</v>
      </c>
      <c r="C417" s="6" t="s">
        <v>401</v>
      </c>
      <c r="D417" s="6" t="s">
        <v>72</v>
      </c>
      <c r="E417" s="11" t="str">
        <f t="shared" si="30"/>
        <v>SUV</v>
      </c>
      <c r="F417" s="6" t="s">
        <v>416</v>
      </c>
      <c r="G417" s="11">
        <v>1500</v>
      </c>
      <c r="H417" s="6" t="s">
        <v>1050</v>
      </c>
      <c r="I417" s="6" t="str">
        <f t="shared" si="31"/>
        <v>N</v>
      </c>
      <c r="J417" s="17" t="s">
        <v>9</v>
      </c>
      <c r="K417" s="6">
        <v>136</v>
      </c>
      <c r="L417" s="9">
        <v>17</v>
      </c>
      <c r="M417" s="2">
        <v>17</v>
      </c>
      <c r="N417" s="2">
        <v>61990</v>
      </c>
      <c r="O417" s="2" t="s">
        <v>1060</v>
      </c>
      <c r="P417" s="2" t="s">
        <v>1214</v>
      </c>
      <c r="Q417" s="2" t="s">
        <v>424</v>
      </c>
      <c r="R417" s="2">
        <v>1715</v>
      </c>
      <c r="S417" s="2"/>
      <c r="T417" s="2">
        <v>145</v>
      </c>
      <c r="U417" s="39">
        <f>IF(I417="N",T417*Supuestos!$B$4,T417*Supuestos!$C$4)*100</f>
        <v>6.2048872601939449</v>
      </c>
      <c r="V417" s="20">
        <f t="shared" si="34"/>
        <v>16.11632827586207</v>
      </c>
      <c r="W417" s="2">
        <f t="shared" si="32"/>
        <v>2465</v>
      </c>
      <c r="X417" s="2">
        <f t="shared" si="33"/>
        <v>105.48308342329706</v>
      </c>
    </row>
    <row r="418" spans="1:24" x14ac:dyDescent="0.25">
      <c r="A418" s="6" t="s">
        <v>43</v>
      </c>
      <c r="B418" s="6" t="s">
        <v>856</v>
      </c>
      <c r="C418" s="6" t="s">
        <v>401</v>
      </c>
      <c r="D418" s="6" t="s">
        <v>72</v>
      </c>
      <c r="E418" s="11" t="str">
        <f t="shared" si="30"/>
        <v>SUV</v>
      </c>
      <c r="F418" s="6" t="s">
        <v>416</v>
      </c>
      <c r="G418" s="11">
        <v>1500</v>
      </c>
      <c r="H418" s="6" t="s">
        <v>1050</v>
      </c>
      <c r="I418" s="6" t="str">
        <f t="shared" si="31"/>
        <v>N</v>
      </c>
      <c r="J418" s="17" t="s">
        <v>420</v>
      </c>
      <c r="K418" s="6">
        <v>224</v>
      </c>
      <c r="L418" s="9">
        <v>17</v>
      </c>
      <c r="M418" s="2">
        <v>17</v>
      </c>
      <c r="N418" s="2">
        <v>75990</v>
      </c>
      <c r="O418" s="2" t="s">
        <v>1060</v>
      </c>
      <c r="P418" s="2" t="s">
        <v>465</v>
      </c>
      <c r="Q418" s="2" t="s">
        <v>424</v>
      </c>
      <c r="R418" s="2">
        <v>2270</v>
      </c>
      <c r="S418" s="2"/>
      <c r="T418" s="2">
        <v>54</v>
      </c>
      <c r="U418" s="39">
        <f>IF(I418="N",T418*Supuestos!$B$4,T418*Supuestos!$C$4)*100</f>
        <v>2.31078560034809</v>
      </c>
      <c r="V418" s="20">
        <f t="shared" si="34"/>
        <v>43.275325925925927</v>
      </c>
      <c r="W418" s="2">
        <f t="shared" si="32"/>
        <v>918</v>
      </c>
      <c r="X418" s="2">
        <f t="shared" si="33"/>
        <v>39.28335520591753</v>
      </c>
    </row>
    <row r="419" spans="1:24" x14ac:dyDescent="0.25">
      <c r="A419" s="6" t="s">
        <v>62</v>
      </c>
      <c r="B419" s="6" t="s">
        <v>301</v>
      </c>
      <c r="C419" s="6" t="s">
        <v>401</v>
      </c>
      <c r="D419" s="6" t="s">
        <v>72</v>
      </c>
      <c r="E419" s="11" t="str">
        <f t="shared" si="30"/>
        <v>SUV</v>
      </c>
      <c r="F419" s="6" t="s">
        <v>57</v>
      </c>
      <c r="G419" s="11"/>
      <c r="H419" s="6" t="s">
        <v>1051</v>
      </c>
      <c r="I419" s="6" t="str">
        <f t="shared" si="31"/>
        <v>E</v>
      </c>
      <c r="J419" s="17" t="s">
        <v>418</v>
      </c>
      <c r="K419" s="6">
        <v>136</v>
      </c>
      <c r="L419" s="9">
        <v>17</v>
      </c>
      <c r="M419" s="21">
        <v>17</v>
      </c>
      <c r="N419" s="2">
        <v>53000</v>
      </c>
      <c r="O419" s="2" t="s">
        <v>1060</v>
      </c>
      <c r="P419" s="2" t="s">
        <v>1370</v>
      </c>
      <c r="Q419" s="2"/>
      <c r="R419" s="2">
        <v>2030</v>
      </c>
      <c r="S419" s="2">
        <v>7.5</v>
      </c>
      <c r="T419" s="2"/>
      <c r="U419" s="39">
        <f>IF(I419="N",T419*Supuestos!$B$4,T419*Supuestos!$C$4)*100</f>
        <v>0</v>
      </c>
      <c r="V419" s="20">
        <f t="shared" si="34"/>
        <v>0</v>
      </c>
      <c r="W419" s="2">
        <f t="shared" si="32"/>
        <v>0</v>
      </c>
      <c r="X419" s="2">
        <f t="shared" si="33"/>
        <v>0</v>
      </c>
    </row>
    <row r="420" spans="1:24" x14ac:dyDescent="0.25">
      <c r="A420" s="6" t="s">
        <v>48</v>
      </c>
      <c r="B420" s="6" t="s">
        <v>922</v>
      </c>
      <c r="C420" s="6" t="s">
        <v>401</v>
      </c>
      <c r="D420" s="6" t="s">
        <v>72</v>
      </c>
      <c r="E420" s="11" t="str">
        <f t="shared" si="30"/>
        <v>SUV</v>
      </c>
      <c r="F420" s="6"/>
      <c r="G420" s="11"/>
      <c r="H420" s="6" t="s">
        <v>1052</v>
      </c>
      <c r="I420" s="6" t="str">
        <f t="shared" si="31"/>
        <v>D</v>
      </c>
      <c r="J420" s="17" t="s">
        <v>22</v>
      </c>
      <c r="K420" s="6"/>
      <c r="L420" s="9">
        <v>17</v>
      </c>
      <c r="M420" s="2">
        <v>17</v>
      </c>
      <c r="N420" s="2">
        <v>25608</v>
      </c>
      <c r="O420" s="2" t="s">
        <v>1053</v>
      </c>
      <c r="P420" s="2" t="s">
        <v>1174</v>
      </c>
      <c r="Q420" s="2" t="s">
        <v>422</v>
      </c>
      <c r="R420" s="2">
        <v>2500</v>
      </c>
      <c r="S420" s="2"/>
      <c r="T420" s="2">
        <v>122</v>
      </c>
      <c r="U420" s="39">
        <f>IF(I420="N",T420*Supuestos!$B$4,T420*Supuestos!$C$4)*100</f>
        <v>4.5447741839541314</v>
      </c>
      <c r="V420" s="20">
        <f t="shared" si="34"/>
        <v>22.003293442622947</v>
      </c>
      <c r="W420" s="2">
        <f t="shared" si="32"/>
        <v>2074</v>
      </c>
      <c r="X420" s="2">
        <f t="shared" si="33"/>
        <v>77.261161127220234</v>
      </c>
    </row>
    <row r="421" spans="1:24" x14ac:dyDescent="0.25">
      <c r="A421" s="6" t="s">
        <v>15</v>
      </c>
      <c r="B421" s="6" t="s">
        <v>536</v>
      </c>
      <c r="C421" s="6" t="s">
        <v>401</v>
      </c>
      <c r="D421" s="6" t="s">
        <v>72</v>
      </c>
      <c r="E421" s="11" t="str">
        <f t="shared" si="30"/>
        <v>SUV</v>
      </c>
      <c r="F421" s="6" t="s">
        <v>11</v>
      </c>
      <c r="G421" s="11"/>
      <c r="H421" s="6" t="s">
        <v>1051</v>
      </c>
      <c r="I421" s="6" t="str">
        <f t="shared" si="31"/>
        <v>E</v>
      </c>
      <c r="J421" s="17" t="s">
        <v>418</v>
      </c>
      <c r="K421" s="6">
        <v>313</v>
      </c>
      <c r="L421" s="9">
        <v>16</v>
      </c>
      <c r="M421" s="21">
        <v>16</v>
      </c>
      <c r="N421" s="2">
        <v>89990</v>
      </c>
      <c r="O421" s="2" t="s">
        <v>1060</v>
      </c>
      <c r="P421" s="2" t="s">
        <v>1352</v>
      </c>
      <c r="Q421" s="2"/>
      <c r="R421" s="2">
        <v>2580</v>
      </c>
      <c r="S421" s="2">
        <v>6.2</v>
      </c>
      <c r="T421" s="2"/>
      <c r="U421" s="39">
        <f>IF(I421="N",T421*Supuestos!$B$4,T421*Supuestos!$C$4)*100</f>
        <v>0</v>
      </c>
      <c r="V421" s="20">
        <f t="shared" si="34"/>
        <v>0</v>
      </c>
      <c r="W421" s="2">
        <f t="shared" si="32"/>
        <v>0</v>
      </c>
      <c r="X421" s="2">
        <f t="shared" si="33"/>
        <v>0</v>
      </c>
    </row>
    <row r="422" spans="1:24" x14ac:dyDescent="0.25">
      <c r="A422" s="6" t="s">
        <v>36</v>
      </c>
      <c r="B422" s="6" t="s">
        <v>743</v>
      </c>
      <c r="C422" s="6" t="s">
        <v>401</v>
      </c>
      <c r="D422" s="6" t="s">
        <v>72</v>
      </c>
      <c r="E422" s="11" t="str">
        <f t="shared" si="30"/>
        <v>SUV</v>
      </c>
      <c r="F422" s="6" t="s">
        <v>14</v>
      </c>
      <c r="G422" s="11"/>
      <c r="H422" s="6" t="s">
        <v>1051</v>
      </c>
      <c r="I422" s="6" t="str">
        <f t="shared" si="31"/>
        <v>E</v>
      </c>
      <c r="J422" s="17" t="s">
        <v>418</v>
      </c>
      <c r="K422" s="6">
        <v>147</v>
      </c>
      <c r="L422" s="9">
        <v>16</v>
      </c>
      <c r="M422" s="21">
        <v>16</v>
      </c>
      <c r="N422" s="2">
        <v>38990</v>
      </c>
      <c r="O422" s="2" t="s">
        <v>1060</v>
      </c>
      <c r="P422" s="2" t="s">
        <v>1340</v>
      </c>
      <c r="Q422" s="2"/>
      <c r="R422" s="2">
        <v>2065</v>
      </c>
      <c r="S422" s="2">
        <v>5.4</v>
      </c>
      <c r="T422" s="2"/>
      <c r="U422" s="39">
        <f>IF(I422="N",T422*Supuestos!$B$4,T422*Supuestos!$C$4)*100</f>
        <v>0</v>
      </c>
      <c r="V422" s="20">
        <f t="shared" si="34"/>
        <v>0</v>
      </c>
      <c r="W422" s="2">
        <f t="shared" si="32"/>
        <v>0</v>
      </c>
      <c r="X422" s="2">
        <f t="shared" si="33"/>
        <v>0</v>
      </c>
    </row>
    <row r="423" spans="1:24" x14ac:dyDescent="0.25">
      <c r="A423" s="6" t="s">
        <v>85</v>
      </c>
      <c r="B423" s="6" t="s">
        <v>759</v>
      </c>
      <c r="C423" s="6" t="s">
        <v>401</v>
      </c>
      <c r="D423" s="6" t="s">
        <v>72</v>
      </c>
      <c r="E423" s="11" t="str">
        <f t="shared" si="30"/>
        <v>SUV</v>
      </c>
      <c r="F423" s="6" t="s">
        <v>14</v>
      </c>
      <c r="G423" s="11">
        <v>1600</v>
      </c>
      <c r="H423" s="6" t="s">
        <v>1050</v>
      </c>
      <c r="I423" s="6" t="str">
        <f t="shared" si="31"/>
        <v>N</v>
      </c>
      <c r="J423" s="17" t="s">
        <v>9</v>
      </c>
      <c r="K423" s="6">
        <v>197</v>
      </c>
      <c r="L423" s="9">
        <v>16</v>
      </c>
      <c r="M423" s="22"/>
      <c r="N423" s="2"/>
      <c r="O423" s="2"/>
      <c r="P423" s="2"/>
      <c r="Q423" s="2"/>
      <c r="R423" s="2"/>
      <c r="S423" s="2"/>
      <c r="T423" s="2"/>
      <c r="U423" s="39">
        <f>IF(I423="N",T423*Supuestos!$B$4,T423*Supuestos!$C$4)*100</f>
        <v>0</v>
      </c>
      <c r="V423" s="20">
        <f t="shared" si="34"/>
        <v>0</v>
      </c>
      <c r="W423" s="2">
        <f t="shared" si="32"/>
        <v>0</v>
      </c>
      <c r="X423" s="2">
        <f t="shared" si="33"/>
        <v>0</v>
      </c>
    </row>
    <row r="424" spans="1:24" x14ac:dyDescent="0.25">
      <c r="A424" s="6" t="s">
        <v>50</v>
      </c>
      <c r="B424" s="6" t="s">
        <v>970</v>
      </c>
      <c r="C424" s="6" t="s">
        <v>401</v>
      </c>
      <c r="D424" s="6" t="s">
        <v>72</v>
      </c>
      <c r="E424" s="11" t="str">
        <f t="shared" si="30"/>
        <v>SUV</v>
      </c>
      <c r="F424" s="6"/>
      <c r="G424" s="11">
        <v>1500</v>
      </c>
      <c r="H424" s="6" t="s">
        <v>1050</v>
      </c>
      <c r="I424" s="6" t="str">
        <f t="shared" si="31"/>
        <v>N</v>
      </c>
      <c r="J424" s="17" t="s">
        <v>419</v>
      </c>
      <c r="K424" s="6">
        <v>103</v>
      </c>
      <c r="L424" s="9">
        <v>16</v>
      </c>
      <c r="M424" s="2">
        <v>16</v>
      </c>
      <c r="N424" s="2">
        <v>30590</v>
      </c>
      <c r="O424" s="2" t="s">
        <v>1060</v>
      </c>
      <c r="P424" s="2" t="s">
        <v>1150</v>
      </c>
      <c r="Q424" s="2" t="s">
        <v>444</v>
      </c>
      <c r="R424" s="2">
        <v>1480</v>
      </c>
      <c r="S424" s="2"/>
      <c r="T424" s="2">
        <v>120</v>
      </c>
      <c r="U424" s="39">
        <f>IF(I424="N",T424*Supuestos!$B$4,T424*Supuestos!$C$4)*100</f>
        <v>5.1350791118846439</v>
      </c>
      <c r="V424" s="20">
        <f t="shared" si="34"/>
        <v>19.473896666666668</v>
      </c>
      <c r="W424" s="2">
        <f t="shared" si="32"/>
        <v>1920</v>
      </c>
      <c r="X424" s="2">
        <f t="shared" si="33"/>
        <v>82.161265790154303</v>
      </c>
    </row>
    <row r="425" spans="1:24" x14ac:dyDescent="0.25">
      <c r="A425" s="6" t="s">
        <v>52</v>
      </c>
      <c r="B425" s="6" t="s">
        <v>1001</v>
      </c>
      <c r="C425" s="6" t="s">
        <v>401</v>
      </c>
      <c r="D425" s="6" t="s">
        <v>72</v>
      </c>
      <c r="E425" s="11" t="str">
        <f t="shared" si="30"/>
        <v>SUV</v>
      </c>
      <c r="F425" s="6" t="s">
        <v>64</v>
      </c>
      <c r="G425" s="11">
        <v>1200</v>
      </c>
      <c r="H425" s="6" t="s">
        <v>1050</v>
      </c>
      <c r="I425" s="6" t="str">
        <f t="shared" si="31"/>
        <v>N</v>
      </c>
      <c r="J425" s="17" t="s">
        <v>9</v>
      </c>
      <c r="K425" s="6">
        <v>87</v>
      </c>
      <c r="L425" s="9">
        <v>16</v>
      </c>
      <c r="M425" s="2">
        <v>16</v>
      </c>
      <c r="N425" s="2">
        <v>26990</v>
      </c>
      <c r="O425" s="2" t="s">
        <v>1060</v>
      </c>
      <c r="P425" s="2" t="s">
        <v>1178</v>
      </c>
      <c r="Q425" s="2" t="s">
        <v>424</v>
      </c>
      <c r="R425" s="2">
        <v>1680</v>
      </c>
      <c r="S425" s="2"/>
      <c r="T425" s="2">
        <v>122</v>
      </c>
      <c r="U425" s="39">
        <f>IF(I425="N",T425*Supuestos!$B$4,T425*Supuestos!$C$4)*100</f>
        <v>5.2206637637493882</v>
      </c>
      <c r="V425" s="20">
        <f t="shared" si="34"/>
        <v>19.154652459016393</v>
      </c>
      <c r="W425" s="2">
        <f t="shared" si="32"/>
        <v>1952</v>
      </c>
      <c r="X425" s="2">
        <f t="shared" si="33"/>
        <v>83.530620219990212</v>
      </c>
    </row>
    <row r="426" spans="1:24" x14ac:dyDescent="0.25">
      <c r="A426" s="6" t="s">
        <v>54</v>
      </c>
      <c r="B426" s="6" t="s">
        <v>1038</v>
      </c>
      <c r="C426" s="6" t="s">
        <v>401</v>
      </c>
      <c r="D426" s="6" t="s">
        <v>72</v>
      </c>
      <c r="E426" s="11" t="str">
        <f t="shared" si="30"/>
        <v>SUV</v>
      </c>
      <c r="F426" s="6" t="s">
        <v>417</v>
      </c>
      <c r="G426" s="11"/>
      <c r="H426" s="6" t="s">
        <v>1051</v>
      </c>
      <c r="I426" s="6" t="str">
        <f t="shared" si="31"/>
        <v>E</v>
      </c>
      <c r="J426" s="17" t="s">
        <v>418</v>
      </c>
      <c r="K426" s="6">
        <v>231</v>
      </c>
      <c r="L426" s="9">
        <v>16</v>
      </c>
      <c r="M426" s="21">
        <v>16</v>
      </c>
      <c r="N426" s="2">
        <v>76990</v>
      </c>
      <c r="O426" s="2" t="s">
        <v>1060</v>
      </c>
      <c r="P426" s="2" t="s">
        <v>1348</v>
      </c>
      <c r="Q426" s="2"/>
      <c r="R426" s="2">
        <v>2470</v>
      </c>
      <c r="S426" s="2">
        <v>7.5</v>
      </c>
      <c r="T426" s="2"/>
      <c r="U426" s="39">
        <f>IF(I426="N",T426*Supuestos!$B$4,T426*Supuestos!$C$4)*100</f>
        <v>0</v>
      </c>
      <c r="V426" s="20">
        <f t="shared" si="34"/>
        <v>0</v>
      </c>
      <c r="W426" s="2">
        <f t="shared" si="32"/>
        <v>0</v>
      </c>
      <c r="X426" s="2">
        <f t="shared" si="33"/>
        <v>0</v>
      </c>
    </row>
    <row r="427" spans="1:24" x14ac:dyDescent="0.25">
      <c r="A427" s="6" t="s">
        <v>33</v>
      </c>
      <c r="B427" s="6" t="s">
        <v>701</v>
      </c>
      <c r="C427" s="6" t="s">
        <v>401</v>
      </c>
      <c r="D427" s="6" t="s">
        <v>72</v>
      </c>
      <c r="E427" s="11" t="str">
        <f t="shared" si="30"/>
        <v>SUV</v>
      </c>
      <c r="F427" s="6" t="s">
        <v>21</v>
      </c>
      <c r="G427" s="11">
        <v>1500</v>
      </c>
      <c r="H427" s="6" t="s">
        <v>1050</v>
      </c>
      <c r="I427" s="6" t="str">
        <f t="shared" si="31"/>
        <v>N</v>
      </c>
      <c r="J427" s="17" t="s">
        <v>9</v>
      </c>
      <c r="K427" s="6">
        <v>118</v>
      </c>
      <c r="L427" s="9">
        <v>15</v>
      </c>
      <c r="M427" s="2">
        <v>15</v>
      </c>
      <c r="N427" s="2">
        <v>31900</v>
      </c>
      <c r="O427" s="2" t="s">
        <v>1060</v>
      </c>
      <c r="P427" s="2" t="s">
        <v>1102</v>
      </c>
      <c r="Q427" s="2" t="s">
        <v>424</v>
      </c>
      <c r="R427" s="2">
        <v>1590</v>
      </c>
      <c r="S427" s="2"/>
      <c r="T427" s="2">
        <v>157</v>
      </c>
      <c r="U427" s="39">
        <f>IF(I427="N",T427*Supuestos!$B$4,T427*Supuestos!$C$4)*100</f>
        <v>6.7183951713824088</v>
      </c>
      <c r="V427" s="20">
        <f t="shared" si="34"/>
        <v>14.884507006369429</v>
      </c>
      <c r="W427" s="2">
        <f t="shared" si="32"/>
        <v>2355</v>
      </c>
      <c r="X427" s="2">
        <f t="shared" si="33"/>
        <v>100.77592757073613</v>
      </c>
    </row>
    <row r="428" spans="1:24" x14ac:dyDescent="0.25">
      <c r="A428" s="6" t="s">
        <v>42</v>
      </c>
      <c r="B428" s="6" t="s">
        <v>831</v>
      </c>
      <c r="C428" s="6" t="s">
        <v>401</v>
      </c>
      <c r="D428" s="6" t="s">
        <v>72</v>
      </c>
      <c r="E428" s="11" t="str">
        <f t="shared" si="30"/>
        <v>SUV</v>
      </c>
      <c r="F428" s="6" t="s">
        <v>11</v>
      </c>
      <c r="G428" s="11">
        <v>2000</v>
      </c>
      <c r="H428" s="6" t="s">
        <v>1050</v>
      </c>
      <c r="I428" s="6" t="str">
        <f t="shared" si="31"/>
        <v>N</v>
      </c>
      <c r="J428" s="17" t="s">
        <v>419</v>
      </c>
      <c r="K428" s="6">
        <v>204</v>
      </c>
      <c r="L428" s="9">
        <v>15</v>
      </c>
      <c r="M428" s="2">
        <v>15</v>
      </c>
      <c r="N428" s="2">
        <v>96500</v>
      </c>
      <c r="O428" s="2" t="s">
        <v>1185</v>
      </c>
      <c r="P428" s="2" t="s">
        <v>1186</v>
      </c>
      <c r="Q428" s="2" t="s">
        <v>424</v>
      </c>
      <c r="R428" s="2">
        <v>2510</v>
      </c>
      <c r="S428" s="2"/>
      <c r="T428" s="2">
        <v>169</v>
      </c>
      <c r="U428" s="39">
        <f>IF(I428="N",T428*Supuestos!$B$4,T428*Supuestos!$C$4)*100</f>
        <v>7.2319030825708746</v>
      </c>
      <c r="V428" s="20">
        <f t="shared" si="34"/>
        <v>13.827618934911241</v>
      </c>
      <c r="W428" s="2">
        <f t="shared" si="32"/>
        <v>2535</v>
      </c>
      <c r="X428" s="2">
        <f t="shared" si="33"/>
        <v>108.47854623856311</v>
      </c>
    </row>
    <row r="429" spans="1:24" x14ac:dyDescent="0.25">
      <c r="A429" s="6" t="s">
        <v>62</v>
      </c>
      <c r="B429" s="6" t="s">
        <v>897</v>
      </c>
      <c r="C429" s="6" t="s">
        <v>401</v>
      </c>
      <c r="D429" s="6" t="s">
        <v>72</v>
      </c>
      <c r="E429" s="11" t="str">
        <f t="shared" si="30"/>
        <v>SUV</v>
      </c>
      <c r="F429" s="6" t="s">
        <v>26</v>
      </c>
      <c r="G429" s="11">
        <v>1600</v>
      </c>
      <c r="H429" s="6" t="s">
        <v>1050</v>
      </c>
      <c r="I429" s="6" t="str">
        <f t="shared" si="31"/>
        <v>N</v>
      </c>
      <c r="J429" s="17" t="s">
        <v>9</v>
      </c>
      <c r="K429" s="6">
        <v>165</v>
      </c>
      <c r="L429" s="9">
        <v>15</v>
      </c>
      <c r="M429" s="2">
        <v>15</v>
      </c>
      <c r="N429" s="2">
        <v>56990</v>
      </c>
      <c r="O429" s="2" t="s">
        <v>1060</v>
      </c>
      <c r="P429" s="2" t="s">
        <v>462</v>
      </c>
      <c r="Q429" s="2" t="s">
        <v>456</v>
      </c>
      <c r="R429" s="2">
        <v>1970</v>
      </c>
      <c r="S429" s="2"/>
      <c r="T429" s="2">
        <v>128</v>
      </c>
      <c r="U429" s="39">
        <f>IF(I429="N",T429*Supuestos!$B$4,T429*Supuestos!$C$4)*100</f>
        <v>5.4774177193436202</v>
      </c>
      <c r="V429" s="20">
        <f t="shared" si="34"/>
        <v>18.256778125</v>
      </c>
      <c r="W429" s="2">
        <f t="shared" si="32"/>
        <v>1920</v>
      </c>
      <c r="X429" s="2">
        <f t="shared" si="33"/>
        <v>82.161265790154303</v>
      </c>
    </row>
    <row r="430" spans="1:24" x14ac:dyDescent="0.25">
      <c r="A430" s="6" t="s">
        <v>15</v>
      </c>
      <c r="B430" s="6" t="s">
        <v>544</v>
      </c>
      <c r="C430" s="6" t="s">
        <v>401</v>
      </c>
      <c r="D430" s="6" t="s">
        <v>72</v>
      </c>
      <c r="E430" s="11" t="str">
        <f t="shared" si="30"/>
        <v>SUV</v>
      </c>
      <c r="F430" s="6" t="s">
        <v>11</v>
      </c>
      <c r="G430" s="11">
        <v>1500</v>
      </c>
      <c r="H430" s="6" t="s">
        <v>1050</v>
      </c>
      <c r="I430" s="6" t="str">
        <f t="shared" si="31"/>
        <v>N</v>
      </c>
      <c r="J430" s="17" t="s">
        <v>420</v>
      </c>
      <c r="K430" s="6">
        <v>245</v>
      </c>
      <c r="L430" s="9">
        <v>14</v>
      </c>
      <c r="M430" s="2">
        <v>14</v>
      </c>
      <c r="N430" s="2">
        <v>67990</v>
      </c>
      <c r="O430" s="2" t="s">
        <v>1060</v>
      </c>
      <c r="P430" s="2" t="s">
        <v>1179</v>
      </c>
      <c r="Q430" s="2" t="s">
        <v>424</v>
      </c>
      <c r="R430" s="2">
        <v>2430</v>
      </c>
      <c r="S430" s="2"/>
      <c r="T430" s="2">
        <v>36</v>
      </c>
      <c r="U430" s="39">
        <f>IF(I430="N",T430*Supuestos!$B$4,T430*Supuestos!$C$4)*100</f>
        <v>1.5405237335653932</v>
      </c>
      <c r="V430" s="20">
        <f t="shared" si="34"/>
        <v>64.91298888888889</v>
      </c>
      <c r="W430" s="2">
        <f t="shared" si="32"/>
        <v>504</v>
      </c>
      <c r="X430" s="2">
        <f t="shared" si="33"/>
        <v>21.567332269915504</v>
      </c>
    </row>
    <row r="431" spans="1:24" x14ac:dyDescent="0.25">
      <c r="A431" s="6" t="s">
        <v>15</v>
      </c>
      <c r="B431" s="6" t="s">
        <v>551</v>
      </c>
      <c r="C431" s="6" t="s">
        <v>401</v>
      </c>
      <c r="D431" s="6" t="s">
        <v>72</v>
      </c>
      <c r="E431" s="11" t="str">
        <f t="shared" si="30"/>
        <v>SUV</v>
      </c>
      <c r="F431" s="6" t="s">
        <v>16</v>
      </c>
      <c r="G431" s="11">
        <v>2000</v>
      </c>
      <c r="H431" s="6" t="s">
        <v>1050</v>
      </c>
      <c r="I431" s="6" t="str">
        <f t="shared" si="31"/>
        <v>N</v>
      </c>
      <c r="J431" s="17" t="s">
        <v>9</v>
      </c>
      <c r="K431" s="6">
        <v>252</v>
      </c>
      <c r="L431" s="9">
        <v>14</v>
      </c>
      <c r="M431" s="2">
        <v>14</v>
      </c>
      <c r="N431" s="2">
        <v>113990</v>
      </c>
      <c r="O431" s="2" t="s">
        <v>1060</v>
      </c>
      <c r="P431" s="2" t="s">
        <v>454</v>
      </c>
      <c r="Q431" s="2" t="s">
        <v>424</v>
      </c>
      <c r="R431" s="2">
        <v>2400</v>
      </c>
      <c r="S431" s="2"/>
      <c r="T431" s="2">
        <v>169</v>
      </c>
      <c r="U431" s="39">
        <f>IF(I431="N",T431*Supuestos!$B$4,T431*Supuestos!$C$4)*100</f>
        <v>7.2319030825708746</v>
      </c>
      <c r="V431" s="20">
        <f t="shared" si="34"/>
        <v>13.827618934911241</v>
      </c>
      <c r="W431" s="2">
        <f t="shared" si="32"/>
        <v>2366</v>
      </c>
      <c r="X431" s="2">
        <f t="shared" si="33"/>
        <v>101.24664315599225</v>
      </c>
    </row>
    <row r="432" spans="1:24" x14ac:dyDescent="0.25">
      <c r="A432" s="6" t="s">
        <v>33</v>
      </c>
      <c r="B432" s="6" t="s">
        <v>706</v>
      </c>
      <c r="C432" s="6" t="s">
        <v>401</v>
      </c>
      <c r="D432" s="6" t="s">
        <v>72</v>
      </c>
      <c r="E432" s="11" t="str">
        <f t="shared" si="30"/>
        <v>SUV</v>
      </c>
      <c r="F432" s="6" t="s">
        <v>24</v>
      </c>
      <c r="G432" s="11">
        <v>2000</v>
      </c>
      <c r="H432" s="6" t="s">
        <v>1050</v>
      </c>
      <c r="I432" s="6" t="str">
        <f t="shared" si="31"/>
        <v>N</v>
      </c>
      <c r="J432" s="17" t="s">
        <v>9</v>
      </c>
      <c r="K432" s="6">
        <v>155</v>
      </c>
      <c r="L432" s="9">
        <v>14</v>
      </c>
      <c r="M432" s="2">
        <v>14</v>
      </c>
      <c r="N432" s="2">
        <v>54900</v>
      </c>
      <c r="O432" s="2" t="s">
        <v>1060</v>
      </c>
      <c r="P432" s="2" t="s">
        <v>1106</v>
      </c>
      <c r="Q432" s="2" t="s">
        <v>1107</v>
      </c>
      <c r="R432" s="2">
        <v>1531</v>
      </c>
      <c r="S432" s="2"/>
      <c r="T432" s="2">
        <v>178</v>
      </c>
      <c r="U432" s="39">
        <f>IF(I432="N",T432*Supuestos!$B$4,T432*Supuestos!$C$4)*100</f>
        <v>7.6170340159622221</v>
      </c>
      <c r="V432" s="20">
        <f t="shared" si="34"/>
        <v>13.128469662921349</v>
      </c>
      <c r="W432" s="2">
        <f t="shared" si="32"/>
        <v>2492</v>
      </c>
      <c r="X432" s="2">
        <f t="shared" si="33"/>
        <v>106.63847622347112</v>
      </c>
    </row>
    <row r="433" spans="1:24" x14ac:dyDescent="0.25">
      <c r="A433" s="6" t="s">
        <v>39</v>
      </c>
      <c r="B433" s="6" t="s">
        <v>776</v>
      </c>
      <c r="C433" s="6" t="s">
        <v>401</v>
      </c>
      <c r="D433" s="6" t="s">
        <v>72</v>
      </c>
      <c r="E433" s="11" t="str">
        <f t="shared" si="30"/>
        <v>SUV</v>
      </c>
      <c r="F433" s="6" t="s">
        <v>35</v>
      </c>
      <c r="G433" s="11">
        <v>1500</v>
      </c>
      <c r="H433" s="6" t="s">
        <v>1050</v>
      </c>
      <c r="I433" s="6" t="str">
        <f t="shared" si="31"/>
        <v>N</v>
      </c>
      <c r="J433" s="17" t="s">
        <v>9</v>
      </c>
      <c r="K433" s="6">
        <v>113</v>
      </c>
      <c r="L433" s="9">
        <v>14</v>
      </c>
      <c r="M433" s="2">
        <v>14</v>
      </c>
      <c r="N433" s="2">
        <v>24990</v>
      </c>
      <c r="O433" s="2" t="s">
        <v>1060</v>
      </c>
      <c r="P433" s="2" t="s">
        <v>1159</v>
      </c>
      <c r="Q433" s="2" t="s">
        <v>424</v>
      </c>
      <c r="R433" s="2">
        <v>1550</v>
      </c>
      <c r="S433" s="2"/>
      <c r="T433" s="2">
        <v>156</v>
      </c>
      <c r="U433" s="39">
        <f>IF(I433="N",T433*Supuestos!$B$4,T433*Supuestos!$C$4)*100</f>
        <v>6.6756028454500376</v>
      </c>
      <c r="V433" s="20">
        <f t="shared" si="34"/>
        <v>14.979920512820513</v>
      </c>
      <c r="W433" s="2">
        <f t="shared" si="32"/>
        <v>2184</v>
      </c>
      <c r="X433" s="2">
        <f t="shared" si="33"/>
        <v>93.458439836300528</v>
      </c>
    </row>
    <row r="434" spans="1:24" x14ac:dyDescent="0.25">
      <c r="A434" s="6" t="s">
        <v>41</v>
      </c>
      <c r="B434" s="6" t="s">
        <v>818</v>
      </c>
      <c r="C434" s="6" t="s">
        <v>401</v>
      </c>
      <c r="D434" s="6" t="s">
        <v>72</v>
      </c>
      <c r="E434" s="11" t="str">
        <f t="shared" si="30"/>
        <v>SUV</v>
      </c>
      <c r="F434" s="6" t="s">
        <v>45</v>
      </c>
      <c r="G434" s="11">
        <v>2500</v>
      </c>
      <c r="H434" s="6" t="s">
        <v>1050</v>
      </c>
      <c r="I434" s="6" t="str">
        <f t="shared" si="31"/>
        <v>N</v>
      </c>
      <c r="J434" s="17" t="s">
        <v>9</v>
      </c>
      <c r="K434" s="6">
        <v>190</v>
      </c>
      <c r="L434" s="9">
        <v>14</v>
      </c>
      <c r="M434" s="2">
        <v>14</v>
      </c>
      <c r="N434" s="2">
        <v>65990</v>
      </c>
      <c r="O434" s="2" t="s">
        <v>1060</v>
      </c>
      <c r="P434" s="2" t="s">
        <v>1215</v>
      </c>
      <c r="Q434" s="2" t="s">
        <v>429</v>
      </c>
      <c r="R434" s="2">
        <v>2185</v>
      </c>
      <c r="S434" s="2"/>
      <c r="T434" s="2">
        <v>182</v>
      </c>
      <c r="U434" s="39">
        <f>IF(I434="N",T434*Supuestos!$B$4,T434*Supuestos!$C$4)*100</f>
        <v>7.7882033196917098</v>
      </c>
      <c r="V434" s="20">
        <f t="shared" si="34"/>
        <v>12.839931868131869</v>
      </c>
      <c r="W434" s="2">
        <f t="shared" si="32"/>
        <v>2548</v>
      </c>
      <c r="X434" s="2">
        <f t="shared" si="33"/>
        <v>109.03484647568393</v>
      </c>
    </row>
    <row r="435" spans="1:24" x14ac:dyDescent="0.25">
      <c r="A435" s="6" t="s">
        <v>50</v>
      </c>
      <c r="B435" s="6" t="s">
        <v>971</v>
      </c>
      <c r="C435" s="6" t="s">
        <v>401</v>
      </c>
      <c r="D435" s="6" t="s">
        <v>72</v>
      </c>
      <c r="E435" s="11" t="str">
        <f t="shared" si="30"/>
        <v>SUV</v>
      </c>
      <c r="F435" s="6"/>
      <c r="G435" s="11">
        <v>1500</v>
      </c>
      <c r="H435" s="6" t="s">
        <v>1050</v>
      </c>
      <c r="I435" s="6" t="str">
        <f t="shared" si="31"/>
        <v>N</v>
      </c>
      <c r="J435" s="17" t="s">
        <v>419</v>
      </c>
      <c r="K435" s="6">
        <v>103</v>
      </c>
      <c r="L435" s="9">
        <v>14</v>
      </c>
      <c r="M435" s="2">
        <v>14</v>
      </c>
      <c r="N435" s="2">
        <v>27990</v>
      </c>
      <c r="O435" s="2" t="s">
        <v>1060</v>
      </c>
      <c r="P435" s="2" t="s">
        <v>1149</v>
      </c>
      <c r="Q435" s="2" t="s">
        <v>444</v>
      </c>
      <c r="R435" s="2">
        <v>1480</v>
      </c>
      <c r="S435" s="2"/>
      <c r="T435" s="2">
        <v>118</v>
      </c>
      <c r="U435" s="39">
        <f>IF(I435="N",T435*Supuestos!$B$4,T435*Supuestos!$C$4)*100</f>
        <v>5.0494944600199005</v>
      </c>
      <c r="V435" s="20">
        <f t="shared" si="34"/>
        <v>19.803962711864404</v>
      </c>
      <c r="W435" s="2">
        <f t="shared" si="32"/>
        <v>1652</v>
      </c>
      <c r="X435" s="2">
        <f t="shared" si="33"/>
        <v>70.692922440278608</v>
      </c>
    </row>
    <row r="436" spans="1:24" x14ac:dyDescent="0.25">
      <c r="A436" s="6" t="s">
        <v>53</v>
      </c>
      <c r="B436" s="6" t="s">
        <v>1028</v>
      </c>
      <c r="C436" s="6" t="s">
        <v>401</v>
      </c>
      <c r="D436" s="6" t="s">
        <v>72</v>
      </c>
      <c r="E436" s="11" t="str">
        <f t="shared" si="30"/>
        <v>SUV</v>
      </c>
      <c r="F436" s="6" t="s">
        <v>23</v>
      </c>
      <c r="G436" s="11">
        <v>1400</v>
      </c>
      <c r="H436" s="6" t="s">
        <v>1050</v>
      </c>
      <c r="I436" s="6" t="str">
        <f t="shared" si="31"/>
        <v>N</v>
      </c>
      <c r="J436" s="17" t="s">
        <v>9</v>
      </c>
      <c r="K436" s="6">
        <v>150</v>
      </c>
      <c r="L436" s="9">
        <v>14</v>
      </c>
      <c r="M436" s="2">
        <v>14</v>
      </c>
      <c r="N436" s="2">
        <v>45590</v>
      </c>
      <c r="O436" s="2" t="s">
        <v>1053</v>
      </c>
      <c r="P436" s="2" t="s">
        <v>1137</v>
      </c>
      <c r="Q436" s="2" t="s">
        <v>424</v>
      </c>
      <c r="R436" s="2">
        <v>1890</v>
      </c>
      <c r="S436" s="2"/>
      <c r="T436" s="2">
        <v>151</v>
      </c>
      <c r="U436" s="39">
        <f>IF(I436="N",T436*Supuestos!$B$4,T436*Supuestos!$C$4)*100</f>
        <v>6.4616412157881777</v>
      </c>
      <c r="V436" s="20">
        <f t="shared" si="34"/>
        <v>15.475944370860926</v>
      </c>
      <c r="W436" s="2">
        <f t="shared" si="32"/>
        <v>2114</v>
      </c>
      <c r="X436" s="2">
        <f t="shared" si="33"/>
        <v>90.46297702103449</v>
      </c>
    </row>
    <row r="437" spans="1:24" x14ac:dyDescent="0.25">
      <c r="A437" s="6" t="s">
        <v>10</v>
      </c>
      <c r="B437" s="6" t="s">
        <v>107</v>
      </c>
      <c r="C437" s="6" t="s">
        <v>401</v>
      </c>
      <c r="D437" s="6" t="s">
        <v>72</v>
      </c>
      <c r="E437" s="11" t="str">
        <f t="shared" si="30"/>
        <v>SUV</v>
      </c>
      <c r="F437" s="6" t="s">
        <v>24</v>
      </c>
      <c r="G437" s="11">
        <v>2000</v>
      </c>
      <c r="H437" s="6" t="s">
        <v>1050</v>
      </c>
      <c r="I437" s="6" t="str">
        <f t="shared" si="31"/>
        <v>N</v>
      </c>
      <c r="J437" s="17" t="s">
        <v>419</v>
      </c>
      <c r="K437" s="6">
        <v>245</v>
      </c>
      <c r="L437" s="9">
        <v>13</v>
      </c>
      <c r="M437" s="2">
        <v>13</v>
      </c>
      <c r="N437" s="2">
        <v>91800</v>
      </c>
      <c r="O437" s="2" t="s">
        <v>1053</v>
      </c>
      <c r="P437" s="2" t="s">
        <v>1212</v>
      </c>
      <c r="Q437" s="2" t="s">
        <v>422</v>
      </c>
      <c r="R437" s="2">
        <v>2900</v>
      </c>
      <c r="S437" s="2"/>
      <c r="T437" s="2">
        <v>183</v>
      </c>
      <c r="U437" s="39">
        <f>IF(I437="N",T437*Supuestos!$B$4,T437*Supuestos!$C$4)*100</f>
        <v>7.8309956456240819</v>
      </c>
      <c r="V437" s="20">
        <f t="shared" si="34"/>
        <v>12.769768306010929</v>
      </c>
      <c r="W437" s="2">
        <f t="shared" si="32"/>
        <v>2379</v>
      </c>
      <c r="X437" s="2">
        <f t="shared" si="33"/>
        <v>101.80294339311307</v>
      </c>
    </row>
    <row r="438" spans="1:24" x14ac:dyDescent="0.25">
      <c r="A438" s="6" t="s">
        <v>42</v>
      </c>
      <c r="B438" s="6" t="s">
        <v>829</v>
      </c>
      <c r="C438" s="6" t="s">
        <v>401</v>
      </c>
      <c r="D438" s="6" t="s">
        <v>72</v>
      </c>
      <c r="E438" s="11" t="str">
        <f t="shared" si="30"/>
        <v>SUV</v>
      </c>
      <c r="F438" s="6" t="s">
        <v>11</v>
      </c>
      <c r="G438" s="11">
        <v>1300</v>
      </c>
      <c r="H438" s="6" t="s">
        <v>1050</v>
      </c>
      <c r="I438" s="6" t="str">
        <f t="shared" si="31"/>
        <v>N</v>
      </c>
      <c r="J438" s="17" t="s">
        <v>9</v>
      </c>
      <c r="K438" s="6">
        <v>163</v>
      </c>
      <c r="L438" s="9">
        <v>13</v>
      </c>
      <c r="M438" s="2">
        <v>13</v>
      </c>
      <c r="N438" s="2">
        <v>76490</v>
      </c>
      <c r="O438" s="2" t="s">
        <v>1060</v>
      </c>
      <c r="P438" s="2" t="s">
        <v>460</v>
      </c>
      <c r="Q438" s="2" t="s">
        <v>424</v>
      </c>
      <c r="R438" s="2">
        <v>2085</v>
      </c>
      <c r="S438" s="2"/>
      <c r="T438" s="2">
        <v>163</v>
      </c>
      <c r="U438" s="39">
        <f>IF(I438="N",T438*Supuestos!$B$4,T438*Supuestos!$C$4)*100</f>
        <v>6.9751491269766417</v>
      </c>
      <c r="V438" s="20">
        <f t="shared" si="34"/>
        <v>14.336611042944785</v>
      </c>
      <c r="W438" s="2">
        <f t="shared" si="32"/>
        <v>2119</v>
      </c>
      <c r="X438" s="2">
        <f t="shared" si="33"/>
        <v>90.676938650696343</v>
      </c>
    </row>
    <row r="439" spans="1:24" x14ac:dyDescent="0.25">
      <c r="A439" s="6" t="s">
        <v>49</v>
      </c>
      <c r="B439" s="6" t="s">
        <v>960</v>
      </c>
      <c r="C439" s="6" t="s">
        <v>401</v>
      </c>
      <c r="D439" s="6" t="s">
        <v>72</v>
      </c>
      <c r="E439" s="11" t="str">
        <f t="shared" si="30"/>
        <v>SUV</v>
      </c>
      <c r="F439" s="6" t="s">
        <v>45</v>
      </c>
      <c r="G439" s="11">
        <v>2500</v>
      </c>
      <c r="H439" s="6" t="s">
        <v>1050</v>
      </c>
      <c r="I439" s="6" t="str">
        <f t="shared" si="31"/>
        <v>N</v>
      </c>
      <c r="J439" s="17" t="s">
        <v>9</v>
      </c>
      <c r="K439" s="6">
        <v>184</v>
      </c>
      <c r="L439" s="9">
        <v>13</v>
      </c>
      <c r="M439" s="2">
        <v>13</v>
      </c>
      <c r="N439" s="2">
        <v>72800</v>
      </c>
      <c r="O439" s="2" t="s">
        <v>1053</v>
      </c>
      <c r="P439" s="2" t="s">
        <v>1205</v>
      </c>
      <c r="Q439" s="2" t="s">
        <v>422</v>
      </c>
      <c r="R439" s="2">
        <v>2223</v>
      </c>
      <c r="S439" s="2"/>
      <c r="T439" s="2">
        <v>168</v>
      </c>
      <c r="U439" s="39">
        <f>IF(I439="N",T439*Supuestos!$B$4,T439*Supuestos!$C$4)*100</f>
        <v>7.1891107566385015</v>
      </c>
      <c r="V439" s="20">
        <f t="shared" si="34"/>
        <v>13.909926190476192</v>
      </c>
      <c r="W439" s="2">
        <f t="shared" si="32"/>
        <v>2184</v>
      </c>
      <c r="X439" s="2">
        <f t="shared" si="33"/>
        <v>93.458439836300514</v>
      </c>
    </row>
    <row r="440" spans="1:24" x14ac:dyDescent="0.25">
      <c r="A440" s="6" t="s">
        <v>30</v>
      </c>
      <c r="B440" s="6" t="s">
        <v>668</v>
      </c>
      <c r="C440" s="6" t="s">
        <v>401</v>
      </c>
      <c r="D440" s="6" t="s">
        <v>72</v>
      </c>
      <c r="E440" s="11" t="str">
        <f t="shared" si="30"/>
        <v>SUV</v>
      </c>
      <c r="F440" s="6" t="s">
        <v>16</v>
      </c>
      <c r="G440" s="11">
        <v>2300</v>
      </c>
      <c r="H440" s="6" t="s">
        <v>1050</v>
      </c>
      <c r="I440" s="6" t="str">
        <f t="shared" si="31"/>
        <v>N</v>
      </c>
      <c r="J440" s="17" t="s">
        <v>9</v>
      </c>
      <c r="K440" s="6">
        <v>300</v>
      </c>
      <c r="L440" s="9">
        <v>12</v>
      </c>
      <c r="M440" s="2">
        <v>12</v>
      </c>
      <c r="N440" s="2">
        <v>109900</v>
      </c>
      <c r="O440" s="2" t="s">
        <v>1053</v>
      </c>
      <c r="P440" s="2" t="s">
        <v>1216</v>
      </c>
      <c r="Q440" s="2" t="s">
        <v>429</v>
      </c>
      <c r="R440" s="2">
        <v>2792</v>
      </c>
      <c r="S440" s="2"/>
      <c r="T440" s="2">
        <v>248</v>
      </c>
      <c r="U440" s="39">
        <f>IF(I440="N",T440*Supuestos!$B$4,T440*Supuestos!$C$4)*100</f>
        <v>10.612496831228265</v>
      </c>
      <c r="V440" s="20">
        <f t="shared" si="34"/>
        <v>9.4228532258064508</v>
      </c>
      <c r="W440" s="2">
        <f t="shared" si="32"/>
        <v>2976</v>
      </c>
      <c r="X440" s="2">
        <f t="shared" si="33"/>
        <v>127.34996197473919</v>
      </c>
    </row>
    <row r="441" spans="1:24" x14ac:dyDescent="0.25">
      <c r="A441" s="6" t="s">
        <v>30</v>
      </c>
      <c r="B441" s="6" t="s">
        <v>194</v>
      </c>
      <c r="C441" s="6" t="s">
        <v>401</v>
      </c>
      <c r="D441" s="6" t="s">
        <v>72</v>
      </c>
      <c r="E441" s="11" t="str">
        <f t="shared" si="30"/>
        <v>SUV</v>
      </c>
      <c r="F441" s="6" t="s">
        <v>14</v>
      </c>
      <c r="G441" s="11">
        <v>1500</v>
      </c>
      <c r="H441" s="6" t="s">
        <v>1050</v>
      </c>
      <c r="I441" s="6" t="str">
        <f t="shared" si="31"/>
        <v>N</v>
      </c>
      <c r="J441" s="17" t="s">
        <v>9</v>
      </c>
      <c r="K441" s="6">
        <v>143</v>
      </c>
      <c r="L441" s="9">
        <v>12</v>
      </c>
      <c r="M441" s="2">
        <v>12</v>
      </c>
      <c r="N441" s="2">
        <v>48900</v>
      </c>
      <c r="O441" s="2" t="s">
        <v>1060</v>
      </c>
      <c r="P441" s="2" t="s">
        <v>1217</v>
      </c>
      <c r="Q441" s="2" t="s">
        <v>424</v>
      </c>
      <c r="R441" s="2">
        <v>2025</v>
      </c>
      <c r="S441" s="2"/>
      <c r="T441" s="2">
        <v>183</v>
      </c>
      <c r="U441" s="39">
        <f>IF(I441="N",T441*Supuestos!$B$4,T441*Supuestos!$C$4)*100</f>
        <v>7.8309956456240819</v>
      </c>
      <c r="V441" s="20">
        <f t="shared" si="34"/>
        <v>12.769768306010929</v>
      </c>
      <c r="W441" s="2">
        <f t="shared" si="32"/>
        <v>2196</v>
      </c>
      <c r="X441" s="2">
        <f t="shared" si="33"/>
        <v>93.971947747488983</v>
      </c>
    </row>
    <row r="442" spans="1:24" x14ac:dyDescent="0.25">
      <c r="A442" s="6" t="s">
        <v>42</v>
      </c>
      <c r="B442" s="6" t="s">
        <v>825</v>
      </c>
      <c r="C442" s="6" t="s">
        <v>401</v>
      </c>
      <c r="D442" s="6" t="s">
        <v>72</v>
      </c>
      <c r="E442" s="11" t="str">
        <f t="shared" si="30"/>
        <v>SUV</v>
      </c>
      <c r="F442" s="6" t="s">
        <v>51</v>
      </c>
      <c r="G442" s="11"/>
      <c r="H442" s="6" t="s">
        <v>1051</v>
      </c>
      <c r="I442" s="6" t="str">
        <f t="shared" si="31"/>
        <v>E</v>
      </c>
      <c r="J442" s="17" t="s">
        <v>418</v>
      </c>
      <c r="K442" s="6">
        <v>292</v>
      </c>
      <c r="L442" s="9">
        <v>12</v>
      </c>
      <c r="M442" s="21">
        <v>12</v>
      </c>
      <c r="N442" s="2">
        <v>81990</v>
      </c>
      <c r="O442" s="2" t="s">
        <v>1341</v>
      </c>
      <c r="P442" s="2"/>
      <c r="Q442" s="2"/>
      <c r="R442" s="2"/>
      <c r="S442" s="2">
        <v>5.9</v>
      </c>
      <c r="T442" s="2"/>
      <c r="U442" s="39">
        <f>IF(I442="N",T442*Supuestos!$B$4,T442*Supuestos!$C$4)*100</f>
        <v>0</v>
      </c>
      <c r="V442" s="20">
        <f t="shared" si="34"/>
        <v>0</v>
      </c>
      <c r="W442" s="2">
        <f t="shared" si="32"/>
        <v>0</v>
      </c>
      <c r="X442" s="2">
        <f t="shared" si="33"/>
        <v>0</v>
      </c>
    </row>
    <row r="443" spans="1:24" x14ac:dyDescent="0.25">
      <c r="A443" s="6" t="s">
        <v>52</v>
      </c>
      <c r="B443" s="6" t="s">
        <v>986</v>
      </c>
      <c r="C443" s="6" t="s">
        <v>401</v>
      </c>
      <c r="D443" s="6" t="s">
        <v>72</v>
      </c>
      <c r="E443" s="11" t="str">
        <f t="shared" si="30"/>
        <v>SUV</v>
      </c>
      <c r="F443" s="6" t="s">
        <v>21</v>
      </c>
      <c r="G443" s="11">
        <v>2000</v>
      </c>
      <c r="H443" s="6" t="s">
        <v>1050</v>
      </c>
      <c r="I443" s="6" t="str">
        <f t="shared" si="31"/>
        <v>N</v>
      </c>
      <c r="J443" s="17" t="s">
        <v>9</v>
      </c>
      <c r="K443" s="6">
        <v>170</v>
      </c>
      <c r="L443" s="9">
        <v>12</v>
      </c>
      <c r="M443" s="2">
        <v>12</v>
      </c>
      <c r="N443" s="2">
        <v>44990</v>
      </c>
      <c r="O443" s="2" t="s">
        <v>1060</v>
      </c>
      <c r="P443" s="2" t="s">
        <v>1126</v>
      </c>
      <c r="Q443" s="2" t="s">
        <v>424</v>
      </c>
      <c r="R443" s="2">
        <v>1850</v>
      </c>
      <c r="S443" s="2"/>
      <c r="T443" s="2">
        <v>141</v>
      </c>
      <c r="U443" s="39">
        <f>IF(I443="N",T443*Supuestos!$B$4,T443*Supuestos!$C$4)*100</f>
        <v>6.0337179564644572</v>
      </c>
      <c r="V443" s="20">
        <f t="shared" si="34"/>
        <v>16.573529078014182</v>
      </c>
      <c r="W443" s="2">
        <f t="shared" si="32"/>
        <v>1692</v>
      </c>
      <c r="X443" s="2">
        <f t="shared" si="33"/>
        <v>72.404615477573486</v>
      </c>
    </row>
    <row r="444" spans="1:24" x14ac:dyDescent="0.25">
      <c r="A444" s="6" t="s">
        <v>19</v>
      </c>
      <c r="B444" s="6" t="s">
        <v>618</v>
      </c>
      <c r="C444" s="6" t="s">
        <v>401</v>
      </c>
      <c r="D444" s="6" t="s">
        <v>72</v>
      </c>
      <c r="E444" s="11" t="str">
        <f t="shared" si="30"/>
        <v>SUV</v>
      </c>
      <c r="F444" s="6" t="s">
        <v>21</v>
      </c>
      <c r="G444" s="11">
        <v>1800</v>
      </c>
      <c r="H444" s="6" t="s">
        <v>1050</v>
      </c>
      <c r="I444" s="6" t="str">
        <f t="shared" si="31"/>
        <v>N</v>
      </c>
      <c r="J444" s="17" t="s">
        <v>9</v>
      </c>
      <c r="K444" s="6">
        <v>105</v>
      </c>
      <c r="L444" s="9">
        <v>11</v>
      </c>
      <c r="M444" s="2">
        <v>11</v>
      </c>
      <c r="N444" s="2">
        <v>27990</v>
      </c>
      <c r="O444" s="2" t="s">
        <v>1060</v>
      </c>
      <c r="P444" s="2" t="s">
        <v>431</v>
      </c>
      <c r="Q444" s="2" t="s">
        <v>424</v>
      </c>
      <c r="R444" s="2">
        <v>1792</v>
      </c>
      <c r="S444" s="2"/>
      <c r="T444" s="2">
        <v>181</v>
      </c>
      <c r="U444" s="39">
        <f>IF(I444="N",T444*Supuestos!$B$4,T444*Supuestos!$C$4)*100</f>
        <v>7.7454109937593385</v>
      </c>
      <c r="V444" s="20">
        <f t="shared" si="34"/>
        <v>12.910870718232044</v>
      </c>
      <c r="W444" s="2">
        <f t="shared" si="32"/>
        <v>1991</v>
      </c>
      <c r="X444" s="2">
        <f t="shared" si="33"/>
        <v>85.199520931352723</v>
      </c>
    </row>
    <row r="445" spans="1:24" x14ac:dyDescent="0.25">
      <c r="A445" s="6" t="s">
        <v>54</v>
      </c>
      <c r="B445" s="6" t="s">
        <v>398</v>
      </c>
      <c r="C445" s="6" t="s">
        <v>401</v>
      </c>
      <c r="D445" s="6" t="s">
        <v>72</v>
      </c>
      <c r="E445" s="11" t="str">
        <f t="shared" si="30"/>
        <v>SUV</v>
      </c>
      <c r="F445" s="6" t="s">
        <v>55</v>
      </c>
      <c r="G445" s="11">
        <v>2000</v>
      </c>
      <c r="H445" s="6" t="s">
        <v>1050</v>
      </c>
      <c r="I445" s="6" t="str">
        <f t="shared" si="31"/>
        <v>N</v>
      </c>
      <c r="J445" s="17" t="s">
        <v>420</v>
      </c>
      <c r="K445" s="6">
        <v>465</v>
      </c>
      <c r="L445" s="9">
        <v>11</v>
      </c>
      <c r="M445" s="2">
        <v>11</v>
      </c>
      <c r="N445" s="2">
        <v>154990</v>
      </c>
      <c r="O445" s="2" t="s">
        <v>1060</v>
      </c>
      <c r="P445" s="2" t="s">
        <v>1219</v>
      </c>
      <c r="Q445" s="2" t="s">
        <v>424</v>
      </c>
      <c r="R445" s="2">
        <v>2950</v>
      </c>
      <c r="S445" s="2"/>
      <c r="T445" s="2">
        <v>40</v>
      </c>
      <c r="U445" s="39">
        <f>IF(I445="N",T445*Supuestos!$B$4,T445*Supuestos!$C$4)*100</f>
        <v>1.7116930372948813</v>
      </c>
      <c r="V445" s="20">
        <f t="shared" si="34"/>
        <v>58.421690000000005</v>
      </c>
      <c r="W445" s="2">
        <f t="shared" si="32"/>
        <v>440</v>
      </c>
      <c r="X445" s="2">
        <f t="shared" si="33"/>
        <v>18.828623410243694</v>
      </c>
    </row>
    <row r="446" spans="1:24" x14ac:dyDescent="0.25">
      <c r="A446" s="6" t="s">
        <v>10</v>
      </c>
      <c r="B446" s="6" t="s">
        <v>105</v>
      </c>
      <c r="C446" s="6" t="s">
        <v>401</v>
      </c>
      <c r="D446" s="6" t="s">
        <v>72</v>
      </c>
      <c r="E446" s="11" t="str">
        <f t="shared" si="30"/>
        <v>SUV</v>
      </c>
      <c r="F446" s="6" t="s">
        <v>24</v>
      </c>
      <c r="G446" s="11">
        <v>2000</v>
      </c>
      <c r="H446" s="6" t="s">
        <v>1050</v>
      </c>
      <c r="I446" s="6" t="str">
        <f t="shared" si="31"/>
        <v>N</v>
      </c>
      <c r="J446" s="17" t="s">
        <v>419</v>
      </c>
      <c r="K446" s="6">
        <v>245</v>
      </c>
      <c r="L446" s="9">
        <v>10</v>
      </c>
      <c r="M446" s="2">
        <v>10</v>
      </c>
      <c r="N446" s="2">
        <v>74200</v>
      </c>
      <c r="O446" s="2" t="s">
        <v>1053</v>
      </c>
      <c r="P446" s="2" t="s">
        <v>1212</v>
      </c>
      <c r="Q446" s="2" t="s">
        <v>422</v>
      </c>
      <c r="R446" s="2">
        <v>2900</v>
      </c>
      <c r="S446" s="2"/>
      <c r="T446" s="2">
        <v>183</v>
      </c>
      <c r="U446" s="39">
        <f>IF(I446="N",T446*Supuestos!$B$4,T446*Supuestos!$C$4)*100</f>
        <v>7.8309956456240819</v>
      </c>
      <c r="V446" s="20">
        <f t="shared" si="34"/>
        <v>12.769768306010929</v>
      </c>
      <c r="W446" s="2">
        <f t="shared" si="32"/>
        <v>1830</v>
      </c>
      <c r="X446" s="2">
        <f t="shared" si="33"/>
        <v>78.309956456240826</v>
      </c>
    </row>
    <row r="447" spans="1:24" x14ac:dyDescent="0.25">
      <c r="A447" s="6" t="s">
        <v>10</v>
      </c>
      <c r="B447" s="6" t="s">
        <v>109</v>
      </c>
      <c r="C447" s="6" t="s">
        <v>401</v>
      </c>
      <c r="D447" s="6" t="s">
        <v>72</v>
      </c>
      <c r="E447" s="11" t="str">
        <f t="shared" si="30"/>
        <v>SUV</v>
      </c>
      <c r="F447" s="6" t="s">
        <v>24</v>
      </c>
      <c r="G447" s="11">
        <v>2000</v>
      </c>
      <c r="H447" s="6" t="s">
        <v>1050</v>
      </c>
      <c r="I447" s="6" t="str">
        <f t="shared" si="31"/>
        <v>N</v>
      </c>
      <c r="J447" s="17" t="s">
        <v>419</v>
      </c>
      <c r="K447" s="6">
        <v>245</v>
      </c>
      <c r="L447" s="9">
        <v>10</v>
      </c>
      <c r="M447" s="2">
        <v>10</v>
      </c>
      <c r="N447" s="2">
        <v>94400</v>
      </c>
      <c r="O447" s="2" t="s">
        <v>1053</v>
      </c>
      <c r="P447" s="2" t="s">
        <v>1212</v>
      </c>
      <c r="Q447" s="2" t="s">
        <v>422</v>
      </c>
      <c r="R447" s="2">
        <v>2900</v>
      </c>
      <c r="S447" s="2"/>
      <c r="T447" s="2">
        <v>183</v>
      </c>
      <c r="U447" s="39">
        <f>IF(I447="N",T447*Supuestos!$B$4,T447*Supuestos!$C$4)*100</f>
        <v>7.8309956456240819</v>
      </c>
      <c r="V447" s="20">
        <f t="shared" si="34"/>
        <v>12.769768306010929</v>
      </c>
      <c r="W447" s="2">
        <f t="shared" si="32"/>
        <v>1830</v>
      </c>
      <c r="X447" s="2">
        <f t="shared" si="33"/>
        <v>78.309956456240826</v>
      </c>
    </row>
    <row r="448" spans="1:24" x14ac:dyDescent="0.25">
      <c r="A448" s="6" t="s">
        <v>15</v>
      </c>
      <c r="B448" s="6" t="s">
        <v>547</v>
      </c>
      <c r="C448" s="6" t="s">
        <v>401</v>
      </c>
      <c r="D448" s="6" t="s">
        <v>72</v>
      </c>
      <c r="E448" s="11" t="str">
        <f t="shared" si="30"/>
        <v>SUV</v>
      </c>
      <c r="F448" s="6" t="s">
        <v>16</v>
      </c>
      <c r="G448" s="11">
        <v>2000</v>
      </c>
      <c r="H448" s="6" t="s">
        <v>1050</v>
      </c>
      <c r="I448" s="6" t="str">
        <f t="shared" si="31"/>
        <v>N</v>
      </c>
      <c r="J448" s="17" t="s">
        <v>9</v>
      </c>
      <c r="K448" s="6">
        <v>184</v>
      </c>
      <c r="L448" s="9">
        <v>10</v>
      </c>
      <c r="M448" s="2">
        <v>10</v>
      </c>
      <c r="N448" s="2">
        <v>99990</v>
      </c>
      <c r="O448" s="2" t="s">
        <v>1060</v>
      </c>
      <c r="P448" s="2" t="s">
        <v>455</v>
      </c>
      <c r="Q448" s="2" t="s">
        <v>424</v>
      </c>
      <c r="R448" s="2">
        <v>2330</v>
      </c>
      <c r="S448" s="2"/>
      <c r="T448" s="2">
        <v>180</v>
      </c>
      <c r="U448" s="39">
        <f>IF(I448="N",T448*Supuestos!$B$4,T448*Supuestos!$C$4)*100</f>
        <v>7.7026186678269664</v>
      </c>
      <c r="V448" s="20">
        <f t="shared" si="34"/>
        <v>12.982597777777778</v>
      </c>
      <c r="W448" s="2">
        <f t="shared" si="32"/>
        <v>1800</v>
      </c>
      <c r="X448" s="2">
        <f t="shared" si="33"/>
        <v>77.026186678269667</v>
      </c>
    </row>
    <row r="449" spans="1:24" x14ac:dyDescent="0.25">
      <c r="A449" s="6" t="s">
        <v>18</v>
      </c>
      <c r="B449" s="6" t="s">
        <v>595</v>
      </c>
      <c r="C449" s="6" t="s">
        <v>401</v>
      </c>
      <c r="D449" s="6" t="s">
        <v>72</v>
      </c>
      <c r="E449" s="11" t="str">
        <f t="shared" si="30"/>
        <v>SUV</v>
      </c>
      <c r="F449" s="6" t="s">
        <v>14</v>
      </c>
      <c r="G449" s="11">
        <v>1600</v>
      </c>
      <c r="H449" s="6" t="s">
        <v>1050</v>
      </c>
      <c r="I449" s="6" t="str">
        <f t="shared" si="31"/>
        <v>N</v>
      </c>
      <c r="J449" s="17" t="s">
        <v>9</v>
      </c>
      <c r="K449" s="6">
        <v>197</v>
      </c>
      <c r="L449" s="9">
        <v>10</v>
      </c>
      <c r="M449" s="2">
        <v>10</v>
      </c>
      <c r="N449" s="2">
        <v>49990</v>
      </c>
      <c r="O449" s="2" t="s">
        <v>1060</v>
      </c>
      <c r="P449" s="2" t="s">
        <v>1191</v>
      </c>
      <c r="Q449" s="2" t="s">
        <v>424</v>
      </c>
      <c r="R449" s="2">
        <v>2143</v>
      </c>
      <c r="S449" s="2"/>
      <c r="T449" s="2">
        <v>186</v>
      </c>
      <c r="U449" s="39">
        <f>IF(I449="N",T449*Supuestos!$B$4,T449*Supuestos!$C$4)*100</f>
        <v>7.9593726234211983</v>
      </c>
      <c r="V449" s="20">
        <f t="shared" si="34"/>
        <v>12.563804301075269</v>
      </c>
      <c r="W449" s="2">
        <f t="shared" si="32"/>
        <v>1860</v>
      </c>
      <c r="X449" s="2">
        <f t="shared" si="33"/>
        <v>79.593726234211985</v>
      </c>
    </row>
    <row r="450" spans="1:24" x14ac:dyDescent="0.25">
      <c r="A450" s="6" t="s">
        <v>34</v>
      </c>
      <c r="B450" s="6" t="s">
        <v>718</v>
      </c>
      <c r="C450" s="6" t="s">
        <v>401</v>
      </c>
      <c r="D450" s="6" t="s">
        <v>72</v>
      </c>
      <c r="E450" s="11" t="str">
        <f t="shared" ref="E450:E513" si="35">IF(D450="COMERCIAL","UTILITARIO",IF(C450="SUV Y CROSSOVER","SUV","AUTOMOVIL"))</f>
        <v>SUV</v>
      </c>
      <c r="F450" s="6" t="s">
        <v>20</v>
      </c>
      <c r="G450" s="11"/>
      <c r="H450" s="6" t="s">
        <v>1051</v>
      </c>
      <c r="I450" s="6" t="str">
        <f t="shared" ref="I450:I513" si="36">IF(H450="NAFTA","N",IF(H450="DIESEL","D",IF(H450="ELÉCTRICO","E","")))</f>
        <v>E</v>
      </c>
      <c r="J450" s="17" t="s">
        <v>418</v>
      </c>
      <c r="K450" s="6">
        <v>204</v>
      </c>
      <c r="L450" s="9">
        <v>10</v>
      </c>
      <c r="M450" s="21">
        <v>10</v>
      </c>
      <c r="N450" s="2">
        <v>62900</v>
      </c>
      <c r="O450" s="2" t="s">
        <v>1060</v>
      </c>
      <c r="P450" s="2" t="s">
        <v>1364</v>
      </c>
      <c r="Q450" s="2"/>
      <c r="R450" s="2">
        <v>2110</v>
      </c>
      <c r="S450" s="2">
        <v>4.8</v>
      </c>
      <c r="T450" s="2"/>
      <c r="U450" s="39">
        <f>IF(I450="N",T450*Supuestos!$B$4,T450*Supuestos!$C$4)*100</f>
        <v>0</v>
      </c>
      <c r="V450" s="20">
        <f t="shared" si="34"/>
        <v>0</v>
      </c>
      <c r="W450" s="2">
        <f t="shared" ref="W450:W513" si="37">T450*M450</f>
        <v>0</v>
      </c>
      <c r="X450" s="2">
        <f t="shared" ref="X450:X513" si="38">+U450*M450</f>
        <v>0</v>
      </c>
    </row>
    <row r="451" spans="1:24" x14ac:dyDescent="0.25">
      <c r="A451" s="6" t="s">
        <v>39</v>
      </c>
      <c r="B451" s="6" t="s">
        <v>773</v>
      </c>
      <c r="C451" s="6" t="s">
        <v>401</v>
      </c>
      <c r="D451" s="6" t="s">
        <v>72</v>
      </c>
      <c r="E451" s="11" t="str">
        <f t="shared" si="35"/>
        <v>SUV</v>
      </c>
      <c r="F451" s="6" t="s">
        <v>20</v>
      </c>
      <c r="G451" s="11">
        <v>1600</v>
      </c>
      <c r="H451" s="6" t="s">
        <v>1050</v>
      </c>
      <c r="I451" s="6" t="str">
        <f t="shared" si="36"/>
        <v>N</v>
      </c>
      <c r="J451" s="17" t="s">
        <v>421</v>
      </c>
      <c r="K451" s="6">
        <v>141</v>
      </c>
      <c r="L451" s="9">
        <v>10</v>
      </c>
      <c r="M451" s="2">
        <v>10</v>
      </c>
      <c r="N451" s="2">
        <v>46990</v>
      </c>
      <c r="O451" s="2" t="s">
        <v>1060</v>
      </c>
      <c r="P451" s="2" t="s">
        <v>1220</v>
      </c>
      <c r="Q451" s="2" t="s">
        <v>424</v>
      </c>
      <c r="R451" s="2">
        <v>1940</v>
      </c>
      <c r="S451" s="2"/>
      <c r="T451" s="2">
        <v>91</v>
      </c>
      <c r="U451" s="39">
        <f>IF(I451="N",T451*Supuestos!$B$4,T451*Supuestos!$C$4)*100</f>
        <v>3.8941016598458549</v>
      </c>
      <c r="V451" s="20">
        <f t="shared" ref="V451:V514" si="39">IF(U451&gt;0,100/U451,0)</f>
        <v>25.679863736263737</v>
      </c>
      <c r="W451" s="2">
        <f t="shared" si="37"/>
        <v>910</v>
      </c>
      <c r="X451" s="2">
        <f t="shared" si="38"/>
        <v>38.941016598458546</v>
      </c>
    </row>
    <row r="452" spans="1:24" x14ac:dyDescent="0.25">
      <c r="A452" s="6" t="s">
        <v>40</v>
      </c>
      <c r="B452" s="6" t="s">
        <v>785</v>
      </c>
      <c r="C452" s="6" t="s">
        <v>401</v>
      </c>
      <c r="D452" s="6" t="s">
        <v>72</v>
      </c>
      <c r="E452" s="11" t="str">
        <f t="shared" si="35"/>
        <v>SUV</v>
      </c>
      <c r="F452" s="6" t="s">
        <v>415</v>
      </c>
      <c r="G452" s="11">
        <v>1500</v>
      </c>
      <c r="H452" s="6" t="s">
        <v>1050</v>
      </c>
      <c r="I452" s="6" t="str">
        <f t="shared" si="36"/>
        <v>N</v>
      </c>
      <c r="J452" s="17" t="s">
        <v>420</v>
      </c>
      <c r="K452" s="6">
        <v>310</v>
      </c>
      <c r="L452" s="9">
        <v>10</v>
      </c>
      <c r="M452" s="2">
        <v>10</v>
      </c>
      <c r="N452" s="2">
        <v>124990</v>
      </c>
      <c r="O452" s="2" t="s">
        <v>1060</v>
      </c>
      <c r="P452" s="2" t="s">
        <v>1221</v>
      </c>
      <c r="Q452" s="2" t="s">
        <v>424</v>
      </c>
      <c r="R452" s="2">
        <v>2660</v>
      </c>
      <c r="S452" s="2"/>
      <c r="T452" s="2">
        <v>44</v>
      </c>
      <c r="U452" s="39">
        <f>IF(I452="N",T452*Supuestos!$B$4,T452*Supuestos!$C$4)*100</f>
        <v>1.8828623410243697</v>
      </c>
      <c r="V452" s="20">
        <f t="shared" si="39"/>
        <v>53.110627272727271</v>
      </c>
      <c r="W452" s="2">
        <f t="shared" si="37"/>
        <v>440</v>
      </c>
      <c r="X452" s="2">
        <f t="shared" si="38"/>
        <v>18.828623410243697</v>
      </c>
    </row>
    <row r="453" spans="1:24" x14ac:dyDescent="0.25">
      <c r="A453" s="6" t="s">
        <v>42</v>
      </c>
      <c r="B453" s="6" t="s">
        <v>838</v>
      </c>
      <c r="C453" s="6" t="s">
        <v>401</v>
      </c>
      <c r="D453" s="6" t="s">
        <v>72</v>
      </c>
      <c r="E453" s="11" t="str">
        <f t="shared" si="35"/>
        <v>SUV</v>
      </c>
      <c r="F453" s="6" t="s">
        <v>16</v>
      </c>
      <c r="G453" s="11">
        <v>3000</v>
      </c>
      <c r="H453" s="6" t="s">
        <v>1050</v>
      </c>
      <c r="I453" s="6" t="str">
        <f t="shared" si="36"/>
        <v>N</v>
      </c>
      <c r="J453" s="17" t="s">
        <v>419</v>
      </c>
      <c r="K453" s="6">
        <v>435</v>
      </c>
      <c r="L453" s="9">
        <v>10</v>
      </c>
      <c r="M453" s="2">
        <v>10</v>
      </c>
      <c r="N453" s="2">
        <v>229990</v>
      </c>
      <c r="O453" s="2" t="s">
        <v>1060</v>
      </c>
      <c r="P453" s="2" t="s">
        <v>1224</v>
      </c>
      <c r="Q453" s="2" t="s">
        <v>424</v>
      </c>
      <c r="R453" s="2">
        <v>3050</v>
      </c>
      <c r="S453" s="2"/>
      <c r="T453" s="2">
        <v>228</v>
      </c>
      <c r="U453" s="39">
        <f>IF(I453="N",T453*Supuestos!$B$4,T453*Supuestos!$C$4)*100</f>
        <v>9.7566503125808239</v>
      </c>
      <c r="V453" s="20">
        <f t="shared" si="39"/>
        <v>10.249419298245614</v>
      </c>
      <c r="W453" s="2">
        <f t="shared" si="37"/>
        <v>2280</v>
      </c>
      <c r="X453" s="2">
        <f t="shared" si="38"/>
        <v>97.566503125808239</v>
      </c>
    </row>
    <row r="454" spans="1:24" x14ac:dyDescent="0.25">
      <c r="A454" s="6" t="s">
        <v>49</v>
      </c>
      <c r="B454" s="6" t="s">
        <v>962</v>
      </c>
      <c r="C454" s="6" t="s">
        <v>401</v>
      </c>
      <c r="D454" s="6" t="s">
        <v>72</v>
      </c>
      <c r="E454" s="11" t="str">
        <f t="shared" si="35"/>
        <v>SUV</v>
      </c>
      <c r="F454" s="6" t="s">
        <v>45</v>
      </c>
      <c r="G454" s="11">
        <v>2400</v>
      </c>
      <c r="H454" s="6" t="s">
        <v>1050</v>
      </c>
      <c r="I454" s="6" t="str">
        <f t="shared" si="36"/>
        <v>N</v>
      </c>
      <c r="J454" s="17" t="s">
        <v>9</v>
      </c>
      <c r="K454" s="6">
        <v>245</v>
      </c>
      <c r="L454" s="9">
        <v>10</v>
      </c>
      <c r="M454" s="2">
        <v>10</v>
      </c>
      <c r="N454" s="2">
        <v>92800</v>
      </c>
      <c r="O454" s="2" t="s">
        <v>1053</v>
      </c>
      <c r="P454" s="2" t="s">
        <v>1225</v>
      </c>
      <c r="Q454" s="2" t="s">
        <v>422</v>
      </c>
      <c r="R454" s="2">
        <v>2200</v>
      </c>
      <c r="S454" s="2"/>
      <c r="T454" s="2">
        <v>204</v>
      </c>
      <c r="U454" s="39">
        <f>IF(I454="N",T454*Supuestos!$B$4,T454*Supuestos!$C$4)*100</f>
        <v>8.729634490203896</v>
      </c>
      <c r="V454" s="20">
        <f t="shared" si="39"/>
        <v>11.455233333333332</v>
      </c>
      <c r="W454" s="2">
        <f t="shared" si="37"/>
        <v>2040</v>
      </c>
      <c r="X454" s="2">
        <f t="shared" si="38"/>
        <v>87.296344902038953</v>
      </c>
    </row>
    <row r="455" spans="1:24" x14ac:dyDescent="0.25">
      <c r="A455" s="6" t="s">
        <v>54</v>
      </c>
      <c r="B455" s="6" t="s">
        <v>1041</v>
      </c>
      <c r="C455" s="6" t="s">
        <v>401</v>
      </c>
      <c r="D455" s="6" t="s">
        <v>72</v>
      </c>
      <c r="E455" s="11" t="str">
        <f t="shared" si="35"/>
        <v>SUV</v>
      </c>
      <c r="F455" s="6" t="s">
        <v>55</v>
      </c>
      <c r="G455" s="11">
        <v>2000</v>
      </c>
      <c r="H455" s="6" t="s">
        <v>1050</v>
      </c>
      <c r="I455" s="6" t="str">
        <f t="shared" si="36"/>
        <v>N</v>
      </c>
      <c r="J455" s="17" t="s">
        <v>420</v>
      </c>
      <c r="K455" s="6">
        <v>465</v>
      </c>
      <c r="L455" s="9">
        <v>10</v>
      </c>
      <c r="M455" s="2">
        <v>10</v>
      </c>
      <c r="N455" s="2">
        <v>106990</v>
      </c>
      <c r="O455" s="2" t="s">
        <v>1060</v>
      </c>
      <c r="P455" s="2" t="s">
        <v>1226</v>
      </c>
      <c r="Q455" s="2" t="s">
        <v>424</v>
      </c>
      <c r="R455" s="2">
        <v>2660</v>
      </c>
      <c r="S455" s="2"/>
      <c r="T455" s="2">
        <v>37</v>
      </c>
      <c r="U455" s="39">
        <f>IF(I455="N",T455*Supuestos!$B$4,T455*Supuestos!$C$4)*100</f>
        <v>1.5833160594977653</v>
      </c>
      <c r="V455" s="20">
        <f t="shared" si="39"/>
        <v>63.158583783783783</v>
      </c>
      <c r="W455" s="2">
        <f t="shared" si="37"/>
        <v>370</v>
      </c>
      <c r="X455" s="2">
        <f t="shared" si="38"/>
        <v>15.833160594977652</v>
      </c>
    </row>
    <row r="456" spans="1:24" x14ac:dyDescent="0.25">
      <c r="A456" s="6" t="s">
        <v>54</v>
      </c>
      <c r="B456" s="6" t="s">
        <v>397</v>
      </c>
      <c r="C456" s="6" t="s">
        <v>401</v>
      </c>
      <c r="D456" s="6" t="s">
        <v>72</v>
      </c>
      <c r="E456" s="11" t="str">
        <f t="shared" si="35"/>
        <v>SUV</v>
      </c>
      <c r="F456" s="6" t="s">
        <v>55</v>
      </c>
      <c r="G456" s="11">
        <v>2000</v>
      </c>
      <c r="H456" s="6" t="s">
        <v>1050</v>
      </c>
      <c r="I456" s="6" t="str">
        <f t="shared" si="36"/>
        <v>N</v>
      </c>
      <c r="J456" s="17" t="s">
        <v>420</v>
      </c>
      <c r="K456" s="6">
        <v>465</v>
      </c>
      <c r="L456" s="9">
        <v>10</v>
      </c>
      <c r="M456" s="2">
        <v>10</v>
      </c>
      <c r="N456" s="2">
        <v>121990</v>
      </c>
      <c r="O456" s="2" t="s">
        <v>1060</v>
      </c>
      <c r="P456" s="2" t="s">
        <v>1227</v>
      </c>
      <c r="Q456" s="2" t="s">
        <v>424</v>
      </c>
      <c r="R456" s="2">
        <v>2660</v>
      </c>
      <c r="S456" s="2"/>
      <c r="T456" s="2">
        <v>37</v>
      </c>
      <c r="U456" s="39">
        <f>IF(I456="N",T456*Supuestos!$B$4,T456*Supuestos!$C$4)*100</f>
        <v>1.5833160594977653</v>
      </c>
      <c r="V456" s="20">
        <f t="shared" si="39"/>
        <v>63.158583783783783</v>
      </c>
      <c r="W456" s="2">
        <f t="shared" si="37"/>
        <v>370</v>
      </c>
      <c r="X456" s="2">
        <f t="shared" si="38"/>
        <v>15.833160594977652</v>
      </c>
    </row>
    <row r="457" spans="1:24" x14ac:dyDescent="0.25">
      <c r="A457" s="6" t="s">
        <v>10</v>
      </c>
      <c r="B457" s="6" t="s">
        <v>499</v>
      </c>
      <c r="C457" s="6" t="s">
        <v>401</v>
      </c>
      <c r="D457" s="6" t="s">
        <v>72</v>
      </c>
      <c r="E457" s="11" t="str">
        <f t="shared" si="35"/>
        <v>SUV</v>
      </c>
      <c r="F457" s="6" t="s">
        <v>417</v>
      </c>
      <c r="G457" s="11"/>
      <c r="H457" s="6" t="s">
        <v>1051</v>
      </c>
      <c r="I457" s="6" t="str">
        <f t="shared" si="36"/>
        <v>E</v>
      </c>
      <c r="J457" s="17" t="s">
        <v>418</v>
      </c>
      <c r="K457" s="6">
        <v>408</v>
      </c>
      <c r="L457" s="9">
        <v>9</v>
      </c>
      <c r="M457" s="21">
        <v>9</v>
      </c>
      <c r="N457" s="2">
        <v>132000</v>
      </c>
      <c r="O457" s="2" t="s">
        <v>1060</v>
      </c>
      <c r="P457" s="2" t="s">
        <v>1358</v>
      </c>
      <c r="Q457" s="2"/>
      <c r="R457" s="2">
        <v>3180</v>
      </c>
      <c r="S457" s="2">
        <v>5.5</v>
      </c>
      <c r="T457" s="2"/>
      <c r="U457" s="39">
        <f>IF(I457="N",T457*Supuestos!$B$4,T457*Supuestos!$C$4)*100</f>
        <v>0</v>
      </c>
      <c r="V457" s="20">
        <f t="shared" si="39"/>
        <v>0</v>
      </c>
      <c r="W457" s="2">
        <f t="shared" si="37"/>
        <v>0</v>
      </c>
      <c r="X457" s="2">
        <f t="shared" si="38"/>
        <v>0</v>
      </c>
    </row>
    <row r="458" spans="1:24" x14ac:dyDescent="0.25">
      <c r="A458" s="6" t="s">
        <v>15</v>
      </c>
      <c r="B458" s="6" t="s">
        <v>545</v>
      </c>
      <c r="C458" s="6" t="s">
        <v>401</v>
      </c>
      <c r="D458" s="6" t="s">
        <v>72</v>
      </c>
      <c r="E458" s="11" t="str">
        <f t="shared" si="35"/>
        <v>SUV</v>
      </c>
      <c r="F458" s="6" t="s">
        <v>11</v>
      </c>
      <c r="G458" s="11">
        <v>1500</v>
      </c>
      <c r="H458" s="6" t="s">
        <v>1050</v>
      </c>
      <c r="I458" s="6" t="str">
        <f t="shared" si="36"/>
        <v>N</v>
      </c>
      <c r="J458" s="17" t="s">
        <v>420</v>
      </c>
      <c r="K458" s="6">
        <v>245</v>
      </c>
      <c r="L458" s="9">
        <v>9</v>
      </c>
      <c r="M458" s="2">
        <v>9</v>
      </c>
      <c r="N458" s="2">
        <v>83990</v>
      </c>
      <c r="O458" s="2" t="s">
        <v>1060</v>
      </c>
      <c r="P458" s="2" t="s">
        <v>1179</v>
      </c>
      <c r="Q458" s="2" t="s">
        <v>424</v>
      </c>
      <c r="R458" s="2">
        <v>2430</v>
      </c>
      <c r="S458" s="2"/>
      <c r="T458" s="2">
        <v>36</v>
      </c>
      <c r="U458" s="39">
        <f>IF(I458="N",T458*Supuestos!$B$4,T458*Supuestos!$C$4)*100</f>
        <v>1.5405237335653932</v>
      </c>
      <c r="V458" s="20">
        <f t="shared" si="39"/>
        <v>64.91298888888889</v>
      </c>
      <c r="W458" s="2">
        <f t="shared" si="37"/>
        <v>324</v>
      </c>
      <c r="X458" s="2">
        <f t="shared" si="38"/>
        <v>13.864713602088539</v>
      </c>
    </row>
    <row r="459" spans="1:24" x14ac:dyDescent="0.25">
      <c r="A459" s="6" t="s">
        <v>15</v>
      </c>
      <c r="B459" s="6" t="s">
        <v>119</v>
      </c>
      <c r="C459" s="6" t="s">
        <v>401</v>
      </c>
      <c r="D459" s="6" t="s">
        <v>72</v>
      </c>
      <c r="E459" s="11" t="str">
        <f t="shared" si="35"/>
        <v>SUV</v>
      </c>
      <c r="F459" s="6" t="s">
        <v>16</v>
      </c>
      <c r="G459" s="11">
        <v>2000</v>
      </c>
      <c r="H459" s="6" t="s">
        <v>1050</v>
      </c>
      <c r="I459" s="6" t="str">
        <f t="shared" si="36"/>
        <v>N</v>
      </c>
      <c r="J459" s="17" t="s">
        <v>9</v>
      </c>
      <c r="K459" s="6">
        <v>184</v>
      </c>
      <c r="L459" s="9">
        <v>9</v>
      </c>
      <c r="M459" s="2"/>
      <c r="N459" s="2"/>
      <c r="O459" s="2"/>
      <c r="P459" s="2"/>
      <c r="Q459" s="2"/>
      <c r="R459" s="2"/>
      <c r="S459" s="2"/>
      <c r="T459" s="2"/>
      <c r="U459" s="39">
        <f>IF(I459="N",T459*Supuestos!$B$4,T459*Supuestos!$C$4)*100</f>
        <v>0</v>
      </c>
      <c r="V459" s="20">
        <f t="shared" si="39"/>
        <v>0</v>
      </c>
      <c r="W459" s="2">
        <f t="shared" si="37"/>
        <v>0</v>
      </c>
      <c r="X459" s="2">
        <f t="shared" si="38"/>
        <v>0</v>
      </c>
    </row>
    <row r="460" spans="1:24" x14ac:dyDescent="0.25">
      <c r="A460" s="6" t="s">
        <v>15</v>
      </c>
      <c r="B460" s="6" t="s">
        <v>553</v>
      </c>
      <c r="C460" s="6" t="s">
        <v>401</v>
      </c>
      <c r="D460" s="6" t="s">
        <v>72</v>
      </c>
      <c r="E460" s="11" t="str">
        <f t="shared" si="35"/>
        <v>SUV</v>
      </c>
      <c r="F460" s="6" t="s">
        <v>16</v>
      </c>
      <c r="G460" s="11">
        <v>2000</v>
      </c>
      <c r="H460" s="6" t="s">
        <v>1050</v>
      </c>
      <c r="I460" s="6" t="str">
        <f t="shared" si="36"/>
        <v>N</v>
      </c>
      <c r="J460" s="17" t="s">
        <v>9</v>
      </c>
      <c r="K460" s="6">
        <v>252</v>
      </c>
      <c r="L460" s="9">
        <v>9</v>
      </c>
      <c r="M460" s="2"/>
      <c r="N460" s="2"/>
      <c r="O460" s="2"/>
      <c r="P460" s="2"/>
      <c r="Q460" s="2"/>
      <c r="R460" s="2"/>
      <c r="S460" s="2"/>
      <c r="T460" s="2"/>
      <c r="U460" s="39">
        <f>IF(I460="N",T460*Supuestos!$B$4,T460*Supuestos!$C$4)*100</f>
        <v>0</v>
      </c>
      <c r="V460" s="20">
        <f t="shared" si="39"/>
        <v>0</v>
      </c>
      <c r="W460" s="2">
        <f t="shared" si="37"/>
        <v>0</v>
      </c>
      <c r="X460" s="2">
        <f t="shared" si="38"/>
        <v>0</v>
      </c>
    </row>
    <row r="461" spans="1:24" x14ac:dyDescent="0.25">
      <c r="A461" s="6" t="s">
        <v>17</v>
      </c>
      <c r="B461" s="6" t="s">
        <v>571</v>
      </c>
      <c r="C461" s="6" t="s">
        <v>401</v>
      </c>
      <c r="D461" s="6" t="s">
        <v>72</v>
      </c>
      <c r="E461" s="11" t="str">
        <f t="shared" si="35"/>
        <v>SUV</v>
      </c>
      <c r="F461" s="6" t="s">
        <v>14</v>
      </c>
      <c r="G461" s="11"/>
      <c r="H461" s="6" t="s">
        <v>1051</v>
      </c>
      <c r="I461" s="6" t="str">
        <f t="shared" si="36"/>
        <v>E</v>
      </c>
      <c r="J461" s="17" t="s">
        <v>418</v>
      </c>
      <c r="K461" s="6">
        <v>201</v>
      </c>
      <c r="L461" s="9">
        <v>9</v>
      </c>
      <c r="M461" s="21">
        <v>9</v>
      </c>
      <c r="N461" s="2">
        <v>40990</v>
      </c>
      <c r="O461" s="2" t="s">
        <v>1060</v>
      </c>
      <c r="P461" s="2" t="s">
        <v>1336</v>
      </c>
      <c r="Q461" s="2"/>
      <c r="R461" s="2">
        <v>1840</v>
      </c>
      <c r="S461" s="2">
        <v>6</v>
      </c>
      <c r="T461" s="2"/>
      <c r="U461" s="39">
        <f>IF(I461="N",T461*Supuestos!$B$4,T461*Supuestos!$C$4)*100</f>
        <v>0</v>
      </c>
      <c r="V461" s="20">
        <f t="shared" si="39"/>
        <v>0</v>
      </c>
      <c r="W461" s="2">
        <f t="shared" si="37"/>
        <v>0</v>
      </c>
      <c r="X461" s="2">
        <f t="shared" si="38"/>
        <v>0</v>
      </c>
    </row>
    <row r="462" spans="1:24" x14ac:dyDescent="0.25">
      <c r="A462" s="6" t="s">
        <v>71</v>
      </c>
      <c r="B462" s="6" t="s">
        <v>579</v>
      </c>
      <c r="C462" s="6" t="s">
        <v>401</v>
      </c>
      <c r="D462" s="6" t="s">
        <v>72</v>
      </c>
      <c r="E462" s="11" t="str">
        <f t="shared" si="35"/>
        <v>SUV</v>
      </c>
      <c r="F462" s="6" t="s">
        <v>14</v>
      </c>
      <c r="G462" s="11">
        <v>1400</v>
      </c>
      <c r="H462" s="6" t="s">
        <v>1050</v>
      </c>
      <c r="I462" s="6" t="str">
        <f t="shared" si="36"/>
        <v>N</v>
      </c>
      <c r="J462" s="17" t="s">
        <v>9</v>
      </c>
      <c r="K462" s="6">
        <v>155</v>
      </c>
      <c r="L462" s="9">
        <v>9</v>
      </c>
      <c r="M462" s="2">
        <v>9</v>
      </c>
      <c r="N462" s="2">
        <v>30490</v>
      </c>
      <c r="O462" s="2" t="s">
        <v>1053</v>
      </c>
      <c r="P462" s="2" t="s">
        <v>1201</v>
      </c>
      <c r="Q462" s="2" t="s">
        <v>424</v>
      </c>
      <c r="R462" s="2">
        <v>1810</v>
      </c>
      <c r="S462" s="2"/>
      <c r="T462" s="2">
        <v>177</v>
      </c>
      <c r="U462" s="39">
        <f>IF(I462="N",T462*Supuestos!$B$4,T462*Supuestos!$C$4)*100</f>
        <v>7.5742416900298499</v>
      </c>
      <c r="V462" s="20">
        <f t="shared" si="39"/>
        <v>13.202641807909606</v>
      </c>
      <c r="W462" s="2">
        <f t="shared" si="37"/>
        <v>1593</v>
      </c>
      <c r="X462" s="2">
        <f t="shared" si="38"/>
        <v>68.168175210268643</v>
      </c>
    </row>
    <row r="463" spans="1:24" x14ac:dyDescent="0.25">
      <c r="A463" s="6" t="s">
        <v>81</v>
      </c>
      <c r="B463" s="6" t="s">
        <v>639</v>
      </c>
      <c r="C463" s="6" t="s">
        <v>401</v>
      </c>
      <c r="D463" s="6" t="s">
        <v>72</v>
      </c>
      <c r="E463" s="11" t="str">
        <f t="shared" si="35"/>
        <v>SUV</v>
      </c>
      <c r="F463" s="6" t="s">
        <v>26</v>
      </c>
      <c r="G463" s="11">
        <v>1600</v>
      </c>
      <c r="H463" s="6" t="s">
        <v>1050</v>
      </c>
      <c r="I463" s="6" t="str">
        <f t="shared" si="36"/>
        <v>N</v>
      </c>
      <c r="J463" s="17" t="s">
        <v>9</v>
      </c>
      <c r="K463" s="6">
        <v>163</v>
      </c>
      <c r="L463" s="9">
        <v>9</v>
      </c>
      <c r="M463" s="2"/>
      <c r="N463" s="2"/>
      <c r="O463" s="2"/>
      <c r="P463" s="2"/>
      <c r="Q463" s="2"/>
      <c r="R463" s="2"/>
      <c r="S463" s="2"/>
      <c r="T463" s="2"/>
      <c r="U463" s="39">
        <f>IF(I463="N",T463*Supuestos!$B$4,T463*Supuestos!$C$4)*100</f>
        <v>0</v>
      </c>
      <c r="V463" s="20">
        <f t="shared" si="39"/>
        <v>0</v>
      </c>
      <c r="W463" s="2">
        <f t="shared" si="37"/>
        <v>0</v>
      </c>
      <c r="X463" s="2">
        <f t="shared" si="38"/>
        <v>0</v>
      </c>
    </row>
    <row r="464" spans="1:24" x14ac:dyDescent="0.25">
      <c r="A464" s="6" t="s">
        <v>39</v>
      </c>
      <c r="B464" s="6" t="s">
        <v>778</v>
      </c>
      <c r="C464" s="6" t="s">
        <v>401</v>
      </c>
      <c r="D464" s="6" t="s">
        <v>72</v>
      </c>
      <c r="E464" s="11" t="str">
        <f t="shared" si="35"/>
        <v>SUV</v>
      </c>
      <c r="F464" s="6" t="s">
        <v>20</v>
      </c>
      <c r="G464" s="11">
        <v>1600</v>
      </c>
      <c r="H464" s="6" t="s">
        <v>1050</v>
      </c>
      <c r="I464" s="6" t="str">
        <f t="shared" si="36"/>
        <v>N</v>
      </c>
      <c r="J464" s="17" t="s">
        <v>9</v>
      </c>
      <c r="K464" s="6">
        <v>180</v>
      </c>
      <c r="L464" s="9">
        <v>9</v>
      </c>
      <c r="M464" s="2">
        <v>9</v>
      </c>
      <c r="N464" s="2">
        <v>56990</v>
      </c>
      <c r="O464" s="2" t="s">
        <v>1060</v>
      </c>
      <c r="P464" s="2" t="s">
        <v>1210</v>
      </c>
      <c r="Q464" s="2" t="s">
        <v>424</v>
      </c>
      <c r="R464" s="2">
        <v>2120</v>
      </c>
      <c r="S464" s="2"/>
      <c r="T464" s="2">
        <v>151</v>
      </c>
      <c r="U464" s="39">
        <f>IF(I464="N",T464*Supuestos!$B$4,T464*Supuestos!$C$4)*100</f>
        <v>6.4616412157881777</v>
      </c>
      <c r="V464" s="20">
        <f t="shared" si="39"/>
        <v>15.475944370860926</v>
      </c>
      <c r="W464" s="2">
        <f t="shared" si="37"/>
        <v>1359</v>
      </c>
      <c r="X464" s="2">
        <f t="shared" si="38"/>
        <v>58.154770942093599</v>
      </c>
    </row>
    <row r="465" spans="1:24" x14ac:dyDescent="0.25">
      <c r="A465" s="6" t="s">
        <v>41</v>
      </c>
      <c r="B465" s="6" t="s">
        <v>816</v>
      </c>
      <c r="C465" s="6" t="s">
        <v>401</v>
      </c>
      <c r="D465" s="6" t="s">
        <v>72</v>
      </c>
      <c r="E465" s="11" t="str">
        <f t="shared" si="35"/>
        <v>SUV</v>
      </c>
      <c r="F465" s="6" t="s">
        <v>45</v>
      </c>
      <c r="G465" s="11">
        <v>2000</v>
      </c>
      <c r="H465" s="6" t="s">
        <v>1050</v>
      </c>
      <c r="I465" s="6" t="str">
        <f t="shared" si="36"/>
        <v>N</v>
      </c>
      <c r="J465" s="17" t="s">
        <v>9</v>
      </c>
      <c r="K465" s="6">
        <v>160</v>
      </c>
      <c r="L465" s="9">
        <v>9</v>
      </c>
      <c r="M465" s="2">
        <v>9</v>
      </c>
      <c r="N465" s="2">
        <v>56990</v>
      </c>
      <c r="O465" s="2" t="s">
        <v>1060</v>
      </c>
      <c r="P465" s="2" t="s">
        <v>466</v>
      </c>
      <c r="Q465" s="2" t="s">
        <v>429</v>
      </c>
      <c r="R465" s="2">
        <v>2120</v>
      </c>
      <c r="S465" s="2"/>
      <c r="T465" s="2">
        <v>178</v>
      </c>
      <c r="U465" s="39">
        <f>IF(I465="N",T465*Supuestos!$B$4,T465*Supuestos!$C$4)*100</f>
        <v>7.6170340159622221</v>
      </c>
      <c r="V465" s="20">
        <f t="shared" si="39"/>
        <v>13.128469662921349</v>
      </c>
      <c r="W465" s="2">
        <f t="shared" si="37"/>
        <v>1602</v>
      </c>
      <c r="X465" s="2">
        <f t="shared" si="38"/>
        <v>68.553306143659995</v>
      </c>
    </row>
    <row r="466" spans="1:24" x14ac:dyDescent="0.25">
      <c r="A466" s="6" t="s">
        <v>42</v>
      </c>
      <c r="B466" s="6" t="s">
        <v>849</v>
      </c>
      <c r="C466" s="6" t="s">
        <v>401</v>
      </c>
      <c r="D466" s="6" t="s">
        <v>72</v>
      </c>
      <c r="E466" s="11" t="str">
        <f t="shared" si="35"/>
        <v>SUV</v>
      </c>
      <c r="F466" s="6" t="s">
        <v>16</v>
      </c>
      <c r="G466" s="11">
        <v>3000</v>
      </c>
      <c r="H466" s="6" t="s">
        <v>1050</v>
      </c>
      <c r="I466" s="6" t="str">
        <f t="shared" si="36"/>
        <v>N</v>
      </c>
      <c r="J466" s="17" t="s">
        <v>419</v>
      </c>
      <c r="K466" s="6">
        <v>367</v>
      </c>
      <c r="L466" s="9">
        <v>9</v>
      </c>
      <c r="M466" s="2"/>
      <c r="N466" s="2"/>
      <c r="O466" s="2"/>
      <c r="P466" s="2"/>
      <c r="Q466" s="2"/>
      <c r="R466" s="2"/>
      <c r="S466" s="2"/>
      <c r="T466" s="2"/>
      <c r="U466" s="39">
        <f>IF(I466="N",T466*Supuestos!$B$4,T466*Supuestos!$C$4)*100</f>
        <v>0</v>
      </c>
      <c r="V466" s="20">
        <f t="shared" si="39"/>
        <v>0</v>
      </c>
      <c r="W466" s="2">
        <f t="shared" si="37"/>
        <v>0</v>
      </c>
      <c r="X466" s="2">
        <f t="shared" si="38"/>
        <v>0</v>
      </c>
    </row>
    <row r="467" spans="1:24" x14ac:dyDescent="0.25">
      <c r="A467" s="6" t="s">
        <v>44</v>
      </c>
      <c r="B467" s="6" t="s">
        <v>862</v>
      </c>
      <c r="C467" s="6" t="s">
        <v>401</v>
      </c>
      <c r="D467" s="6" t="s">
        <v>72</v>
      </c>
      <c r="E467" s="11" t="str">
        <f t="shared" si="35"/>
        <v>SUV</v>
      </c>
      <c r="F467" s="6" t="s">
        <v>45</v>
      </c>
      <c r="G467" s="11">
        <v>1500</v>
      </c>
      <c r="H467" s="6" t="s">
        <v>1050</v>
      </c>
      <c r="I467" s="6" t="str">
        <f t="shared" si="36"/>
        <v>N</v>
      </c>
      <c r="J467" s="17" t="s">
        <v>9</v>
      </c>
      <c r="K467" s="6">
        <v>0</v>
      </c>
      <c r="L467" s="9">
        <v>9</v>
      </c>
      <c r="M467" s="2"/>
      <c r="N467" s="2"/>
      <c r="O467" s="2"/>
      <c r="P467" s="2"/>
      <c r="Q467" s="2"/>
      <c r="R467" s="2"/>
      <c r="S467" s="2"/>
      <c r="T467" s="2"/>
      <c r="U467" s="39">
        <f>IF(I467="N",T467*Supuestos!$B$4,T467*Supuestos!$C$4)*100</f>
        <v>0</v>
      </c>
      <c r="V467" s="20">
        <f t="shared" si="39"/>
        <v>0</v>
      </c>
      <c r="W467" s="2">
        <f t="shared" si="37"/>
        <v>0</v>
      </c>
      <c r="X467" s="2">
        <f t="shared" si="38"/>
        <v>0</v>
      </c>
    </row>
    <row r="468" spans="1:24" x14ac:dyDescent="0.25">
      <c r="A468" s="6" t="s">
        <v>44</v>
      </c>
      <c r="B468" s="6" t="s">
        <v>865</v>
      </c>
      <c r="C468" s="6" t="s">
        <v>401</v>
      </c>
      <c r="D468" s="6" t="s">
        <v>72</v>
      </c>
      <c r="E468" s="11" t="str">
        <f t="shared" si="35"/>
        <v>SUV</v>
      </c>
      <c r="F468" s="6" t="s">
        <v>45</v>
      </c>
      <c r="G468" s="11">
        <v>2500</v>
      </c>
      <c r="H468" s="6" t="s">
        <v>1050</v>
      </c>
      <c r="I468" s="6" t="str">
        <f t="shared" si="36"/>
        <v>N</v>
      </c>
      <c r="J468" s="17" t="s">
        <v>9</v>
      </c>
      <c r="K468" s="6">
        <v>181</v>
      </c>
      <c r="L468" s="9">
        <v>9</v>
      </c>
      <c r="M468" s="2">
        <v>9</v>
      </c>
      <c r="N468" s="2">
        <v>59990</v>
      </c>
      <c r="O468" s="2" t="s">
        <v>1053</v>
      </c>
      <c r="P468" s="2" t="s">
        <v>1204</v>
      </c>
      <c r="Q468" s="2" t="s">
        <v>424</v>
      </c>
      <c r="R468" s="2">
        <v>2245</v>
      </c>
      <c r="S468" s="2"/>
      <c r="T468" s="2">
        <v>174</v>
      </c>
      <c r="U468" s="39">
        <f>IF(I468="N",T468*Supuestos!$B$4,T468*Supuestos!$C$4)*100</f>
        <v>7.4458647122327344</v>
      </c>
      <c r="V468" s="20">
        <f t="shared" si="39"/>
        <v>13.430273563218391</v>
      </c>
      <c r="W468" s="2">
        <f t="shared" si="37"/>
        <v>1566</v>
      </c>
      <c r="X468" s="2">
        <f t="shared" si="38"/>
        <v>67.012782410094616</v>
      </c>
    </row>
    <row r="469" spans="1:24" x14ac:dyDescent="0.25">
      <c r="A469" s="6" t="s">
        <v>52</v>
      </c>
      <c r="B469" s="6" t="s">
        <v>367</v>
      </c>
      <c r="C469" s="6" t="s">
        <v>401</v>
      </c>
      <c r="D469" s="6" t="s">
        <v>72</v>
      </c>
      <c r="E469" s="11" t="str">
        <f t="shared" si="35"/>
        <v>SUV</v>
      </c>
      <c r="F469" s="6" t="s">
        <v>414</v>
      </c>
      <c r="G469" s="11">
        <v>1800</v>
      </c>
      <c r="H469" s="6" t="s">
        <v>1050</v>
      </c>
      <c r="I469" s="6" t="str">
        <f t="shared" si="36"/>
        <v>N</v>
      </c>
      <c r="J469" s="17" t="s">
        <v>421</v>
      </c>
      <c r="K469" s="6">
        <v>122</v>
      </c>
      <c r="L469" s="9">
        <v>9</v>
      </c>
      <c r="M469" s="2"/>
      <c r="N469" s="2"/>
      <c r="O469" s="2"/>
      <c r="P469" s="2"/>
      <c r="Q469" s="2"/>
      <c r="R469" s="2"/>
      <c r="S469" s="2"/>
      <c r="T469" s="2"/>
      <c r="U469" s="39">
        <f>IF(I469="N",T469*Supuestos!$B$4,T469*Supuestos!$C$4)*100</f>
        <v>0</v>
      </c>
      <c r="V469" s="20">
        <f t="shared" si="39"/>
        <v>0</v>
      </c>
      <c r="W469" s="2">
        <f t="shared" si="37"/>
        <v>0</v>
      </c>
      <c r="X469" s="2">
        <f t="shared" si="38"/>
        <v>0</v>
      </c>
    </row>
    <row r="470" spans="1:24" x14ac:dyDescent="0.25">
      <c r="A470" s="6" t="s">
        <v>13</v>
      </c>
      <c r="B470" s="6" t="s">
        <v>507</v>
      </c>
      <c r="C470" s="6" t="s">
        <v>401</v>
      </c>
      <c r="D470" s="6" t="s">
        <v>72</v>
      </c>
      <c r="E470" s="11" t="str">
        <f t="shared" si="35"/>
        <v>SUV</v>
      </c>
      <c r="F470" s="6" t="s">
        <v>14</v>
      </c>
      <c r="G470" s="11"/>
      <c r="H470" s="6" t="s">
        <v>1051</v>
      </c>
      <c r="I470" s="6" t="str">
        <f t="shared" si="36"/>
        <v>E</v>
      </c>
      <c r="J470" s="17" t="s">
        <v>418</v>
      </c>
      <c r="K470" s="6">
        <v>215</v>
      </c>
      <c r="L470" s="9">
        <v>8</v>
      </c>
      <c r="M470" s="21">
        <v>8</v>
      </c>
      <c r="N470" s="2">
        <v>34900</v>
      </c>
      <c r="O470" s="2" t="s">
        <v>1341</v>
      </c>
      <c r="P470" s="2"/>
      <c r="Q470" s="2"/>
      <c r="R470" s="2"/>
      <c r="S470" s="2">
        <v>4.8</v>
      </c>
      <c r="T470" s="2"/>
      <c r="U470" s="39">
        <f>IF(I470="N",T470*Supuestos!$B$4,T470*Supuestos!$C$4)*100</f>
        <v>0</v>
      </c>
      <c r="V470" s="20">
        <f t="shared" si="39"/>
        <v>0</v>
      </c>
      <c r="W470" s="2">
        <f t="shared" si="37"/>
        <v>0</v>
      </c>
      <c r="X470" s="2">
        <f t="shared" si="38"/>
        <v>0</v>
      </c>
    </row>
    <row r="471" spans="1:24" x14ac:dyDescent="0.25">
      <c r="A471" s="6" t="s">
        <v>15</v>
      </c>
      <c r="B471" s="6" t="s">
        <v>560</v>
      </c>
      <c r="C471" s="6" t="s">
        <v>401</v>
      </c>
      <c r="D471" s="6" t="s">
        <v>72</v>
      </c>
      <c r="E471" s="11" t="str">
        <f t="shared" si="35"/>
        <v>SUV</v>
      </c>
      <c r="F471" s="6" t="s">
        <v>16</v>
      </c>
      <c r="G471" s="11">
        <v>3000</v>
      </c>
      <c r="H471" s="6" t="s">
        <v>1050</v>
      </c>
      <c r="I471" s="6" t="str">
        <f t="shared" si="36"/>
        <v>N</v>
      </c>
      <c r="J471" s="17" t="s">
        <v>9</v>
      </c>
      <c r="K471" s="6">
        <v>340</v>
      </c>
      <c r="L471" s="9">
        <v>8</v>
      </c>
      <c r="M471" s="2"/>
      <c r="N471" s="2"/>
      <c r="O471" s="2"/>
      <c r="P471" s="2"/>
      <c r="Q471" s="2"/>
      <c r="R471" s="2"/>
      <c r="S471" s="2"/>
      <c r="T471" s="2"/>
      <c r="U471" s="39">
        <f>IF(I471="N",T471*Supuestos!$B$4,T471*Supuestos!$C$4)*100</f>
        <v>0</v>
      </c>
      <c r="V471" s="20">
        <f t="shared" si="39"/>
        <v>0</v>
      </c>
      <c r="W471" s="2">
        <f t="shared" si="37"/>
        <v>0</v>
      </c>
      <c r="X471" s="2">
        <f t="shared" si="38"/>
        <v>0</v>
      </c>
    </row>
    <row r="472" spans="1:24" x14ac:dyDescent="0.25">
      <c r="A472" s="6" t="s">
        <v>15</v>
      </c>
      <c r="B472" s="6" t="s">
        <v>561</v>
      </c>
      <c r="C472" s="6" t="s">
        <v>401</v>
      </c>
      <c r="D472" s="6" t="s">
        <v>72</v>
      </c>
      <c r="E472" s="11" t="str">
        <f t="shared" si="35"/>
        <v>SUV</v>
      </c>
      <c r="F472" s="6" t="s">
        <v>16</v>
      </c>
      <c r="G472" s="11">
        <v>3000</v>
      </c>
      <c r="H472" s="6" t="s">
        <v>1050</v>
      </c>
      <c r="I472" s="6" t="str">
        <f t="shared" si="36"/>
        <v>N</v>
      </c>
      <c r="J472" s="17" t="s">
        <v>9</v>
      </c>
      <c r="K472" s="6">
        <v>340</v>
      </c>
      <c r="L472" s="9">
        <v>8</v>
      </c>
      <c r="M472" s="2"/>
      <c r="N472" s="2"/>
      <c r="O472" s="2"/>
      <c r="P472" s="2"/>
      <c r="Q472" s="2"/>
      <c r="R472" s="2"/>
      <c r="S472" s="2"/>
      <c r="T472" s="2"/>
      <c r="U472" s="39">
        <f>IF(I472="N",T472*Supuestos!$B$4,T472*Supuestos!$C$4)*100</f>
        <v>0</v>
      </c>
      <c r="V472" s="20">
        <f t="shared" si="39"/>
        <v>0</v>
      </c>
      <c r="W472" s="2">
        <f t="shared" si="37"/>
        <v>0</v>
      </c>
      <c r="X472" s="2">
        <f t="shared" si="38"/>
        <v>0</v>
      </c>
    </row>
    <row r="473" spans="1:24" x14ac:dyDescent="0.25">
      <c r="A473" s="6" t="s">
        <v>32</v>
      </c>
      <c r="B473" s="6" t="s">
        <v>196</v>
      </c>
      <c r="C473" s="6" t="s">
        <v>401</v>
      </c>
      <c r="D473" s="6" t="s">
        <v>72</v>
      </c>
      <c r="E473" s="11" t="str">
        <f t="shared" si="35"/>
        <v>SUV</v>
      </c>
      <c r="F473" s="6" t="s">
        <v>14</v>
      </c>
      <c r="G473" s="11">
        <v>1500</v>
      </c>
      <c r="H473" s="6" t="s">
        <v>1050</v>
      </c>
      <c r="I473" s="6" t="str">
        <f t="shared" si="36"/>
        <v>N</v>
      </c>
      <c r="J473" s="17" t="s">
        <v>9</v>
      </c>
      <c r="K473" s="6">
        <v>100</v>
      </c>
      <c r="L473" s="9">
        <v>8</v>
      </c>
      <c r="M473" s="2">
        <v>8</v>
      </c>
      <c r="N473" s="2">
        <v>20990</v>
      </c>
      <c r="O473" s="2" t="s">
        <v>1053</v>
      </c>
      <c r="P473" s="2" t="s">
        <v>1153</v>
      </c>
      <c r="Q473" s="2" t="s">
        <v>429</v>
      </c>
      <c r="R473" s="2">
        <v>1590</v>
      </c>
      <c r="S473" s="2"/>
      <c r="T473" s="2">
        <v>168</v>
      </c>
      <c r="U473" s="39">
        <f>IF(I473="N",T473*Supuestos!$B$4,T473*Supuestos!$C$4)*100</f>
        <v>7.1891107566385015</v>
      </c>
      <c r="V473" s="20">
        <f t="shared" si="39"/>
        <v>13.909926190476192</v>
      </c>
      <c r="W473" s="2">
        <f t="shared" si="37"/>
        <v>1344</v>
      </c>
      <c r="X473" s="2">
        <f t="shared" si="38"/>
        <v>57.512886053108012</v>
      </c>
    </row>
    <row r="474" spans="1:24" x14ac:dyDescent="0.25">
      <c r="A474" s="6" t="s">
        <v>84</v>
      </c>
      <c r="B474" s="6" t="s">
        <v>708</v>
      </c>
      <c r="C474" s="6" t="s">
        <v>401</v>
      </c>
      <c r="D474" s="6" t="s">
        <v>72</v>
      </c>
      <c r="E474" s="11" t="str">
        <f t="shared" si="35"/>
        <v>SUV</v>
      </c>
      <c r="F474" s="6" t="s">
        <v>14</v>
      </c>
      <c r="G474" s="11"/>
      <c r="H474" s="6" t="s">
        <v>1051</v>
      </c>
      <c r="I474" s="6" t="str">
        <f t="shared" si="36"/>
        <v>E</v>
      </c>
      <c r="J474" s="17" t="s">
        <v>418</v>
      </c>
      <c r="K474" s="6">
        <v>161</v>
      </c>
      <c r="L474" s="9">
        <v>8</v>
      </c>
      <c r="M474" s="21">
        <v>8</v>
      </c>
      <c r="N474" s="2">
        <v>38490</v>
      </c>
      <c r="O474" s="2" t="s">
        <v>1341</v>
      </c>
      <c r="P474" s="2"/>
      <c r="Q474" s="2"/>
      <c r="R474" s="2"/>
      <c r="S474" s="2">
        <v>5.4</v>
      </c>
      <c r="T474" s="2"/>
      <c r="U474" s="39">
        <f>IF(I474="N",T474*Supuestos!$B$4,T474*Supuestos!$C$4)*100</f>
        <v>0</v>
      </c>
      <c r="V474" s="20">
        <f t="shared" si="39"/>
        <v>0</v>
      </c>
      <c r="W474" s="2">
        <f t="shared" si="37"/>
        <v>0</v>
      </c>
      <c r="X474" s="2">
        <f t="shared" si="38"/>
        <v>0</v>
      </c>
    </row>
    <row r="475" spans="1:24" x14ac:dyDescent="0.25">
      <c r="A475" s="6" t="s">
        <v>37</v>
      </c>
      <c r="B475" s="6" t="s">
        <v>748</v>
      </c>
      <c r="C475" s="6" t="s">
        <v>401</v>
      </c>
      <c r="D475" s="6" t="s">
        <v>72</v>
      </c>
      <c r="E475" s="11" t="str">
        <f t="shared" si="35"/>
        <v>SUV</v>
      </c>
      <c r="F475" s="6" t="s">
        <v>16</v>
      </c>
      <c r="G475" s="11">
        <v>3600</v>
      </c>
      <c r="H475" s="6" t="s">
        <v>1050</v>
      </c>
      <c r="I475" s="6" t="str">
        <f t="shared" si="36"/>
        <v>N</v>
      </c>
      <c r="J475" s="17" t="s">
        <v>9</v>
      </c>
      <c r="K475" s="6">
        <v>296</v>
      </c>
      <c r="L475" s="9">
        <v>8</v>
      </c>
      <c r="M475" s="2"/>
      <c r="N475" s="2"/>
      <c r="O475" s="2"/>
      <c r="P475" s="2"/>
      <c r="Q475" s="2"/>
      <c r="R475" s="2"/>
      <c r="S475" s="2"/>
      <c r="T475" s="2"/>
      <c r="U475" s="39">
        <f>IF(I475="N",T475*Supuestos!$B$4,T475*Supuestos!$C$4)*100</f>
        <v>0</v>
      </c>
      <c r="V475" s="20">
        <f t="shared" si="39"/>
        <v>0</v>
      </c>
      <c r="W475" s="2">
        <f t="shared" si="37"/>
        <v>0</v>
      </c>
      <c r="X475" s="2">
        <f t="shared" si="38"/>
        <v>0</v>
      </c>
    </row>
    <row r="476" spans="1:24" x14ac:dyDescent="0.25">
      <c r="A476" s="6" t="s">
        <v>60</v>
      </c>
      <c r="B476" s="6" t="s">
        <v>796</v>
      </c>
      <c r="C476" s="6" t="s">
        <v>401</v>
      </c>
      <c r="D476" s="6" t="s">
        <v>72</v>
      </c>
      <c r="E476" s="11" t="str">
        <f t="shared" si="35"/>
        <v>SUV</v>
      </c>
      <c r="F476" s="6" t="s">
        <v>8</v>
      </c>
      <c r="G476" s="11">
        <v>2000</v>
      </c>
      <c r="H476" s="6" t="s">
        <v>1050</v>
      </c>
      <c r="I476" s="6" t="str">
        <f t="shared" si="36"/>
        <v>N</v>
      </c>
      <c r="J476" s="17" t="s">
        <v>419</v>
      </c>
      <c r="K476" s="6">
        <v>300</v>
      </c>
      <c r="L476" s="9">
        <v>8</v>
      </c>
      <c r="M476" s="2"/>
      <c r="N476" s="2"/>
      <c r="O476" s="2"/>
      <c r="P476" s="2"/>
      <c r="Q476" s="2"/>
      <c r="R476" s="2"/>
      <c r="S476" s="2"/>
      <c r="T476" s="2"/>
      <c r="U476" s="39">
        <f>IF(I476="N",T476*Supuestos!$B$4,T476*Supuestos!$C$4)*100</f>
        <v>0</v>
      </c>
      <c r="V476" s="20">
        <f t="shared" si="39"/>
        <v>0</v>
      </c>
      <c r="W476" s="2">
        <f t="shared" si="37"/>
        <v>0</v>
      </c>
      <c r="X476" s="2">
        <f t="shared" si="38"/>
        <v>0</v>
      </c>
    </row>
    <row r="477" spans="1:24" x14ac:dyDescent="0.25">
      <c r="A477" s="6" t="s">
        <v>41</v>
      </c>
      <c r="B477" s="6" t="s">
        <v>817</v>
      </c>
      <c r="C477" s="6" t="s">
        <v>401</v>
      </c>
      <c r="D477" s="6" t="s">
        <v>72</v>
      </c>
      <c r="E477" s="11" t="str">
        <f t="shared" si="35"/>
        <v>SUV</v>
      </c>
      <c r="F477" s="6" t="s">
        <v>45</v>
      </c>
      <c r="G477" s="11">
        <v>2000</v>
      </c>
      <c r="H477" s="6" t="s">
        <v>1050</v>
      </c>
      <c r="I477" s="6" t="str">
        <f t="shared" si="36"/>
        <v>N</v>
      </c>
      <c r="J477" s="17" t="s">
        <v>9</v>
      </c>
      <c r="K477" s="6">
        <v>160</v>
      </c>
      <c r="L477" s="9">
        <v>8</v>
      </c>
      <c r="M477" s="2">
        <v>8</v>
      </c>
      <c r="N477" s="2">
        <v>59990</v>
      </c>
      <c r="O477" s="2" t="s">
        <v>1060</v>
      </c>
      <c r="P477" s="2" t="s">
        <v>466</v>
      </c>
      <c r="Q477" s="2" t="s">
        <v>429</v>
      </c>
      <c r="R477" s="2">
        <v>2120</v>
      </c>
      <c r="S477" s="2"/>
      <c r="T477" s="2">
        <v>178</v>
      </c>
      <c r="U477" s="39">
        <f>IF(I477="N",T477*Supuestos!$B$4,T477*Supuestos!$C$4)*100</f>
        <v>7.6170340159622221</v>
      </c>
      <c r="V477" s="20">
        <f t="shared" si="39"/>
        <v>13.128469662921349</v>
      </c>
      <c r="W477" s="2">
        <f t="shared" si="37"/>
        <v>1424</v>
      </c>
      <c r="X477" s="2">
        <f t="shared" si="38"/>
        <v>60.936272127697777</v>
      </c>
    </row>
    <row r="478" spans="1:24" x14ac:dyDescent="0.25">
      <c r="A478" s="6" t="s">
        <v>62</v>
      </c>
      <c r="B478" s="6" t="s">
        <v>302</v>
      </c>
      <c r="C478" s="6" t="s">
        <v>401</v>
      </c>
      <c r="D478" s="6" t="s">
        <v>72</v>
      </c>
      <c r="E478" s="11" t="str">
        <f t="shared" si="35"/>
        <v>SUV</v>
      </c>
      <c r="F478" s="6" t="s">
        <v>57</v>
      </c>
      <c r="G478" s="11">
        <v>1200</v>
      </c>
      <c r="H478" s="6" t="s">
        <v>1050</v>
      </c>
      <c r="I478" s="6" t="str">
        <f t="shared" si="36"/>
        <v>N</v>
      </c>
      <c r="J478" s="17" t="s">
        <v>9</v>
      </c>
      <c r="K478" s="6">
        <v>155</v>
      </c>
      <c r="L478" s="9">
        <v>8</v>
      </c>
      <c r="M478" s="2">
        <v>8</v>
      </c>
      <c r="N478" s="2">
        <v>44500</v>
      </c>
      <c r="O478" s="2" t="s">
        <v>1053</v>
      </c>
      <c r="P478" s="2"/>
      <c r="Q478" s="2" t="s">
        <v>422</v>
      </c>
      <c r="R478" s="2">
        <v>1740</v>
      </c>
      <c r="S478" s="2"/>
      <c r="T478" s="2">
        <v>148</v>
      </c>
      <c r="U478" s="39">
        <f>IF(I478="N",T478*Supuestos!$B$4,T478*Supuestos!$C$4)*100</f>
        <v>6.3332642379910613</v>
      </c>
      <c r="V478" s="20">
        <f t="shared" si="39"/>
        <v>15.789645945945946</v>
      </c>
      <c r="W478" s="2">
        <f t="shared" si="37"/>
        <v>1184</v>
      </c>
      <c r="X478" s="2">
        <f t="shared" si="38"/>
        <v>50.66611390392849</v>
      </c>
    </row>
    <row r="479" spans="1:24" x14ac:dyDescent="0.25">
      <c r="A479" s="6" t="s">
        <v>62</v>
      </c>
      <c r="B479" s="6" t="s">
        <v>304</v>
      </c>
      <c r="C479" s="6" t="s">
        <v>401</v>
      </c>
      <c r="D479" s="6" t="s">
        <v>72</v>
      </c>
      <c r="E479" s="11" t="str">
        <f t="shared" si="35"/>
        <v>SUV</v>
      </c>
      <c r="F479" s="6" t="s">
        <v>26</v>
      </c>
      <c r="G479" s="11">
        <v>1600</v>
      </c>
      <c r="H479" s="6" t="s">
        <v>1050</v>
      </c>
      <c r="I479" s="6" t="str">
        <f t="shared" si="36"/>
        <v>N</v>
      </c>
      <c r="J479" s="17" t="s">
        <v>420</v>
      </c>
      <c r="K479" s="6">
        <v>300</v>
      </c>
      <c r="L479" s="9">
        <v>8</v>
      </c>
      <c r="M479" s="2">
        <v>8</v>
      </c>
      <c r="N479" s="2">
        <v>72000</v>
      </c>
      <c r="O479" s="2" t="s">
        <v>1060</v>
      </c>
      <c r="P479" s="2" t="s">
        <v>461</v>
      </c>
      <c r="Q479" s="2" t="s">
        <v>424</v>
      </c>
      <c r="R479" s="2">
        <v>2330</v>
      </c>
      <c r="S479" s="2"/>
      <c r="T479" s="2">
        <v>38</v>
      </c>
      <c r="U479" s="39">
        <f>IF(I479="N",T479*Supuestos!$B$4,T479*Supuestos!$C$4)*100</f>
        <v>1.6261083854301372</v>
      </c>
      <c r="V479" s="20">
        <f t="shared" si="39"/>
        <v>61.49651578947369</v>
      </c>
      <c r="W479" s="2">
        <f t="shared" si="37"/>
        <v>304</v>
      </c>
      <c r="X479" s="2">
        <f t="shared" si="38"/>
        <v>13.008867083441098</v>
      </c>
    </row>
    <row r="480" spans="1:24" x14ac:dyDescent="0.25">
      <c r="A480" s="6" t="s">
        <v>52</v>
      </c>
      <c r="B480" s="6" t="s">
        <v>999</v>
      </c>
      <c r="C480" s="6" t="s">
        <v>401</v>
      </c>
      <c r="D480" s="6" t="s">
        <v>72</v>
      </c>
      <c r="E480" s="11" t="str">
        <f t="shared" si="35"/>
        <v>SUV</v>
      </c>
      <c r="F480" s="6" t="s">
        <v>64</v>
      </c>
      <c r="G480" s="11">
        <v>1000</v>
      </c>
      <c r="H480" s="6" t="s">
        <v>1050</v>
      </c>
      <c r="I480" s="6" t="str">
        <f t="shared" si="36"/>
        <v>N</v>
      </c>
      <c r="J480" s="17" t="s">
        <v>9</v>
      </c>
      <c r="K480" s="6">
        <v>97</v>
      </c>
      <c r="L480" s="9">
        <v>8</v>
      </c>
      <c r="M480" s="2">
        <v>8</v>
      </c>
      <c r="N480" s="2">
        <v>30990</v>
      </c>
      <c r="O480" s="2" t="s">
        <v>1060</v>
      </c>
      <c r="P480" s="2" t="s">
        <v>1177</v>
      </c>
      <c r="Q480" s="2" t="s">
        <v>424</v>
      </c>
      <c r="R480" s="2">
        <v>1680</v>
      </c>
      <c r="S480" s="2"/>
      <c r="T480" s="2">
        <v>127</v>
      </c>
      <c r="U480" s="39">
        <f>IF(I480="N",T480*Supuestos!$B$4,T480*Supuestos!$C$4)*100</f>
        <v>5.434625393411249</v>
      </c>
      <c r="V480" s="20">
        <f t="shared" si="39"/>
        <v>18.400532283464564</v>
      </c>
      <c r="W480" s="2">
        <f t="shared" si="37"/>
        <v>1016</v>
      </c>
      <c r="X480" s="2">
        <f t="shared" si="38"/>
        <v>43.477003147289992</v>
      </c>
    </row>
    <row r="481" spans="1:24" x14ac:dyDescent="0.25">
      <c r="A481" s="6" t="s">
        <v>54</v>
      </c>
      <c r="B481" s="6" t="s">
        <v>1036</v>
      </c>
      <c r="C481" s="6" t="s">
        <v>401</v>
      </c>
      <c r="D481" s="6" t="s">
        <v>72</v>
      </c>
      <c r="E481" s="11" t="str">
        <f t="shared" si="35"/>
        <v>SUV</v>
      </c>
      <c r="F481" s="6" t="s">
        <v>417</v>
      </c>
      <c r="G481" s="11"/>
      <c r="H481" s="6" t="s">
        <v>1051</v>
      </c>
      <c r="I481" s="6" t="str">
        <f t="shared" si="36"/>
        <v>E</v>
      </c>
      <c r="J481" s="17" t="s">
        <v>418</v>
      </c>
      <c r="K481" s="6">
        <v>231</v>
      </c>
      <c r="L481" s="9">
        <v>8</v>
      </c>
      <c r="M481" s="21">
        <v>8</v>
      </c>
      <c r="N481" s="2">
        <v>78990</v>
      </c>
      <c r="O481" s="2" t="s">
        <v>1060</v>
      </c>
      <c r="P481" s="2" t="s">
        <v>1349</v>
      </c>
      <c r="Q481" s="2"/>
      <c r="R481" s="2">
        <v>2620</v>
      </c>
      <c r="S481" s="2">
        <v>6.6</v>
      </c>
      <c r="T481" s="2"/>
      <c r="U481" s="39">
        <f>IF(I481="N",T481*Supuestos!$B$4,T481*Supuestos!$C$4)*100</f>
        <v>0</v>
      </c>
      <c r="V481" s="20">
        <f t="shared" si="39"/>
        <v>0</v>
      </c>
      <c r="W481" s="2">
        <f t="shared" si="37"/>
        <v>0</v>
      </c>
      <c r="X481" s="2">
        <f t="shared" si="38"/>
        <v>0</v>
      </c>
    </row>
    <row r="482" spans="1:24" x14ac:dyDescent="0.25">
      <c r="A482" s="6" t="s">
        <v>32</v>
      </c>
      <c r="B482" s="6" t="s">
        <v>681</v>
      </c>
      <c r="C482" s="6" t="s">
        <v>401</v>
      </c>
      <c r="D482" s="6" t="s">
        <v>72</v>
      </c>
      <c r="E482" s="11" t="str">
        <f t="shared" si="35"/>
        <v>SUV</v>
      </c>
      <c r="F482" s="6" t="s">
        <v>14</v>
      </c>
      <c r="G482" s="11">
        <v>1500</v>
      </c>
      <c r="H482" s="6" t="s">
        <v>1050</v>
      </c>
      <c r="I482" s="6" t="str">
        <f t="shared" si="36"/>
        <v>N</v>
      </c>
      <c r="J482" s="17" t="s">
        <v>9</v>
      </c>
      <c r="K482" s="6">
        <v>100</v>
      </c>
      <c r="L482" s="9">
        <v>7</v>
      </c>
      <c r="M482" s="2">
        <v>7</v>
      </c>
      <c r="N482" s="2">
        <v>19490</v>
      </c>
      <c r="O482" s="2" t="s">
        <v>1053</v>
      </c>
      <c r="P482" s="2" t="s">
        <v>1153</v>
      </c>
      <c r="Q482" s="2" t="s">
        <v>429</v>
      </c>
      <c r="R482" s="2">
        <v>1590</v>
      </c>
      <c r="S482" s="2"/>
      <c r="T482" s="2">
        <v>168</v>
      </c>
      <c r="U482" s="39">
        <f>IF(I482="N",T482*Supuestos!$B$4,T482*Supuestos!$C$4)*100</f>
        <v>7.1891107566385015</v>
      </c>
      <c r="V482" s="20">
        <f t="shared" si="39"/>
        <v>13.909926190476192</v>
      </c>
      <c r="W482" s="2">
        <f t="shared" si="37"/>
        <v>1176</v>
      </c>
      <c r="X482" s="2">
        <f t="shared" si="38"/>
        <v>50.323775296469513</v>
      </c>
    </row>
    <row r="483" spans="1:24" x14ac:dyDescent="0.25">
      <c r="A483" s="6" t="s">
        <v>84</v>
      </c>
      <c r="B483" s="6" t="s">
        <v>707</v>
      </c>
      <c r="C483" s="6" t="s">
        <v>401</v>
      </c>
      <c r="D483" s="6" t="s">
        <v>72</v>
      </c>
      <c r="E483" s="11" t="str">
        <f t="shared" si="35"/>
        <v>SUV</v>
      </c>
      <c r="F483" s="6" t="s">
        <v>14</v>
      </c>
      <c r="G483" s="11"/>
      <c r="H483" s="6" t="s">
        <v>1051</v>
      </c>
      <c r="I483" s="6" t="str">
        <f t="shared" si="36"/>
        <v>E</v>
      </c>
      <c r="J483" s="17" t="s">
        <v>418</v>
      </c>
      <c r="K483" s="6">
        <v>94</v>
      </c>
      <c r="L483" s="9">
        <v>7</v>
      </c>
      <c r="M483" s="21">
        <v>7</v>
      </c>
      <c r="N483" s="2">
        <v>28990</v>
      </c>
      <c r="O483" s="2" t="s">
        <v>1341</v>
      </c>
      <c r="P483" s="2"/>
      <c r="Q483" s="2"/>
      <c r="R483" s="2"/>
      <c r="S483" s="2">
        <v>7.5</v>
      </c>
      <c r="T483" s="2"/>
      <c r="U483" s="39">
        <f>IF(I483="N",T483*Supuestos!$B$4,T483*Supuestos!$C$4)*100</f>
        <v>0</v>
      </c>
      <c r="V483" s="20">
        <f t="shared" si="39"/>
        <v>0</v>
      </c>
      <c r="W483" s="2">
        <f t="shared" si="37"/>
        <v>0</v>
      </c>
      <c r="X483" s="2">
        <f t="shared" si="38"/>
        <v>0</v>
      </c>
    </row>
    <row r="484" spans="1:24" x14ac:dyDescent="0.25">
      <c r="A484" s="6" t="s">
        <v>37</v>
      </c>
      <c r="B484" s="6" t="s">
        <v>234</v>
      </c>
      <c r="C484" s="6" t="s">
        <v>401</v>
      </c>
      <c r="D484" s="6" t="s">
        <v>72</v>
      </c>
      <c r="E484" s="11" t="str">
        <f t="shared" si="35"/>
        <v>SUV</v>
      </c>
      <c r="F484" s="6" t="s">
        <v>16</v>
      </c>
      <c r="G484" s="11">
        <v>3600</v>
      </c>
      <c r="H484" s="6" t="s">
        <v>1050</v>
      </c>
      <c r="I484" s="6" t="str">
        <f t="shared" si="36"/>
        <v>N</v>
      </c>
      <c r="J484" s="17" t="s">
        <v>9</v>
      </c>
      <c r="K484" s="6">
        <v>292</v>
      </c>
      <c r="L484" s="9">
        <v>7</v>
      </c>
      <c r="M484" s="2"/>
      <c r="N484" s="2"/>
      <c r="O484" s="2"/>
      <c r="P484" s="2"/>
      <c r="Q484" s="2"/>
      <c r="R484" s="2"/>
      <c r="S484" s="2"/>
      <c r="T484" s="2"/>
      <c r="U484" s="39">
        <f>IF(I484="N",T484*Supuestos!$B$4,T484*Supuestos!$C$4)*100</f>
        <v>0</v>
      </c>
      <c r="V484" s="20">
        <f t="shared" si="39"/>
        <v>0</v>
      </c>
      <c r="W484" s="2">
        <f t="shared" si="37"/>
        <v>0</v>
      </c>
      <c r="X484" s="2">
        <f t="shared" si="38"/>
        <v>0</v>
      </c>
    </row>
    <row r="485" spans="1:24" x14ac:dyDescent="0.25">
      <c r="A485" s="6" t="s">
        <v>41</v>
      </c>
      <c r="B485" s="6" t="s">
        <v>812</v>
      </c>
      <c r="C485" s="6" t="s">
        <v>401</v>
      </c>
      <c r="D485" s="6" t="s">
        <v>72</v>
      </c>
      <c r="E485" s="11" t="str">
        <f t="shared" si="35"/>
        <v>SUV</v>
      </c>
      <c r="F485" s="6" t="s">
        <v>45</v>
      </c>
      <c r="G485" s="11">
        <v>2500</v>
      </c>
      <c r="H485" s="6" t="s">
        <v>1050</v>
      </c>
      <c r="I485" s="6" t="str">
        <f t="shared" si="36"/>
        <v>N</v>
      </c>
      <c r="J485" s="17" t="s">
        <v>9</v>
      </c>
      <c r="K485" s="6">
        <v>250</v>
      </c>
      <c r="L485" s="9">
        <v>7</v>
      </c>
      <c r="M485" s="2"/>
      <c r="N485" s="2"/>
      <c r="O485" s="2"/>
      <c r="P485" s="2"/>
      <c r="Q485" s="2"/>
      <c r="R485" s="2"/>
      <c r="S485" s="2"/>
      <c r="T485" s="2"/>
      <c r="U485" s="39">
        <f>IF(I485="N",T485*Supuestos!$B$4,T485*Supuestos!$C$4)*100</f>
        <v>0</v>
      </c>
      <c r="V485" s="20">
        <f t="shared" si="39"/>
        <v>0</v>
      </c>
      <c r="W485" s="2">
        <f t="shared" si="37"/>
        <v>0</v>
      </c>
      <c r="X485" s="2">
        <f t="shared" si="38"/>
        <v>0</v>
      </c>
    </row>
    <row r="486" spans="1:24" x14ac:dyDescent="0.25">
      <c r="A486" s="6" t="s">
        <v>42</v>
      </c>
      <c r="B486" s="6" t="s">
        <v>835</v>
      </c>
      <c r="C486" s="6" t="s">
        <v>401</v>
      </c>
      <c r="D486" s="6" t="s">
        <v>72</v>
      </c>
      <c r="E486" s="11" t="str">
        <f t="shared" si="35"/>
        <v>SUV</v>
      </c>
      <c r="F486" s="6" t="s">
        <v>11</v>
      </c>
      <c r="G486" s="11">
        <v>2000</v>
      </c>
      <c r="H486" s="6" t="s">
        <v>1050</v>
      </c>
      <c r="I486" s="6" t="str">
        <f t="shared" si="36"/>
        <v>N</v>
      </c>
      <c r="J486" s="17" t="s">
        <v>420</v>
      </c>
      <c r="K486" s="6">
        <v>313</v>
      </c>
      <c r="L486" s="9">
        <v>7</v>
      </c>
      <c r="M486" s="2"/>
      <c r="N486" s="2"/>
      <c r="O486" s="2"/>
      <c r="P486" s="2"/>
      <c r="Q486" s="2"/>
      <c r="R486" s="2"/>
      <c r="S486" s="2"/>
      <c r="T486" s="2"/>
      <c r="U486" s="39">
        <f>IF(I486="N",T486*Supuestos!$B$4,T486*Supuestos!$C$4)*100</f>
        <v>0</v>
      </c>
      <c r="V486" s="20">
        <f t="shared" si="39"/>
        <v>0</v>
      </c>
      <c r="W486" s="2">
        <f t="shared" si="37"/>
        <v>0</v>
      </c>
      <c r="X486" s="2">
        <f t="shared" si="38"/>
        <v>0</v>
      </c>
    </row>
    <row r="487" spans="1:24" x14ac:dyDescent="0.25">
      <c r="A487" s="6" t="s">
        <v>48</v>
      </c>
      <c r="B487" s="6" t="s">
        <v>318</v>
      </c>
      <c r="C487" s="6" t="s">
        <v>401</v>
      </c>
      <c r="D487" s="6" t="s">
        <v>72</v>
      </c>
      <c r="E487" s="11" t="str">
        <f t="shared" si="35"/>
        <v>SUV</v>
      </c>
      <c r="F487" s="6" t="s">
        <v>21</v>
      </c>
      <c r="G487" s="11">
        <v>1600</v>
      </c>
      <c r="H487" s="6" t="s">
        <v>1050</v>
      </c>
      <c r="I487" s="6" t="str">
        <f t="shared" si="36"/>
        <v>N</v>
      </c>
      <c r="J487" s="17" t="s">
        <v>9</v>
      </c>
      <c r="K487" s="6">
        <v>118</v>
      </c>
      <c r="L487" s="9">
        <v>7</v>
      </c>
      <c r="M487" s="2">
        <v>7</v>
      </c>
      <c r="N487" s="2">
        <v>29490</v>
      </c>
      <c r="O487" s="2" t="s">
        <v>1060</v>
      </c>
      <c r="P487" s="2" t="s">
        <v>1172</v>
      </c>
      <c r="Q487" s="2" t="s">
        <v>424</v>
      </c>
      <c r="R487" s="2">
        <v>1785</v>
      </c>
      <c r="S487" s="2"/>
      <c r="T487" s="2">
        <v>159</v>
      </c>
      <c r="U487" s="39">
        <f>IF(I487="N",T487*Supuestos!$B$4,T487*Supuestos!$C$4)*100</f>
        <v>6.803979823247154</v>
      </c>
      <c r="V487" s="20">
        <f t="shared" si="39"/>
        <v>14.697280503144654</v>
      </c>
      <c r="W487" s="2">
        <f t="shared" si="37"/>
        <v>1113</v>
      </c>
      <c r="X487" s="2">
        <f t="shared" si="38"/>
        <v>47.627858762730078</v>
      </c>
    </row>
    <row r="488" spans="1:24" x14ac:dyDescent="0.25">
      <c r="A488" s="6" t="s">
        <v>53</v>
      </c>
      <c r="B488" s="6" t="s">
        <v>1025</v>
      </c>
      <c r="C488" s="6" t="s">
        <v>401</v>
      </c>
      <c r="D488" s="6" t="s">
        <v>72</v>
      </c>
      <c r="E488" s="11" t="str">
        <f t="shared" si="35"/>
        <v>SUV</v>
      </c>
      <c r="F488" s="6" t="s">
        <v>23</v>
      </c>
      <c r="G488" s="11">
        <v>1400</v>
      </c>
      <c r="H488" s="6" t="s">
        <v>1050</v>
      </c>
      <c r="I488" s="6" t="str">
        <f t="shared" si="36"/>
        <v>N</v>
      </c>
      <c r="J488" s="17" t="s">
        <v>9</v>
      </c>
      <c r="K488" s="6">
        <v>150</v>
      </c>
      <c r="L488" s="9">
        <v>7</v>
      </c>
      <c r="M488" s="2">
        <v>7</v>
      </c>
      <c r="N488" s="2">
        <v>41590</v>
      </c>
      <c r="O488" s="2" t="s">
        <v>1053</v>
      </c>
      <c r="P488" s="2" t="s">
        <v>1137</v>
      </c>
      <c r="Q488" s="2" t="s">
        <v>424</v>
      </c>
      <c r="R488" s="2">
        <v>1890</v>
      </c>
      <c r="S488" s="2"/>
      <c r="T488" s="2">
        <v>151</v>
      </c>
      <c r="U488" s="39">
        <f>IF(I488="N",T488*Supuestos!$B$4,T488*Supuestos!$C$4)*100</f>
        <v>6.4616412157881777</v>
      </c>
      <c r="V488" s="20">
        <f t="shared" si="39"/>
        <v>15.475944370860926</v>
      </c>
      <c r="W488" s="2">
        <f t="shared" si="37"/>
        <v>1057</v>
      </c>
      <c r="X488" s="2">
        <f t="shared" si="38"/>
        <v>45.231488510517245</v>
      </c>
    </row>
    <row r="489" spans="1:24" x14ac:dyDescent="0.25">
      <c r="A489" s="6" t="s">
        <v>54</v>
      </c>
      <c r="B489" s="6" t="s">
        <v>1042</v>
      </c>
      <c r="C489" s="6" t="s">
        <v>401</v>
      </c>
      <c r="D489" s="6" t="s">
        <v>72</v>
      </c>
      <c r="E489" s="11" t="str">
        <f t="shared" si="35"/>
        <v>SUV</v>
      </c>
      <c r="F489" s="6" t="s">
        <v>55</v>
      </c>
      <c r="G489" s="11">
        <v>2000</v>
      </c>
      <c r="H489" s="6" t="s">
        <v>1050</v>
      </c>
      <c r="I489" s="6" t="str">
        <f t="shared" si="36"/>
        <v>N</v>
      </c>
      <c r="J489" s="17" t="s">
        <v>420</v>
      </c>
      <c r="K489" s="6">
        <v>465</v>
      </c>
      <c r="L489" s="9">
        <v>7</v>
      </c>
      <c r="M489" s="2">
        <v>7</v>
      </c>
      <c r="N489" s="2">
        <v>121990</v>
      </c>
      <c r="O489" s="2" t="s">
        <v>1060</v>
      </c>
      <c r="P489" s="2" t="s">
        <v>1228</v>
      </c>
      <c r="Q489" s="2" t="s">
        <v>424</v>
      </c>
      <c r="R489" s="2">
        <v>2660</v>
      </c>
      <c r="S489" s="2"/>
      <c r="T489" s="2">
        <v>37</v>
      </c>
      <c r="U489" s="39">
        <f>IF(I489="N",T489*Supuestos!$B$4,T489*Supuestos!$C$4)*100</f>
        <v>1.5833160594977653</v>
      </c>
      <c r="V489" s="20">
        <f t="shared" si="39"/>
        <v>63.158583783783783</v>
      </c>
      <c r="W489" s="2">
        <f t="shared" si="37"/>
        <v>259</v>
      </c>
      <c r="X489" s="2">
        <f t="shared" si="38"/>
        <v>11.083212416484358</v>
      </c>
    </row>
    <row r="490" spans="1:24" x14ac:dyDescent="0.25">
      <c r="A490" s="6" t="s">
        <v>10</v>
      </c>
      <c r="B490" s="6" t="s">
        <v>106</v>
      </c>
      <c r="C490" s="6" t="s">
        <v>401</v>
      </c>
      <c r="D490" s="6" t="s">
        <v>72</v>
      </c>
      <c r="E490" s="11" t="str">
        <f t="shared" si="35"/>
        <v>SUV</v>
      </c>
      <c r="F490" s="6" t="s">
        <v>24</v>
      </c>
      <c r="G490" s="11">
        <v>2000</v>
      </c>
      <c r="H490" s="6" t="s">
        <v>1050</v>
      </c>
      <c r="I490" s="6" t="str">
        <f t="shared" si="36"/>
        <v>N</v>
      </c>
      <c r="J490" s="17" t="s">
        <v>419</v>
      </c>
      <c r="K490" s="6">
        <v>245</v>
      </c>
      <c r="L490" s="9">
        <v>6</v>
      </c>
      <c r="M490" s="2">
        <v>6</v>
      </c>
      <c r="N490" s="2">
        <v>81300</v>
      </c>
      <c r="O490" s="2" t="s">
        <v>1053</v>
      </c>
      <c r="P490" s="2" t="s">
        <v>1212</v>
      </c>
      <c r="Q490" s="2" t="s">
        <v>422</v>
      </c>
      <c r="R490" s="2">
        <v>2900</v>
      </c>
      <c r="S490" s="2"/>
      <c r="T490" s="2">
        <v>183</v>
      </c>
      <c r="U490" s="39">
        <f>IF(I490="N",T490*Supuestos!$B$4,T490*Supuestos!$C$4)*100</f>
        <v>7.8309956456240819</v>
      </c>
      <c r="V490" s="20">
        <f t="shared" si="39"/>
        <v>12.769768306010929</v>
      </c>
      <c r="W490" s="2">
        <f t="shared" si="37"/>
        <v>1098</v>
      </c>
      <c r="X490" s="2">
        <f t="shared" si="38"/>
        <v>46.985973873744491</v>
      </c>
    </row>
    <row r="491" spans="1:24" x14ac:dyDescent="0.25">
      <c r="A491" s="6" t="s">
        <v>80</v>
      </c>
      <c r="B491" s="6" t="s">
        <v>509</v>
      </c>
      <c r="C491" s="6" t="s">
        <v>401</v>
      </c>
      <c r="D491" s="6" t="s">
        <v>72</v>
      </c>
      <c r="E491" s="11" t="str">
        <f t="shared" si="35"/>
        <v>SUV</v>
      </c>
      <c r="F491" s="6" t="s">
        <v>14</v>
      </c>
      <c r="G491" s="11">
        <v>1200</v>
      </c>
      <c r="H491" s="6" t="s">
        <v>1050</v>
      </c>
      <c r="I491" s="6" t="str">
        <f t="shared" si="36"/>
        <v>N</v>
      </c>
      <c r="J491" s="17" t="s">
        <v>9</v>
      </c>
      <c r="K491" s="6">
        <v>142</v>
      </c>
      <c r="L491" s="9">
        <v>6</v>
      </c>
      <c r="M491" s="2"/>
      <c r="N491" s="2"/>
      <c r="O491" s="2"/>
      <c r="P491" s="2"/>
      <c r="Q491" s="2"/>
      <c r="R491" s="2"/>
      <c r="S491" s="2"/>
      <c r="T491" s="2"/>
      <c r="U491" s="39">
        <f>IF(I491="N",T491*Supuestos!$B$4,T491*Supuestos!$C$4)*100</f>
        <v>0</v>
      </c>
      <c r="V491" s="20">
        <f t="shared" si="39"/>
        <v>0</v>
      </c>
      <c r="W491" s="2">
        <f t="shared" si="37"/>
        <v>0</v>
      </c>
      <c r="X491" s="2">
        <f t="shared" si="38"/>
        <v>0</v>
      </c>
    </row>
    <row r="492" spans="1:24" x14ac:dyDescent="0.25">
      <c r="A492" s="6" t="s">
        <v>15</v>
      </c>
      <c r="B492" s="6" t="s">
        <v>552</v>
      </c>
      <c r="C492" s="6" t="s">
        <v>401</v>
      </c>
      <c r="D492" s="6" t="s">
        <v>72</v>
      </c>
      <c r="E492" s="11" t="str">
        <f t="shared" si="35"/>
        <v>SUV</v>
      </c>
      <c r="F492" s="6" t="s">
        <v>16</v>
      </c>
      <c r="G492" s="11">
        <v>3000</v>
      </c>
      <c r="H492" s="6" t="s">
        <v>1050</v>
      </c>
      <c r="I492" s="6" t="str">
        <f t="shared" si="36"/>
        <v>N</v>
      </c>
      <c r="J492" s="17" t="s">
        <v>9</v>
      </c>
      <c r="K492" s="6">
        <v>388</v>
      </c>
      <c r="L492" s="9">
        <v>6</v>
      </c>
      <c r="M492" s="2"/>
      <c r="N492" s="2"/>
      <c r="O492" s="2"/>
      <c r="P492" s="2"/>
      <c r="Q492" s="2"/>
      <c r="R492" s="2"/>
      <c r="S492" s="2"/>
      <c r="T492" s="2"/>
      <c r="U492" s="39">
        <f>IF(I492="N",T492*Supuestos!$B$4,T492*Supuestos!$C$4)*100</f>
        <v>0</v>
      </c>
      <c r="V492" s="20">
        <f t="shared" si="39"/>
        <v>0</v>
      </c>
      <c r="W492" s="2">
        <f t="shared" si="37"/>
        <v>0</v>
      </c>
      <c r="X492" s="2">
        <f t="shared" si="38"/>
        <v>0</v>
      </c>
    </row>
    <row r="493" spans="1:24" x14ac:dyDescent="0.25">
      <c r="A493" s="6" t="s">
        <v>19</v>
      </c>
      <c r="B493" s="6" t="s">
        <v>617</v>
      </c>
      <c r="C493" s="6" t="s">
        <v>401</v>
      </c>
      <c r="D493" s="6" t="s">
        <v>72</v>
      </c>
      <c r="E493" s="11" t="str">
        <f t="shared" si="35"/>
        <v>SUV</v>
      </c>
      <c r="F493" s="6" t="s">
        <v>21</v>
      </c>
      <c r="G493" s="11">
        <v>1800</v>
      </c>
      <c r="H493" s="6" t="s">
        <v>1050</v>
      </c>
      <c r="I493" s="6" t="str">
        <f t="shared" si="36"/>
        <v>N</v>
      </c>
      <c r="J493" s="17" t="s">
        <v>9</v>
      </c>
      <c r="K493" s="6">
        <v>105</v>
      </c>
      <c r="L493" s="9">
        <v>6</v>
      </c>
      <c r="M493" s="2">
        <v>6</v>
      </c>
      <c r="N493" s="2">
        <v>26990</v>
      </c>
      <c r="O493" s="2" t="s">
        <v>1060</v>
      </c>
      <c r="P493" s="2" t="s">
        <v>1218</v>
      </c>
      <c r="Q493" s="2" t="s">
        <v>424</v>
      </c>
      <c r="R493" s="2">
        <v>1761</v>
      </c>
      <c r="S493" s="2"/>
      <c r="T493" s="2">
        <v>180</v>
      </c>
      <c r="U493" s="39">
        <f>IF(I493="N",T493*Supuestos!$B$4,T493*Supuestos!$C$4)*100</f>
        <v>7.7026186678269664</v>
      </c>
      <c r="V493" s="20">
        <f t="shared" si="39"/>
        <v>12.982597777777778</v>
      </c>
      <c r="W493" s="2">
        <f t="shared" si="37"/>
        <v>1080</v>
      </c>
      <c r="X493" s="2">
        <f t="shared" si="38"/>
        <v>46.215712006961795</v>
      </c>
    </row>
    <row r="494" spans="1:24" x14ac:dyDescent="0.25">
      <c r="A494" s="6" t="s">
        <v>27</v>
      </c>
      <c r="B494" s="6" t="s">
        <v>645</v>
      </c>
      <c r="C494" s="6" t="s">
        <v>401</v>
      </c>
      <c r="D494" s="6" t="s">
        <v>72</v>
      </c>
      <c r="E494" s="11" t="str">
        <f t="shared" si="35"/>
        <v>SUV</v>
      </c>
      <c r="F494" s="6" t="s">
        <v>14</v>
      </c>
      <c r="G494" s="11"/>
      <c r="H494" s="6" t="s">
        <v>1051</v>
      </c>
      <c r="I494" s="6" t="str">
        <f t="shared" si="36"/>
        <v>E</v>
      </c>
      <c r="J494" s="17" t="s">
        <v>418</v>
      </c>
      <c r="K494" s="6">
        <v>163</v>
      </c>
      <c r="L494" s="9">
        <v>6</v>
      </c>
      <c r="M494" s="21">
        <v>6</v>
      </c>
      <c r="N494" s="2">
        <v>37950</v>
      </c>
      <c r="O494" s="2" t="s">
        <v>1060</v>
      </c>
      <c r="P494" s="2" t="s">
        <v>1371</v>
      </c>
      <c r="Q494" s="2"/>
      <c r="R494" s="2">
        <v>2065</v>
      </c>
      <c r="S494" s="2">
        <v>4.4000000000000004</v>
      </c>
      <c r="T494" s="2"/>
      <c r="U494" s="39">
        <f>IF(I494="N",T494*Supuestos!$B$4,T494*Supuestos!$C$4)*100</f>
        <v>0</v>
      </c>
      <c r="V494" s="20">
        <f t="shared" si="39"/>
        <v>0</v>
      </c>
      <c r="W494" s="2">
        <f t="shared" si="37"/>
        <v>0</v>
      </c>
      <c r="X494" s="2">
        <f t="shared" si="38"/>
        <v>0</v>
      </c>
    </row>
    <row r="495" spans="1:24" x14ac:dyDescent="0.25">
      <c r="A495" s="6" t="s">
        <v>29</v>
      </c>
      <c r="B495" s="6" t="s">
        <v>663</v>
      </c>
      <c r="C495" s="6" t="s">
        <v>401</v>
      </c>
      <c r="D495" s="6" t="s">
        <v>72</v>
      </c>
      <c r="E495" s="11" t="str">
        <f t="shared" si="35"/>
        <v>SUV</v>
      </c>
      <c r="F495" s="6" t="s">
        <v>21</v>
      </c>
      <c r="G495" s="11">
        <v>1000</v>
      </c>
      <c r="H495" s="6" t="s">
        <v>1050</v>
      </c>
      <c r="I495" s="6" t="str">
        <f t="shared" si="36"/>
        <v>N</v>
      </c>
      <c r="J495" s="17" t="s">
        <v>9</v>
      </c>
      <c r="K495" s="6">
        <v>125</v>
      </c>
      <c r="L495" s="9">
        <v>6</v>
      </c>
      <c r="M495" s="2">
        <v>6</v>
      </c>
      <c r="N495" s="2">
        <v>27990</v>
      </c>
      <c r="O495" s="2" t="s">
        <v>1060</v>
      </c>
      <c r="P495" s="2" t="s">
        <v>1141</v>
      </c>
      <c r="Q495" s="2" t="s">
        <v>1107</v>
      </c>
      <c r="R495" s="2">
        <v>1637</v>
      </c>
      <c r="S495" s="2"/>
      <c r="T495" s="2">
        <v>162</v>
      </c>
      <c r="U495" s="39">
        <f>IF(I495="N",T495*Supuestos!$B$4,T495*Supuestos!$C$4)*100</f>
        <v>6.9323568010442687</v>
      </c>
      <c r="V495" s="20">
        <f t="shared" si="39"/>
        <v>14.42510864197531</v>
      </c>
      <c r="W495" s="2">
        <f t="shared" si="37"/>
        <v>972</v>
      </c>
      <c r="X495" s="2">
        <f t="shared" si="38"/>
        <v>41.594140806265614</v>
      </c>
    </row>
    <row r="496" spans="1:24" x14ac:dyDescent="0.25">
      <c r="A496" s="6" t="s">
        <v>58</v>
      </c>
      <c r="B496" s="6" t="s">
        <v>692</v>
      </c>
      <c r="C496" s="6" t="s">
        <v>401</v>
      </c>
      <c r="D496" s="6" t="s">
        <v>72</v>
      </c>
      <c r="E496" s="11" t="str">
        <f t="shared" si="35"/>
        <v>SUV</v>
      </c>
      <c r="F496" s="6" t="s">
        <v>14</v>
      </c>
      <c r="G496" s="11">
        <v>1500</v>
      </c>
      <c r="H496" s="6" t="s">
        <v>1050</v>
      </c>
      <c r="I496" s="6" t="str">
        <f t="shared" si="36"/>
        <v>N</v>
      </c>
      <c r="J496" s="17" t="s">
        <v>421</v>
      </c>
      <c r="K496" s="6">
        <v>243</v>
      </c>
      <c r="L496" s="9">
        <v>6</v>
      </c>
      <c r="M496" s="2"/>
      <c r="N496" s="2"/>
      <c r="O496" s="2"/>
      <c r="P496" s="2"/>
      <c r="Q496" s="2"/>
      <c r="R496" s="2"/>
      <c r="S496" s="2"/>
      <c r="T496" s="2"/>
      <c r="U496" s="39">
        <f>IF(I496="N",T496*Supuestos!$B$4,T496*Supuestos!$C$4)*100</f>
        <v>0</v>
      </c>
      <c r="V496" s="20">
        <f t="shared" si="39"/>
        <v>0</v>
      </c>
      <c r="W496" s="2">
        <f t="shared" si="37"/>
        <v>0</v>
      </c>
      <c r="X496" s="2">
        <f t="shared" si="38"/>
        <v>0</v>
      </c>
    </row>
    <row r="497" spans="1:24" x14ac:dyDescent="0.25">
      <c r="A497" s="6" t="s">
        <v>42</v>
      </c>
      <c r="B497" s="6" t="s">
        <v>826</v>
      </c>
      <c r="C497" s="6" t="s">
        <v>401</v>
      </c>
      <c r="D497" s="6" t="s">
        <v>72</v>
      </c>
      <c r="E497" s="11" t="str">
        <f t="shared" si="35"/>
        <v>SUV</v>
      </c>
      <c r="F497" s="6" t="s">
        <v>11</v>
      </c>
      <c r="G497" s="11"/>
      <c r="H497" s="6" t="s">
        <v>1051</v>
      </c>
      <c r="I497" s="6" t="str">
        <f t="shared" si="36"/>
        <v>E</v>
      </c>
      <c r="J497" s="17" t="s">
        <v>418</v>
      </c>
      <c r="K497" s="6">
        <v>408</v>
      </c>
      <c r="L497" s="9">
        <v>6</v>
      </c>
      <c r="M497" s="21">
        <v>6</v>
      </c>
      <c r="N497" s="2">
        <v>99990</v>
      </c>
      <c r="O497" s="2" t="s">
        <v>1341</v>
      </c>
      <c r="P497" s="2"/>
      <c r="Q497" s="2"/>
      <c r="R497" s="2"/>
      <c r="S497" s="2">
        <v>5.9</v>
      </c>
      <c r="T497" s="2"/>
      <c r="U497" s="39">
        <f>IF(I497="N",T497*Supuestos!$B$4,T497*Supuestos!$C$4)*100</f>
        <v>0</v>
      </c>
      <c r="V497" s="20">
        <f t="shared" si="39"/>
        <v>0</v>
      </c>
      <c r="W497" s="2">
        <f t="shared" si="37"/>
        <v>0</v>
      </c>
      <c r="X497" s="2">
        <f t="shared" si="38"/>
        <v>0</v>
      </c>
    </row>
    <row r="498" spans="1:24" x14ac:dyDescent="0.25">
      <c r="A498" s="6" t="s">
        <v>42</v>
      </c>
      <c r="B498" s="6" t="s">
        <v>848</v>
      </c>
      <c r="C498" s="6" t="s">
        <v>401</v>
      </c>
      <c r="D498" s="6" t="s">
        <v>72</v>
      </c>
      <c r="E498" s="11" t="str">
        <f t="shared" si="35"/>
        <v>SUV</v>
      </c>
      <c r="F498" s="6" t="s">
        <v>16</v>
      </c>
      <c r="G498" s="11">
        <v>3000</v>
      </c>
      <c r="H498" s="6" t="s">
        <v>1050</v>
      </c>
      <c r="I498" s="6" t="str">
        <f t="shared" si="36"/>
        <v>N</v>
      </c>
      <c r="J498" s="17" t="s">
        <v>419</v>
      </c>
      <c r="K498" s="6">
        <v>367</v>
      </c>
      <c r="L498" s="9">
        <v>6</v>
      </c>
      <c r="M498" s="2"/>
      <c r="N498" s="2"/>
      <c r="O498" s="2"/>
      <c r="P498" s="2"/>
      <c r="Q498" s="2"/>
      <c r="R498" s="2"/>
      <c r="S498" s="2"/>
      <c r="T498" s="2"/>
      <c r="U498" s="39">
        <f>IF(I498="N",T498*Supuestos!$B$4,T498*Supuestos!$C$4)*100</f>
        <v>0</v>
      </c>
      <c r="V498" s="20">
        <f t="shared" si="39"/>
        <v>0</v>
      </c>
      <c r="W498" s="2">
        <f t="shared" si="37"/>
        <v>0</v>
      </c>
      <c r="X498" s="2">
        <f t="shared" si="38"/>
        <v>0</v>
      </c>
    </row>
    <row r="499" spans="1:24" x14ac:dyDescent="0.25">
      <c r="A499" s="6" t="s">
        <v>91</v>
      </c>
      <c r="B499" s="6" t="s">
        <v>948</v>
      </c>
      <c r="C499" s="6" t="s">
        <v>401</v>
      </c>
      <c r="D499" s="6" t="s">
        <v>72</v>
      </c>
      <c r="E499" s="11" t="str">
        <f t="shared" si="35"/>
        <v>SUV</v>
      </c>
      <c r="F499" s="6" t="s">
        <v>1049</v>
      </c>
      <c r="G499" s="11">
        <v>1400</v>
      </c>
      <c r="H499" s="6" t="s">
        <v>1050</v>
      </c>
      <c r="I499" s="6" t="str">
        <f t="shared" si="36"/>
        <v>N</v>
      </c>
      <c r="J499" s="17" t="s">
        <v>9</v>
      </c>
      <c r="K499" s="6">
        <v>150</v>
      </c>
      <c r="L499" s="9">
        <v>6</v>
      </c>
      <c r="M499" s="2"/>
      <c r="N499" s="2"/>
      <c r="O499" s="2"/>
      <c r="P499" s="2"/>
      <c r="Q499" s="2"/>
      <c r="R499" s="2"/>
      <c r="S499" s="2"/>
      <c r="T499" s="2"/>
      <c r="U499" s="39">
        <f>IF(I499="N",T499*Supuestos!$B$4,T499*Supuestos!$C$4)*100</f>
        <v>0</v>
      </c>
      <c r="V499" s="20">
        <f t="shared" si="39"/>
        <v>0</v>
      </c>
      <c r="W499" s="2">
        <f t="shared" si="37"/>
        <v>0</v>
      </c>
      <c r="X499" s="2">
        <f t="shared" si="38"/>
        <v>0</v>
      </c>
    </row>
    <row r="500" spans="1:24" x14ac:dyDescent="0.25">
      <c r="A500" s="6" t="s">
        <v>50</v>
      </c>
      <c r="B500" s="6" t="s">
        <v>969</v>
      </c>
      <c r="C500" s="6" t="s">
        <v>401</v>
      </c>
      <c r="D500" s="6" t="s">
        <v>72</v>
      </c>
      <c r="E500" s="11" t="str">
        <f t="shared" si="35"/>
        <v>SUV</v>
      </c>
      <c r="F500" s="6"/>
      <c r="G500" s="11">
        <v>1500</v>
      </c>
      <c r="H500" s="6" t="s">
        <v>1050</v>
      </c>
      <c r="I500" s="6" t="str">
        <f t="shared" si="36"/>
        <v>N</v>
      </c>
      <c r="J500" s="17" t="s">
        <v>419</v>
      </c>
      <c r="K500" s="6">
        <v>103</v>
      </c>
      <c r="L500" s="9">
        <v>6</v>
      </c>
      <c r="M500" s="2">
        <v>6</v>
      </c>
      <c r="N500" s="2">
        <v>28590</v>
      </c>
      <c r="O500" s="2" t="s">
        <v>1060</v>
      </c>
      <c r="P500" s="2" t="s">
        <v>1149</v>
      </c>
      <c r="Q500" s="2" t="s">
        <v>444</v>
      </c>
      <c r="R500" s="2">
        <v>1480</v>
      </c>
      <c r="S500" s="2"/>
      <c r="T500" s="2">
        <v>118</v>
      </c>
      <c r="U500" s="39">
        <f>IF(I500="N",T500*Supuestos!$B$4,T500*Supuestos!$C$4)*100</f>
        <v>5.0494944600199005</v>
      </c>
      <c r="V500" s="20">
        <f t="shared" si="39"/>
        <v>19.803962711864404</v>
      </c>
      <c r="W500" s="2">
        <f t="shared" si="37"/>
        <v>708</v>
      </c>
      <c r="X500" s="2">
        <f t="shared" si="38"/>
        <v>30.296966760119403</v>
      </c>
    </row>
    <row r="501" spans="1:24" x14ac:dyDescent="0.25">
      <c r="A501" s="6" t="s">
        <v>92</v>
      </c>
      <c r="B501" s="6" t="s">
        <v>982</v>
      </c>
      <c r="C501" s="6" t="s">
        <v>401</v>
      </c>
      <c r="D501" s="6" t="s">
        <v>72</v>
      </c>
      <c r="E501" s="11" t="str">
        <f t="shared" si="35"/>
        <v>SUV</v>
      </c>
      <c r="F501" s="6" t="s">
        <v>16</v>
      </c>
      <c r="G501" s="11"/>
      <c r="H501" s="6" t="s">
        <v>1051</v>
      </c>
      <c r="I501" s="6" t="str">
        <f t="shared" si="36"/>
        <v>E</v>
      </c>
      <c r="J501" s="17" t="s">
        <v>418</v>
      </c>
      <c r="K501" s="6">
        <v>0</v>
      </c>
      <c r="L501" s="9">
        <v>6</v>
      </c>
      <c r="M501" s="21">
        <v>6</v>
      </c>
      <c r="N501" s="2">
        <v>203600</v>
      </c>
      <c r="O501" s="2" t="s">
        <v>1341</v>
      </c>
      <c r="P501" s="2"/>
      <c r="Q501" s="2"/>
      <c r="R501" s="2"/>
      <c r="S501" s="2">
        <v>6.1</v>
      </c>
      <c r="T501" s="2"/>
      <c r="U501" s="39">
        <f>IF(I501="N",T501*Supuestos!$B$4,T501*Supuestos!$C$4)*100</f>
        <v>0</v>
      </c>
      <c r="V501" s="20">
        <f t="shared" si="39"/>
        <v>0</v>
      </c>
      <c r="W501" s="2">
        <f t="shared" si="37"/>
        <v>0</v>
      </c>
      <c r="X501" s="2">
        <f t="shared" si="38"/>
        <v>0</v>
      </c>
    </row>
    <row r="502" spans="1:24" x14ac:dyDescent="0.25">
      <c r="A502" s="6" t="s">
        <v>54</v>
      </c>
      <c r="B502" s="6" t="s">
        <v>1037</v>
      </c>
      <c r="C502" s="6" t="s">
        <v>401</v>
      </c>
      <c r="D502" s="6" t="s">
        <v>72</v>
      </c>
      <c r="E502" s="11" t="str">
        <f t="shared" si="35"/>
        <v>SUV</v>
      </c>
      <c r="F502" s="6" t="s">
        <v>417</v>
      </c>
      <c r="G502" s="11"/>
      <c r="H502" s="6" t="s">
        <v>1051</v>
      </c>
      <c r="I502" s="6" t="str">
        <f t="shared" si="36"/>
        <v>E</v>
      </c>
      <c r="J502" s="17" t="s">
        <v>418</v>
      </c>
      <c r="K502" s="6">
        <v>408</v>
      </c>
      <c r="L502" s="9">
        <v>6</v>
      </c>
      <c r="M502" s="21">
        <v>6</v>
      </c>
      <c r="N502" s="2">
        <v>89990</v>
      </c>
      <c r="O502" s="2" t="s">
        <v>1060</v>
      </c>
      <c r="P502" s="2" t="s">
        <v>1350</v>
      </c>
      <c r="Q502" s="2"/>
      <c r="R502" s="2">
        <v>2460</v>
      </c>
      <c r="S502" s="2">
        <v>7.4</v>
      </c>
      <c r="T502" s="2"/>
      <c r="U502" s="39">
        <f>IF(I502="N",T502*Supuestos!$B$4,T502*Supuestos!$C$4)*100</f>
        <v>0</v>
      </c>
      <c r="V502" s="20">
        <f t="shared" si="39"/>
        <v>0</v>
      </c>
      <c r="W502" s="2">
        <f t="shared" si="37"/>
        <v>0</v>
      </c>
      <c r="X502" s="2">
        <f t="shared" si="38"/>
        <v>0</v>
      </c>
    </row>
    <row r="503" spans="1:24" x14ac:dyDescent="0.25">
      <c r="A503" s="6" t="s">
        <v>10</v>
      </c>
      <c r="B503" s="6" t="s">
        <v>492</v>
      </c>
      <c r="C503" s="6" t="s">
        <v>401</v>
      </c>
      <c r="D503" s="6" t="s">
        <v>72</v>
      </c>
      <c r="E503" s="11" t="str">
        <f t="shared" si="35"/>
        <v>SUV</v>
      </c>
      <c r="F503" s="6" t="s">
        <v>417</v>
      </c>
      <c r="G503" s="11"/>
      <c r="H503" s="6" t="s">
        <v>1051</v>
      </c>
      <c r="I503" s="6" t="str">
        <f t="shared" si="36"/>
        <v>E</v>
      </c>
      <c r="J503" s="17" t="s">
        <v>418</v>
      </c>
      <c r="K503" s="6">
        <v>408</v>
      </c>
      <c r="L503" s="9">
        <v>5</v>
      </c>
      <c r="M503" s="21">
        <v>5</v>
      </c>
      <c r="N503" s="2">
        <v>114400</v>
      </c>
      <c r="O503" s="2" t="s">
        <v>1060</v>
      </c>
      <c r="P503" s="2" t="s">
        <v>1359</v>
      </c>
      <c r="Q503" s="2"/>
      <c r="R503" s="2">
        <v>2940</v>
      </c>
      <c r="S503" s="2">
        <v>6.4</v>
      </c>
      <c r="T503" s="2"/>
      <c r="U503" s="39">
        <f>IF(I503="N",T503*Supuestos!$B$4,T503*Supuestos!$C$4)*100</f>
        <v>0</v>
      </c>
      <c r="V503" s="20">
        <f t="shared" si="39"/>
        <v>0</v>
      </c>
      <c r="W503" s="2">
        <f t="shared" si="37"/>
        <v>0</v>
      </c>
      <c r="X503" s="2">
        <f t="shared" si="38"/>
        <v>0</v>
      </c>
    </row>
    <row r="504" spans="1:24" x14ac:dyDescent="0.25">
      <c r="A504" s="6" t="s">
        <v>15</v>
      </c>
      <c r="B504" s="6" t="s">
        <v>534</v>
      </c>
      <c r="C504" s="6" t="s">
        <v>401</v>
      </c>
      <c r="D504" s="6" t="s">
        <v>72</v>
      </c>
      <c r="E504" s="11" t="str">
        <f t="shared" si="35"/>
        <v>SUV</v>
      </c>
      <c r="F504" s="6" t="s">
        <v>11</v>
      </c>
      <c r="G504" s="11"/>
      <c r="H504" s="6" t="s">
        <v>1051</v>
      </c>
      <c r="I504" s="6" t="str">
        <f t="shared" si="36"/>
        <v>E</v>
      </c>
      <c r="J504" s="17" t="s">
        <v>418</v>
      </c>
      <c r="K504" s="6">
        <v>516</v>
      </c>
      <c r="L504" s="9">
        <v>5</v>
      </c>
      <c r="M504" s="21">
        <v>5</v>
      </c>
      <c r="N504" s="2">
        <v>174990</v>
      </c>
      <c r="O504" s="2" t="s">
        <v>1060</v>
      </c>
      <c r="P504" s="2" t="s">
        <v>1354</v>
      </c>
      <c r="Q504" s="2"/>
      <c r="R504" s="2">
        <v>3145</v>
      </c>
      <c r="S504" s="2">
        <v>4.5999999999999996</v>
      </c>
      <c r="T504" s="2"/>
      <c r="U504" s="39">
        <f>IF(I504="N",T504*Supuestos!$B$4,T504*Supuestos!$C$4)*100</f>
        <v>0</v>
      </c>
      <c r="V504" s="20">
        <f t="shared" si="39"/>
        <v>0</v>
      </c>
      <c r="W504" s="2">
        <f t="shared" si="37"/>
        <v>0</v>
      </c>
      <c r="X504" s="2">
        <f t="shared" si="38"/>
        <v>0</v>
      </c>
    </row>
    <row r="505" spans="1:24" x14ac:dyDescent="0.25">
      <c r="A505" s="6" t="s">
        <v>15</v>
      </c>
      <c r="B505" s="6" t="s">
        <v>548</v>
      </c>
      <c r="C505" s="6" t="s">
        <v>401</v>
      </c>
      <c r="D505" s="6" t="s">
        <v>72</v>
      </c>
      <c r="E505" s="11" t="str">
        <f t="shared" si="35"/>
        <v>SUV</v>
      </c>
      <c r="F505" s="6" t="s">
        <v>16</v>
      </c>
      <c r="G505" s="11">
        <v>2000</v>
      </c>
      <c r="H505" s="6" t="s">
        <v>1050</v>
      </c>
      <c r="I505" s="6" t="str">
        <f t="shared" si="36"/>
        <v>N</v>
      </c>
      <c r="J505" s="17" t="s">
        <v>420</v>
      </c>
      <c r="K505" s="6">
        <v>293</v>
      </c>
      <c r="L505" s="9">
        <v>5</v>
      </c>
      <c r="M505" s="2">
        <v>5</v>
      </c>
      <c r="N505" s="2">
        <v>105990</v>
      </c>
      <c r="O505" s="2" t="s">
        <v>1060</v>
      </c>
      <c r="P505" s="2" t="s">
        <v>457</v>
      </c>
      <c r="Q505" s="2" t="s">
        <v>424</v>
      </c>
      <c r="R505" s="2">
        <v>2620</v>
      </c>
      <c r="S505" s="2"/>
      <c r="T505" s="2">
        <v>64</v>
      </c>
      <c r="U505" s="39">
        <f>IF(I505="N",T505*Supuestos!$B$4,T505*Supuestos!$C$4)*100</f>
        <v>2.7387088596718101</v>
      </c>
      <c r="V505" s="20">
        <f t="shared" si="39"/>
        <v>36.513556250000001</v>
      </c>
      <c r="W505" s="2">
        <f t="shared" si="37"/>
        <v>320</v>
      </c>
      <c r="X505" s="2">
        <f t="shared" si="38"/>
        <v>13.693544298359051</v>
      </c>
    </row>
    <row r="506" spans="1:24" x14ac:dyDescent="0.25">
      <c r="A506" s="6" t="s">
        <v>58</v>
      </c>
      <c r="B506" s="6" t="s">
        <v>691</v>
      </c>
      <c r="C506" s="6" t="s">
        <v>401</v>
      </c>
      <c r="D506" s="6" t="s">
        <v>72</v>
      </c>
      <c r="E506" s="11" t="str">
        <f t="shared" si="35"/>
        <v>SUV</v>
      </c>
      <c r="F506" s="6" t="s">
        <v>14</v>
      </c>
      <c r="G506" s="11">
        <v>1500</v>
      </c>
      <c r="H506" s="6" t="s">
        <v>1050</v>
      </c>
      <c r="I506" s="6" t="str">
        <f t="shared" si="36"/>
        <v>N</v>
      </c>
      <c r="J506" s="17" t="s">
        <v>421</v>
      </c>
      <c r="K506" s="6">
        <v>243</v>
      </c>
      <c r="L506" s="9">
        <v>5</v>
      </c>
      <c r="M506" s="2"/>
      <c r="N506" s="2"/>
      <c r="O506" s="2"/>
      <c r="P506" s="2"/>
      <c r="Q506" s="2"/>
      <c r="R506" s="2"/>
      <c r="S506" s="2"/>
      <c r="T506" s="2"/>
      <c r="U506" s="39">
        <f>IF(I506="N",T506*Supuestos!$B$4,T506*Supuestos!$C$4)*100</f>
        <v>0</v>
      </c>
      <c r="V506" s="20">
        <f t="shared" si="39"/>
        <v>0</v>
      </c>
      <c r="W506" s="2">
        <f t="shared" si="37"/>
        <v>0</v>
      </c>
      <c r="X506" s="2">
        <f t="shared" si="38"/>
        <v>0</v>
      </c>
    </row>
    <row r="507" spans="1:24" x14ac:dyDescent="0.25">
      <c r="A507" s="6" t="s">
        <v>33</v>
      </c>
      <c r="B507" s="6" t="s">
        <v>705</v>
      </c>
      <c r="C507" s="6" t="s">
        <v>401</v>
      </c>
      <c r="D507" s="6" t="s">
        <v>72</v>
      </c>
      <c r="E507" s="11" t="str">
        <f t="shared" si="35"/>
        <v>SUV</v>
      </c>
      <c r="F507" s="6" t="s">
        <v>16</v>
      </c>
      <c r="G507" s="11">
        <v>3500</v>
      </c>
      <c r="H507" s="6" t="s">
        <v>1050</v>
      </c>
      <c r="I507" s="6" t="str">
        <f t="shared" si="36"/>
        <v>N</v>
      </c>
      <c r="J507" s="17" t="s">
        <v>9</v>
      </c>
      <c r="K507" s="6">
        <v>285</v>
      </c>
      <c r="L507" s="9">
        <v>5</v>
      </c>
      <c r="M507" s="2">
        <v>5</v>
      </c>
      <c r="N507" s="2">
        <v>119500</v>
      </c>
      <c r="O507" s="2" t="s">
        <v>1053</v>
      </c>
      <c r="P507" s="2" t="s">
        <v>1100</v>
      </c>
      <c r="Q507" s="2" t="s">
        <v>429</v>
      </c>
      <c r="R507" s="2">
        <v>2810</v>
      </c>
      <c r="S507" s="2"/>
      <c r="T507" s="2">
        <v>240</v>
      </c>
      <c r="U507" s="39">
        <f>IF(I507="N",T507*Supuestos!$B$4,T507*Supuestos!$C$4)*100</f>
        <v>10.270158223769288</v>
      </c>
      <c r="V507" s="20">
        <f t="shared" si="39"/>
        <v>9.7369483333333342</v>
      </c>
      <c r="W507" s="2">
        <f t="shared" si="37"/>
        <v>1200</v>
      </c>
      <c r="X507" s="2">
        <f t="shared" si="38"/>
        <v>51.350791118846438</v>
      </c>
    </row>
    <row r="508" spans="1:24" x14ac:dyDescent="0.25">
      <c r="A508" s="6" t="s">
        <v>476</v>
      </c>
      <c r="B508" s="6" t="s">
        <v>767</v>
      </c>
      <c r="C508" s="6" t="s">
        <v>401</v>
      </c>
      <c r="D508" s="6" t="s">
        <v>72</v>
      </c>
      <c r="E508" s="11" t="str">
        <f t="shared" si="35"/>
        <v>SUV</v>
      </c>
      <c r="F508" s="6" t="s">
        <v>14</v>
      </c>
      <c r="G508" s="11"/>
      <c r="H508" s="6" t="s">
        <v>1051</v>
      </c>
      <c r="I508" s="6" t="str">
        <f t="shared" si="36"/>
        <v>E</v>
      </c>
      <c r="J508" s="17" t="s">
        <v>418</v>
      </c>
      <c r="K508" s="6">
        <v>161</v>
      </c>
      <c r="L508" s="9">
        <v>5</v>
      </c>
      <c r="M508" s="21">
        <v>5</v>
      </c>
      <c r="N508" s="2">
        <v>36990</v>
      </c>
      <c r="O508" s="2" t="s">
        <v>1341</v>
      </c>
      <c r="P508" s="2"/>
      <c r="Q508" s="2"/>
      <c r="R508" s="2"/>
      <c r="S508" s="2">
        <v>4.4000000000000004</v>
      </c>
      <c r="T508" s="2"/>
      <c r="U508" s="39">
        <f>IF(I508="N",T508*Supuestos!$B$4,T508*Supuestos!$C$4)*100</f>
        <v>0</v>
      </c>
      <c r="V508" s="20">
        <f t="shared" si="39"/>
        <v>0</v>
      </c>
      <c r="W508" s="2">
        <f t="shared" si="37"/>
        <v>0</v>
      </c>
      <c r="X508" s="2">
        <f t="shared" si="38"/>
        <v>0</v>
      </c>
    </row>
    <row r="509" spans="1:24" x14ac:dyDescent="0.25">
      <c r="A509" s="6" t="s">
        <v>40</v>
      </c>
      <c r="B509" s="6" t="s">
        <v>781</v>
      </c>
      <c r="C509" s="6" t="s">
        <v>401</v>
      </c>
      <c r="D509" s="6" t="s">
        <v>72</v>
      </c>
      <c r="E509" s="11" t="str">
        <f t="shared" si="35"/>
        <v>SUV</v>
      </c>
      <c r="F509" s="6" t="s">
        <v>412</v>
      </c>
      <c r="G509" s="11">
        <v>2000</v>
      </c>
      <c r="H509" s="6" t="s">
        <v>1050</v>
      </c>
      <c r="I509" s="6" t="str">
        <f t="shared" si="36"/>
        <v>N</v>
      </c>
      <c r="J509" s="17" t="s">
        <v>420</v>
      </c>
      <c r="K509" s="6">
        <v>0</v>
      </c>
      <c r="L509" s="9">
        <v>5</v>
      </c>
      <c r="M509" s="2"/>
      <c r="N509" s="2"/>
      <c r="O509" s="2"/>
      <c r="P509" s="2"/>
      <c r="Q509" s="2"/>
      <c r="R509" s="2"/>
      <c r="S509" s="2"/>
      <c r="T509" s="2"/>
      <c r="U509" s="39">
        <f>IF(I509="N",T509*Supuestos!$B$4,T509*Supuestos!$C$4)*100</f>
        <v>0</v>
      </c>
      <c r="V509" s="20">
        <f t="shared" si="39"/>
        <v>0</v>
      </c>
      <c r="W509" s="2">
        <f t="shared" si="37"/>
        <v>0</v>
      </c>
      <c r="X509" s="2">
        <f t="shared" si="38"/>
        <v>0</v>
      </c>
    </row>
    <row r="510" spans="1:24" x14ac:dyDescent="0.25">
      <c r="A510" s="6" t="s">
        <v>480</v>
      </c>
      <c r="B510" s="6" t="s">
        <v>805</v>
      </c>
      <c r="C510" s="6" t="s">
        <v>401</v>
      </c>
      <c r="D510" s="6" t="s">
        <v>72</v>
      </c>
      <c r="E510" s="11" t="str">
        <f t="shared" si="35"/>
        <v>SUV</v>
      </c>
      <c r="F510" s="6" t="s">
        <v>14</v>
      </c>
      <c r="G510" s="11"/>
      <c r="H510" s="6" t="s">
        <v>1051</v>
      </c>
      <c r="I510" s="6" t="str">
        <f t="shared" si="36"/>
        <v>E</v>
      </c>
      <c r="J510" s="17" t="s">
        <v>418</v>
      </c>
      <c r="K510" s="6">
        <v>174</v>
      </c>
      <c r="L510" s="9">
        <v>5</v>
      </c>
      <c r="M510" s="21">
        <v>5</v>
      </c>
      <c r="N510" s="2">
        <v>64990</v>
      </c>
      <c r="O510" s="2" t="s">
        <v>1060</v>
      </c>
      <c r="P510" s="2" t="s">
        <v>1374</v>
      </c>
      <c r="Q510" s="2"/>
      <c r="R510" s="2">
        <v>2285</v>
      </c>
      <c r="S510" s="2">
        <v>4.0999999999999996</v>
      </c>
      <c r="T510" s="2"/>
      <c r="U510" s="39">
        <f>IF(I510="N",T510*Supuestos!$B$4,T510*Supuestos!$C$4)*100</f>
        <v>0</v>
      </c>
      <c r="V510" s="20">
        <f t="shared" si="39"/>
        <v>0</v>
      </c>
      <c r="W510" s="2">
        <f t="shared" si="37"/>
        <v>0</v>
      </c>
      <c r="X510" s="2">
        <f t="shared" si="38"/>
        <v>0</v>
      </c>
    </row>
    <row r="511" spans="1:24" x14ac:dyDescent="0.25">
      <c r="A511" s="6" t="s">
        <v>46</v>
      </c>
      <c r="B511" s="6" t="s">
        <v>871</v>
      </c>
      <c r="C511" s="6" t="s">
        <v>401</v>
      </c>
      <c r="D511" s="6" t="s">
        <v>72</v>
      </c>
      <c r="E511" s="11" t="str">
        <f t="shared" si="35"/>
        <v>SUV</v>
      </c>
      <c r="F511" s="6" t="s">
        <v>68</v>
      </c>
      <c r="G511" s="11">
        <v>1300</v>
      </c>
      <c r="H511" s="6" t="s">
        <v>1050</v>
      </c>
      <c r="I511" s="6" t="str">
        <f t="shared" si="36"/>
        <v>N</v>
      </c>
      <c r="J511" s="17" t="s">
        <v>9</v>
      </c>
      <c r="K511" s="6">
        <v>147</v>
      </c>
      <c r="L511" s="9">
        <v>5</v>
      </c>
      <c r="M511" s="2">
        <v>5</v>
      </c>
      <c r="N511" s="2">
        <v>49990</v>
      </c>
      <c r="O511" s="2" t="s">
        <v>1053</v>
      </c>
      <c r="P511" s="2" t="s">
        <v>1209</v>
      </c>
      <c r="Q511" s="2" t="s">
        <v>429</v>
      </c>
      <c r="R511" s="2">
        <v>1985</v>
      </c>
      <c r="S511" s="2"/>
      <c r="T511" s="2">
        <v>138</v>
      </c>
      <c r="U511" s="39">
        <f>IF(I511="N",T511*Supuestos!$B$4,T511*Supuestos!$C$4)*100</f>
        <v>5.9053409786673408</v>
      </c>
      <c r="V511" s="20">
        <f t="shared" si="39"/>
        <v>16.933823188405796</v>
      </c>
      <c r="W511" s="2">
        <f t="shared" si="37"/>
        <v>690</v>
      </c>
      <c r="X511" s="2">
        <f t="shared" si="38"/>
        <v>29.526704893336703</v>
      </c>
    </row>
    <row r="512" spans="1:24" x14ac:dyDescent="0.25">
      <c r="A512" s="6" t="s">
        <v>49</v>
      </c>
      <c r="B512" s="6" t="s">
        <v>955</v>
      </c>
      <c r="C512" s="6" t="s">
        <v>401</v>
      </c>
      <c r="D512" s="6" t="s">
        <v>72</v>
      </c>
      <c r="E512" s="11" t="str">
        <f t="shared" si="35"/>
        <v>SUV</v>
      </c>
      <c r="F512" s="6" t="s">
        <v>45</v>
      </c>
      <c r="G512" s="11">
        <v>2000</v>
      </c>
      <c r="H512" s="6" t="s">
        <v>1050</v>
      </c>
      <c r="I512" s="6" t="str">
        <f t="shared" si="36"/>
        <v>N</v>
      </c>
      <c r="J512" s="17" t="s">
        <v>419</v>
      </c>
      <c r="K512" s="6">
        <v>167</v>
      </c>
      <c r="L512" s="9">
        <v>5</v>
      </c>
      <c r="M512" s="2">
        <v>5</v>
      </c>
      <c r="N512" s="2">
        <v>50800</v>
      </c>
      <c r="O512" s="2" t="s">
        <v>1053</v>
      </c>
      <c r="P512" s="2" t="s">
        <v>1202</v>
      </c>
      <c r="Q512" s="2" t="s">
        <v>422</v>
      </c>
      <c r="R512" s="2">
        <v>2100</v>
      </c>
      <c r="S512" s="2"/>
      <c r="T512" s="2">
        <v>165</v>
      </c>
      <c r="U512" s="39">
        <f>IF(I512="N",T512*Supuestos!$B$4,T512*Supuestos!$C$4)*100</f>
        <v>7.0607337788413851</v>
      </c>
      <c r="V512" s="20">
        <f t="shared" si="39"/>
        <v>14.162833939393941</v>
      </c>
      <c r="W512" s="2">
        <f t="shared" si="37"/>
        <v>825</v>
      </c>
      <c r="X512" s="2">
        <f t="shared" si="38"/>
        <v>35.303668894206922</v>
      </c>
    </row>
    <row r="513" spans="1:24" x14ac:dyDescent="0.25">
      <c r="A513" s="6" t="s">
        <v>13</v>
      </c>
      <c r="B513" s="6" t="s">
        <v>503</v>
      </c>
      <c r="C513" s="6" t="s">
        <v>401</v>
      </c>
      <c r="D513" s="6" t="s">
        <v>72</v>
      </c>
      <c r="E513" s="11" t="str">
        <f t="shared" si="35"/>
        <v>SUV</v>
      </c>
      <c r="F513" s="6" t="s">
        <v>14</v>
      </c>
      <c r="G513" s="11"/>
      <c r="H513" s="6" t="s">
        <v>1051</v>
      </c>
      <c r="I513" s="6" t="str">
        <f t="shared" si="36"/>
        <v>E</v>
      </c>
      <c r="J513" s="17" t="s">
        <v>418</v>
      </c>
      <c r="K513" s="6">
        <v>60</v>
      </c>
      <c r="L513" s="9">
        <v>4</v>
      </c>
      <c r="M513" s="21">
        <v>4</v>
      </c>
      <c r="N513" s="2">
        <v>22490</v>
      </c>
      <c r="O513" s="2" t="s">
        <v>1341</v>
      </c>
      <c r="P513" s="2"/>
      <c r="Q513" s="2"/>
      <c r="R513" s="2"/>
      <c r="S513" s="2">
        <v>7.5</v>
      </c>
      <c r="T513" s="2"/>
      <c r="U513" s="39">
        <f>IF(I513="N",T513*Supuestos!$B$4,T513*Supuestos!$C$4)*100</f>
        <v>0</v>
      </c>
      <c r="V513" s="20">
        <f t="shared" si="39"/>
        <v>0</v>
      </c>
      <c r="W513" s="2">
        <f t="shared" si="37"/>
        <v>0</v>
      </c>
      <c r="X513" s="2">
        <f t="shared" si="38"/>
        <v>0</v>
      </c>
    </row>
    <row r="514" spans="1:24" x14ac:dyDescent="0.25">
      <c r="A514" s="6" t="s">
        <v>15</v>
      </c>
      <c r="B514" s="6" t="s">
        <v>557</v>
      </c>
      <c r="C514" s="6" t="s">
        <v>401</v>
      </c>
      <c r="D514" s="6" t="s">
        <v>72</v>
      </c>
      <c r="E514" s="11" t="str">
        <f t="shared" ref="E514:E577" si="40">IF(D514="COMERCIAL","UTILITARIO",IF(C514="SUV Y CROSSOVER","SUV","AUTOMOVIL"))</f>
        <v>SUV</v>
      </c>
      <c r="F514" s="6"/>
      <c r="G514" s="11">
        <v>3000</v>
      </c>
      <c r="H514" s="6" t="s">
        <v>1050</v>
      </c>
      <c r="I514" s="6" t="str">
        <f t="shared" ref="I514:I577" si="41">IF(H514="NAFTA","N",IF(H514="DIESEL","D",IF(H514="ELÉCTRICO","E","")))</f>
        <v>N</v>
      </c>
      <c r="J514" s="17" t="s">
        <v>9</v>
      </c>
      <c r="K514" s="6"/>
      <c r="L514" s="9">
        <v>4</v>
      </c>
      <c r="M514" s="2"/>
      <c r="N514" s="2"/>
      <c r="O514" s="2"/>
      <c r="P514" s="2"/>
      <c r="Q514" s="2"/>
      <c r="R514" s="2"/>
      <c r="S514" s="2"/>
      <c r="T514" s="2"/>
      <c r="U514" s="39">
        <f>IF(I514="N",T514*Supuestos!$B$4,T514*Supuestos!$C$4)*100</f>
        <v>0</v>
      </c>
      <c r="V514" s="20">
        <f t="shared" si="39"/>
        <v>0</v>
      </c>
      <c r="W514" s="2">
        <f t="shared" ref="W514:W577" si="42">T514*M514</f>
        <v>0</v>
      </c>
      <c r="X514" s="2">
        <f t="shared" ref="X514:X577" si="43">+U514*M514</f>
        <v>0</v>
      </c>
    </row>
    <row r="515" spans="1:24" x14ac:dyDescent="0.25">
      <c r="A515" s="6" t="s">
        <v>58</v>
      </c>
      <c r="B515" s="6" t="s">
        <v>205</v>
      </c>
      <c r="C515" s="6" t="s">
        <v>401</v>
      </c>
      <c r="D515" s="6" t="s">
        <v>72</v>
      </c>
      <c r="E515" s="11" t="str">
        <f t="shared" si="40"/>
        <v>SUV</v>
      </c>
      <c r="F515" s="6" t="s">
        <v>14</v>
      </c>
      <c r="G515" s="11">
        <v>2000</v>
      </c>
      <c r="H515" s="6" t="s">
        <v>1050</v>
      </c>
      <c r="I515" s="6" t="str">
        <f t="shared" si="41"/>
        <v>N</v>
      </c>
      <c r="J515" s="17" t="s">
        <v>9</v>
      </c>
      <c r="K515" s="6">
        <v>201</v>
      </c>
      <c r="L515" s="9">
        <v>4</v>
      </c>
      <c r="M515" s="2"/>
      <c r="N515" s="2"/>
      <c r="O515" s="2"/>
      <c r="P515" s="2"/>
      <c r="Q515" s="2"/>
      <c r="R515" s="2"/>
      <c r="S515" s="2"/>
      <c r="T515" s="2"/>
      <c r="U515" s="39">
        <f>IF(I515="N",T515*Supuestos!$B$4,T515*Supuestos!$C$4)*100</f>
        <v>0</v>
      </c>
      <c r="V515" s="20">
        <f t="shared" ref="V515:V578" si="44">IF(U515&gt;0,100/U515,0)</f>
        <v>0</v>
      </c>
      <c r="W515" s="2">
        <f t="shared" si="42"/>
        <v>0</v>
      </c>
      <c r="X515" s="2">
        <f t="shared" si="43"/>
        <v>0</v>
      </c>
    </row>
    <row r="516" spans="1:24" x14ac:dyDescent="0.25">
      <c r="A516" s="6" t="s">
        <v>476</v>
      </c>
      <c r="B516" s="6" t="s">
        <v>766</v>
      </c>
      <c r="C516" s="6" t="s">
        <v>401</v>
      </c>
      <c r="D516" s="6" t="s">
        <v>72</v>
      </c>
      <c r="E516" s="11" t="str">
        <f t="shared" si="40"/>
        <v>SUV</v>
      </c>
      <c r="F516" s="6" t="s">
        <v>14</v>
      </c>
      <c r="G516" s="11"/>
      <c r="H516" s="6" t="s">
        <v>1051</v>
      </c>
      <c r="I516" s="6" t="str">
        <f t="shared" si="41"/>
        <v>E</v>
      </c>
      <c r="J516" s="17" t="s">
        <v>418</v>
      </c>
      <c r="K516" s="6">
        <v>161</v>
      </c>
      <c r="L516" s="9">
        <v>4</v>
      </c>
      <c r="M516" s="21">
        <v>4</v>
      </c>
      <c r="N516" s="2">
        <v>38990</v>
      </c>
      <c r="O516" s="2" t="s">
        <v>1341</v>
      </c>
      <c r="P516" s="2"/>
      <c r="Q516" s="2"/>
      <c r="R516" s="2"/>
      <c r="S516" s="2">
        <v>4.4000000000000004</v>
      </c>
      <c r="T516" s="2"/>
      <c r="U516" s="39">
        <f>IF(I516="N",T516*Supuestos!$B$4,T516*Supuestos!$C$4)*100</f>
        <v>0</v>
      </c>
      <c r="V516" s="20">
        <f t="shared" si="44"/>
        <v>0</v>
      </c>
      <c r="W516" s="2">
        <f t="shared" si="42"/>
        <v>0</v>
      </c>
      <c r="X516" s="2">
        <f t="shared" si="43"/>
        <v>0</v>
      </c>
    </row>
    <row r="517" spans="1:24" x14ac:dyDescent="0.25">
      <c r="A517" s="6" t="s">
        <v>40</v>
      </c>
      <c r="B517" s="6" t="s">
        <v>791</v>
      </c>
      <c r="C517" s="6" t="s">
        <v>401</v>
      </c>
      <c r="D517" s="6" t="s">
        <v>72</v>
      </c>
      <c r="E517" s="11" t="str">
        <f t="shared" si="40"/>
        <v>SUV</v>
      </c>
      <c r="F517" s="6" t="s">
        <v>415</v>
      </c>
      <c r="G517" s="11">
        <v>2000</v>
      </c>
      <c r="H517" s="6" t="s">
        <v>1050</v>
      </c>
      <c r="I517" s="6" t="str">
        <f t="shared" si="41"/>
        <v>N</v>
      </c>
      <c r="J517" s="17" t="s">
        <v>420</v>
      </c>
      <c r="K517" s="6">
        <v>0</v>
      </c>
      <c r="L517" s="9">
        <v>4</v>
      </c>
      <c r="M517" s="2">
        <v>4</v>
      </c>
      <c r="N517" s="2">
        <v>165990</v>
      </c>
      <c r="O517" s="2" t="s">
        <v>1060</v>
      </c>
      <c r="P517" s="2" t="s">
        <v>1222</v>
      </c>
      <c r="Q517" s="2" t="s">
        <v>444</v>
      </c>
      <c r="R517" s="2">
        <v>2740</v>
      </c>
      <c r="S517" s="2"/>
      <c r="T517" s="2">
        <v>51</v>
      </c>
      <c r="U517" s="39">
        <f>IF(I517="N",T517*Supuestos!$B$4,T517*Supuestos!$C$4)*100</f>
        <v>2.182408622550974</v>
      </c>
      <c r="V517" s="20">
        <f t="shared" si="44"/>
        <v>45.820933333333329</v>
      </c>
      <c r="W517" s="2">
        <f t="shared" si="42"/>
        <v>204</v>
      </c>
      <c r="X517" s="2">
        <f t="shared" si="43"/>
        <v>8.729634490203896</v>
      </c>
    </row>
    <row r="518" spans="1:24" x14ac:dyDescent="0.25">
      <c r="A518" s="6" t="s">
        <v>44</v>
      </c>
      <c r="B518" s="6" t="s">
        <v>863</v>
      </c>
      <c r="C518" s="6" t="s">
        <v>401</v>
      </c>
      <c r="D518" s="6" t="s">
        <v>72</v>
      </c>
      <c r="E518" s="11" t="str">
        <f t="shared" si="40"/>
        <v>SUV</v>
      </c>
      <c r="F518" s="6"/>
      <c r="G518" s="11">
        <v>1500</v>
      </c>
      <c r="H518" s="6" t="s">
        <v>1050</v>
      </c>
      <c r="I518" s="6" t="str">
        <f t="shared" si="41"/>
        <v>N</v>
      </c>
      <c r="J518" s="17" t="s">
        <v>9</v>
      </c>
      <c r="K518" s="6">
        <v>0</v>
      </c>
      <c r="L518" s="9">
        <v>4</v>
      </c>
      <c r="M518" s="2"/>
      <c r="N518" s="2"/>
      <c r="O518" s="2"/>
      <c r="P518" s="2"/>
      <c r="Q518" s="2"/>
      <c r="R518" s="2"/>
      <c r="S518" s="2"/>
      <c r="T518" s="2"/>
      <c r="U518" s="39">
        <f>IF(I518="N",T518*Supuestos!$B$4,T518*Supuestos!$C$4)*100</f>
        <v>0</v>
      </c>
      <c r="V518" s="20">
        <f t="shared" si="44"/>
        <v>0</v>
      </c>
      <c r="W518" s="2">
        <f t="shared" si="42"/>
        <v>0</v>
      </c>
      <c r="X518" s="2">
        <f t="shared" si="43"/>
        <v>0</v>
      </c>
    </row>
    <row r="519" spans="1:24" x14ac:dyDescent="0.25">
      <c r="A519" s="6" t="s">
        <v>62</v>
      </c>
      <c r="B519" s="6" t="s">
        <v>898</v>
      </c>
      <c r="C519" s="6" t="s">
        <v>401</v>
      </c>
      <c r="D519" s="6" t="s">
        <v>72</v>
      </c>
      <c r="E519" s="11" t="str">
        <f t="shared" si="40"/>
        <v>SUV</v>
      </c>
      <c r="F519" s="6" t="s">
        <v>26</v>
      </c>
      <c r="G519" s="11">
        <v>1600</v>
      </c>
      <c r="H519" s="6" t="s">
        <v>1050</v>
      </c>
      <c r="I519" s="6" t="str">
        <f t="shared" si="41"/>
        <v>N</v>
      </c>
      <c r="J519" s="17" t="s">
        <v>9</v>
      </c>
      <c r="K519" s="6">
        <v>165</v>
      </c>
      <c r="L519" s="9">
        <v>4</v>
      </c>
      <c r="M519" s="2"/>
      <c r="N519" s="2"/>
      <c r="O519" s="2"/>
      <c r="P519" s="2"/>
      <c r="Q519" s="2"/>
      <c r="R519" s="2"/>
      <c r="S519" s="2"/>
      <c r="T519" s="2"/>
      <c r="U519" s="39">
        <f>IF(I519="N",T519*Supuestos!$B$4,T519*Supuestos!$C$4)*100</f>
        <v>0</v>
      </c>
      <c r="V519" s="20">
        <f t="shared" si="44"/>
        <v>0</v>
      </c>
      <c r="W519" s="2">
        <f t="shared" si="42"/>
        <v>0</v>
      </c>
      <c r="X519" s="2">
        <f t="shared" si="43"/>
        <v>0</v>
      </c>
    </row>
    <row r="520" spans="1:24" x14ac:dyDescent="0.25">
      <c r="A520" s="6" t="s">
        <v>49</v>
      </c>
      <c r="B520" s="6" t="s">
        <v>961</v>
      </c>
      <c r="C520" s="6" t="s">
        <v>401</v>
      </c>
      <c r="D520" s="6" t="s">
        <v>72</v>
      </c>
      <c r="E520" s="11" t="str">
        <f t="shared" si="40"/>
        <v>SUV</v>
      </c>
      <c r="F520" s="6" t="s">
        <v>45</v>
      </c>
      <c r="G520" s="11">
        <v>2500</v>
      </c>
      <c r="H520" s="6" t="s">
        <v>1050</v>
      </c>
      <c r="I520" s="6" t="str">
        <f t="shared" si="41"/>
        <v>N</v>
      </c>
      <c r="J520" s="17" t="s">
        <v>9</v>
      </c>
      <c r="K520" s="6">
        <v>184</v>
      </c>
      <c r="L520" s="9">
        <v>4</v>
      </c>
      <c r="M520" s="2">
        <v>4</v>
      </c>
      <c r="N520" s="2">
        <v>70800</v>
      </c>
      <c r="O520" s="2" t="s">
        <v>1053</v>
      </c>
      <c r="P520" s="2" t="s">
        <v>1205</v>
      </c>
      <c r="Q520" s="2" t="s">
        <v>422</v>
      </c>
      <c r="R520" s="2">
        <v>2223</v>
      </c>
      <c r="S520" s="2"/>
      <c r="T520" s="2">
        <v>168</v>
      </c>
      <c r="U520" s="39">
        <f>IF(I520="N",T520*Supuestos!$B$4,T520*Supuestos!$C$4)*100</f>
        <v>7.1891107566385015</v>
      </c>
      <c r="V520" s="20">
        <f t="shared" si="44"/>
        <v>13.909926190476192</v>
      </c>
      <c r="W520" s="2">
        <f t="shared" si="42"/>
        <v>672</v>
      </c>
      <c r="X520" s="2">
        <f t="shared" si="43"/>
        <v>28.756443026554006</v>
      </c>
    </row>
    <row r="521" spans="1:24" x14ac:dyDescent="0.25">
      <c r="A521" s="6" t="s">
        <v>92</v>
      </c>
      <c r="B521" s="6" t="s">
        <v>340</v>
      </c>
      <c r="C521" s="6" t="s">
        <v>401</v>
      </c>
      <c r="D521" s="6" t="s">
        <v>72</v>
      </c>
      <c r="E521" s="11" t="str">
        <f t="shared" si="40"/>
        <v>SUV</v>
      </c>
      <c r="F521" s="6" t="s">
        <v>16</v>
      </c>
      <c r="G521" s="11"/>
      <c r="H521" s="6" t="s">
        <v>1051</v>
      </c>
      <c r="I521" s="6" t="str">
        <f t="shared" si="41"/>
        <v>E</v>
      </c>
      <c r="J521" s="17" t="s">
        <v>418</v>
      </c>
      <c r="K521" s="6">
        <v>476</v>
      </c>
      <c r="L521" s="9">
        <v>4</v>
      </c>
      <c r="M521" s="21">
        <v>4</v>
      </c>
      <c r="N521" s="2">
        <v>84500</v>
      </c>
      <c r="O521" s="2" t="s">
        <v>1060</v>
      </c>
      <c r="P521" s="2" t="s">
        <v>1362</v>
      </c>
      <c r="Q521" s="2"/>
      <c r="R521" s="2">
        <v>2518</v>
      </c>
      <c r="S521" s="2">
        <v>6.1</v>
      </c>
      <c r="T521" s="2"/>
      <c r="U521" s="39">
        <f>IF(I521="N",T521*Supuestos!$B$4,T521*Supuestos!$C$4)*100</f>
        <v>0</v>
      </c>
      <c r="V521" s="20">
        <f t="shared" si="44"/>
        <v>0</v>
      </c>
      <c r="W521" s="2">
        <f t="shared" si="42"/>
        <v>0</v>
      </c>
      <c r="X521" s="2">
        <f t="shared" si="43"/>
        <v>0</v>
      </c>
    </row>
    <row r="522" spans="1:24" x14ac:dyDescent="0.25">
      <c r="A522" s="6" t="s">
        <v>10</v>
      </c>
      <c r="B522" s="6" t="s">
        <v>493</v>
      </c>
      <c r="C522" s="6" t="s">
        <v>401</v>
      </c>
      <c r="D522" s="6" t="s">
        <v>72</v>
      </c>
      <c r="E522" s="11" t="str">
        <f t="shared" si="40"/>
        <v>SUV</v>
      </c>
      <c r="F522" s="6" t="s">
        <v>417</v>
      </c>
      <c r="G522" s="11"/>
      <c r="H522" s="6" t="s">
        <v>1051</v>
      </c>
      <c r="I522" s="6" t="str">
        <f t="shared" si="41"/>
        <v>E</v>
      </c>
      <c r="J522" s="17" t="s">
        <v>418</v>
      </c>
      <c r="K522" s="6">
        <v>408</v>
      </c>
      <c r="L522" s="9">
        <v>3</v>
      </c>
      <c r="M522" s="21">
        <v>3</v>
      </c>
      <c r="N522" s="2">
        <v>124990</v>
      </c>
      <c r="O522" s="2" t="s">
        <v>1060</v>
      </c>
      <c r="P522" s="2" t="s">
        <v>1359</v>
      </c>
      <c r="Q522" s="2"/>
      <c r="R522" s="2">
        <v>2940</v>
      </c>
      <c r="S522" s="2">
        <v>6.4</v>
      </c>
      <c r="T522" s="2"/>
      <c r="U522" s="39">
        <f>IF(I522="N",T522*Supuestos!$B$4,T522*Supuestos!$C$4)*100</f>
        <v>0</v>
      </c>
      <c r="V522" s="20">
        <f t="shared" si="44"/>
        <v>0</v>
      </c>
      <c r="W522" s="2">
        <f t="shared" si="42"/>
        <v>0</v>
      </c>
      <c r="X522" s="2">
        <f t="shared" si="43"/>
        <v>0</v>
      </c>
    </row>
    <row r="523" spans="1:24" x14ac:dyDescent="0.25">
      <c r="A523" s="6" t="s">
        <v>10</v>
      </c>
      <c r="B523" s="6" t="s">
        <v>498</v>
      </c>
      <c r="C523" s="6" t="s">
        <v>401</v>
      </c>
      <c r="D523" s="6" t="s">
        <v>72</v>
      </c>
      <c r="E523" s="11" t="str">
        <f t="shared" si="40"/>
        <v>SUV</v>
      </c>
      <c r="F523" s="6" t="s">
        <v>417</v>
      </c>
      <c r="G523" s="11"/>
      <c r="H523" s="6" t="s">
        <v>1051</v>
      </c>
      <c r="I523" s="6" t="str">
        <f t="shared" si="41"/>
        <v>E</v>
      </c>
      <c r="J523" s="17" t="s">
        <v>418</v>
      </c>
      <c r="K523" s="6">
        <v>408</v>
      </c>
      <c r="L523" s="9">
        <v>3</v>
      </c>
      <c r="M523" s="21">
        <v>3</v>
      </c>
      <c r="N523" s="2">
        <v>122000</v>
      </c>
      <c r="O523" s="2" t="s">
        <v>1060</v>
      </c>
      <c r="P523" s="2" t="s">
        <v>1358</v>
      </c>
      <c r="Q523" s="2"/>
      <c r="R523" s="2">
        <v>3180</v>
      </c>
      <c r="S523" s="2">
        <v>5.5</v>
      </c>
      <c r="T523" s="2"/>
      <c r="U523" s="39">
        <f>IF(I523="N",T523*Supuestos!$B$4,T523*Supuestos!$C$4)*100</f>
        <v>0</v>
      </c>
      <c r="V523" s="20">
        <f t="shared" si="44"/>
        <v>0</v>
      </c>
      <c r="W523" s="2">
        <f t="shared" si="42"/>
        <v>0</v>
      </c>
      <c r="X523" s="2">
        <f t="shared" si="43"/>
        <v>0</v>
      </c>
    </row>
    <row r="524" spans="1:24" x14ac:dyDescent="0.25">
      <c r="A524" s="6" t="s">
        <v>80</v>
      </c>
      <c r="B524" s="6" t="s">
        <v>111</v>
      </c>
      <c r="C524" s="6" t="s">
        <v>401</v>
      </c>
      <c r="D524" s="6" t="s">
        <v>72</v>
      </c>
      <c r="E524" s="11" t="str">
        <f t="shared" si="40"/>
        <v>SUV</v>
      </c>
      <c r="F524" s="6" t="s">
        <v>14</v>
      </c>
      <c r="G524" s="11">
        <v>1500</v>
      </c>
      <c r="H524" s="6" t="s">
        <v>1050</v>
      </c>
      <c r="I524" s="6" t="str">
        <f t="shared" si="41"/>
        <v>N</v>
      </c>
      <c r="J524" s="17" t="s">
        <v>9</v>
      </c>
      <c r="K524" s="6">
        <v>167</v>
      </c>
      <c r="L524" s="9">
        <v>3</v>
      </c>
      <c r="M524" s="2"/>
      <c r="N524" s="2"/>
      <c r="O524" s="2"/>
      <c r="P524" s="2"/>
      <c r="Q524" s="2"/>
      <c r="R524" s="2"/>
      <c r="S524" s="2"/>
      <c r="T524" s="2"/>
      <c r="U524" s="39">
        <f>IF(I524="N",T524*Supuestos!$B$4,T524*Supuestos!$C$4)*100</f>
        <v>0</v>
      </c>
      <c r="V524" s="20">
        <f t="shared" si="44"/>
        <v>0</v>
      </c>
      <c r="W524" s="2">
        <f t="shared" si="42"/>
        <v>0</v>
      </c>
      <c r="X524" s="2">
        <f t="shared" si="43"/>
        <v>0</v>
      </c>
    </row>
    <row r="525" spans="1:24" x14ac:dyDescent="0.25">
      <c r="A525" s="6" t="s">
        <v>15</v>
      </c>
      <c r="B525" s="6" t="s">
        <v>533</v>
      </c>
      <c r="C525" s="6" t="s">
        <v>401</v>
      </c>
      <c r="D525" s="6" t="s">
        <v>72</v>
      </c>
      <c r="E525" s="11" t="str">
        <f t="shared" si="40"/>
        <v>SUV</v>
      </c>
      <c r="F525" s="6" t="s">
        <v>11</v>
      </c>
      <c r="G525" s="11"/>
      <c r="H525" s="6" t="s">
        <v>1051</v>
      </c>
      <c r="I525" s="6" t="str">
        <f t="shared" si="41"/>
        <v>E</v>
      </c>
      <c r="J525" s="17" t="s">
        <v>418</v>
      </c>
      <c r="K525" s="6">
        <v>322</v>
      </c>
      <c r="L525" s="9">
        <v>3</v>
      </c>
      <c r="M525" s="21">
        <v>3</v>
      </c>
      <c r="N525" s="2">
        <v>149990</v>
      </c>
      <c r="O525" s="2" t="s">
        <v>1060</v>
      </c>
      <c r="P525" s="2" t="s">
        <v>1355</v>
      </c>
      <c r="Q525" s="2"/>
      <c r="R525" s="2">
        <v>3010</v>
      </c>
      <c r="S525" s="2">
        <v>5.2</v>
      </c>
      <c r="T525" s="2"/>
      <c r="U525" s="39">
        <f>IF(I525="N",T525*Supuestos!$B$4,T525*Supuestos!$C$4)*100</f>
        <v>0</v>
      </c>
      <c r="V525" s="20">
        <f t="shared" si="44"/>
        <v>0</v>
      </c>
      <c r="W525" s="2">
        <f t="shared" si="42"/>
        <v>0</v>
      </c>
      <c r="X525" s="2">
        <f t="shared" si="43"/>
        <v>0</v>
      </c>
    </row>
    <row r="526" spans="1:24" x14ac:dyDescent="0.25">
      <c r="A526" s="6" t="s">
        <v>15</v>
      </c>
      <c r="B526" s="6" t="s">
        <v>540</v>
      </c>
      <c r="C526" s="6" t="s">
        <v>401</v>
      </c>
      <c r="D526" s="6" t="s">
        <v>72</v>
      </c>
      <c r="E526" s="11" t="str">
        <f t="shared" si="40"/>
        <v>SUV</v>
      </c>
      <c r="F526" s="6" t="s">
        <v>16</v>
      </c>
      <c r="G526" s="11">
        <v>3000</v>
      </c>
      <c r="H526" s="6" t="s">
        <v>1050</v>
      </c>
      <c r="I526" s="6" t="str">
        <f t="shared" si="41"/>
        <v>N</v>
      </c>
      <c r="J526" s="17" t="s">
        <v>419</v>
      </c>
      <c r="K526" s="6">
        <v>340</v>
      </c>
      <c r="L526" s="9">
        <v>3</v>
      </c>
      <c r="M526" s="2"/>
      <c r="N526" s="2"/>
      <c r="O526" s="2"/>
      <c r="P526" s="2"/>
      <c r="Q526" s="2"/>
      <c r="R526" s="2"/>
      <c r="S526" s="2"/>
      <c r="T526" s="2"/>
      <c r="U526" s="39">
        <f>IF(I526="N",T526*Supuestos!$B$4,T526*Supuestos!$C$4)*100</f>
        <v>0</v>
      </c>
      <c r="V526" s="20">
        <f t="shared" si="44"/>
        <v>0</v>
      </c>
      <c r="W526" s="2">
        <f t="shared" si="42"/>
        <v>0</v>
      </c>
      <c r="X526" s="2">
        <f t="shared" si="43"/>
        <v>0</v>
      </c>
    </row>
    <row r="527" spans="1:24" x14ac:dyDescent="0.25">
      <c r="A527" s="6" t="s">
        <v>15</v>
      </c>
      <c r="B527" s="6" t="s">
        <v>554</v>
      </c>
      <c r="C527" s="6" t="s">
        <v>401</v>
      </c>
      <c r="D527" s="6" t="s">
        <v>72</v>
      </c>
      <c r="E527" s="11" t="str">
        <f t="shared" si="40"/>
        <v>SUV</v>
      </c>
      <c r="F527" s="6" t="s">
        <v>16</v>
      </c>
      <c r="G527" s="11">
        <v>3000</v>
      </c>
      <c r="H527" s="6" t="s">
        <v>1050</v>
      </c>
      <c r="I527" s="6" t="str">
        <f t="shared" si="41"/>
        <v>N</v>
      </c>
      <c r="J527" s="17" t="s">
        <v>9</v>
      </c>
      <c r="K527" s="6">
        <v>388</v>
      </c>
      <c r="L527" s="9">
        <v>3</v>
      </c>
      <c r="M527" s="2"/>
      <c r="N527" s="2"/>
      <c r="O527" s="2"/>
      <c r="P527" s="2"/>
      <c r="Q527" s="2"/>
      <c r="R527" s="2"/>
      <c r="S527" s="2"/>
      <c r="T527" s="2"/>
      <c r="U527" s="39">
        <f>IF(I527="N",T527*Supuestos!$B$4,T527*Supuestos!$C$4)*100</f>
        <v>0</v>
      </c>
      <c r="V527" s="20">
        <f t="shared" si="44"/>
        <v>0</v>
      </c>
      <c r="W527" s="2">
        <f t="shared" si="42"/>
        <v>0</v>
      </c>
      <c r="X527" s="2">
        <f t="shared" si="43"/>
        <v>0</v>
      </c>
    </row>
    <row r="528" spans="1:24" x14ac:dyDescent="0.25">
      <c r="A528" s="6" t="s">
        <v>19</v>
      </c>
      <c r="B528" s="6" t="s">
        <v>140</v>
      </c>
      <c r="C528" s="6" t="s">
        <v>401</v>
      </c>
      <c r="D528" s="6" t="s">
        <v>72</v>
      </c>
      <c r="E528" s="11" t="str">
        <f t="shared" si="40"/>
        <v>SUV</v>
      </c>
      <c r="F528" s="6" t="s">
        <v>14</v>
      </c>
      <c r="G528" s="11">
        <v>1500</v>
      </c>
      <c r="H528" s="6" t="s">
        <v>1050</v>
      </c>
      <c r="I528" s="6" t="str">
        <f t="shared" si="41"/>
        <v>N</v>
      </c>
      <c r="J528" s="17" t="s">
        <v>9</v>
      </c>
      <c r="K528" s="6">
        <v>147</v>
      </c>
      <c r="L528" s="9">
        <v>3</v>
      </c>
      <c r="M528" s="2">
        <v>3</v>
      </c>
      <c r="N528" s="2">
        <v>32490</v>
      </c>
      <c r="O528" s="2" t="s">
        <v>1060</v>
      </c>
      <c r="P528" s="2" t="s">
        <v>451</v>
      </c>
      <c r="Q528" s="2" t="s">
        <v>424</v>
      </c>
      <c r="R528" s="2">
        <v>1950</v>
      </c>
      <c r="S528" s="2"/>
      <c r="T528" s="2">
        <v>180</v>
      </c>
      <c r="U528" s="39">
        <f>IF(I528="N",T528*Supuestos!$B$4,T528*Supuestos!$C$4)*100</f>
        <v>7.7026186678269664</v>
      </c>
      <c r="V528" s="20">
        <f t="shared" si="44"/>
        <v>12.982597777777778</v>
      </c>
      <c r="W528" s="2">
        <f t="shared" si="42"/>
        <v>540</v>
      </c>
      <c r="X528" s="2">
        <f t="shared" si="43"/>
        <v>23.107856003480897</v>
      </c>
    </row>
    <row r="529" spans="1:24" x14ac:dyDescent="0.25">
      <c r="A529" s="6" t="s">
        <v>32</v>
      </c>
      <c r="B529" s="6" t="s">
        <v>680</v>
      </c>
      <c r="C529" s="6" t="s">
        <v>401</v>
      </c>
      <c r="D529" s="6" t="s">
        <v>72</v>
      </c>
      <c r="E529" s="11" t="str">
        <f t="shared" si="40"/>
        <v>SUV</v>
      </c>
      <c r="F529" s="6" t="s">
        <v>14</v>
      </c>
      <c r="G529" s="11">
        <v>1500</v>
      </c>
      <c r="H529" s="6" t="s">
        <v>1050</v>
      </c>
      <c r="I529" s="6" t="str">
        <f t="shared" si="41"/>
        <v>N</v>
      </c>
      <c r="J529" s="17" t="s">
        <v>9</v>
      </c>
      <c r="K529" s="6">
        <v>174</v>
      </c>
      <c r="L529" s="9">
        <v>3</v>
      </c>
      <c r="M529" s="2">
        <v>3</v>
      </c>
      <c r="N529" s="2">
        <v>30990</v>
      </c>
      <c r="O529" s="2" t="s">
        <v>1053</v>
      </c>
      <c r="P529" s="2" t="s">
        <v>1163</v>
      </c>
      <c r="Q529" s="2" t="s">
        <v>424</v>
      </c>
      <c r="R529" s="2">
        <v>1732</v>
      </c>
      <c r="S529" s="2"/>
      <c r="T529" s="2">
        <v>145</v>
      </c>
      <c r="U529" s="39">
        <f>IF(I529="N",T529*Supuestos!$B$4,T529*Supuestos!$C$4)*100</f>
        <v>6.2048872601939449</v>
      </c>
      <c r="V529" s="20">
        <f t="shared" si="44"/>
        <v>16.11632827586207</v>
      </c>
      <c r="W529" s="2">
        <f t="shared" si="42"/>
        <v>435</v>
      </c>
      <c r="X529" s="2">
        <f t="shared" si="43"/>
        <v>18.614661780581834</v>
      </c>
    </row>
    <row r="530" spans="1:24" x14ac:dyDescent="0.25">
      <c r="A530" s="6" t="s">
        <v>58</v>
      </c>
      <c r="B530" s="6" t="s">
        <v>693</v>
      </c>
      <c r="C530" s="6" t="s">
        <v>401</v>
      </c>
      <c r="D530" s="6" t="s">
        <v>72</v>
      </c>
      <c r="E530" s="11" t="str">
        <f t="shared" si="40"/>
        <v>SUV</v>
      </c>
      <c r="F530" s="6" t="s">
        <v>14</v>
      </c>
      <c r="G530" s="11">
        <v>2000</v>
      </c>
      <c r="H530" s="6" t="s">
        <v>1050</v>
      </c>
      <c r="I530" s="6" t="str">
        <f t="shared" si="41"/>
        <v>N</v>
      </c>
      <c r="J530" s="17" t="s">
        <v>9</v>
      </c>
      <c r="K530" s="6">
        <v>201</v>
      </c>
      <c r="L530" s="9">
        <v>3</v>
      </c>
      <c r="M530" s="2"/>
      <c r="N530" s="2"/>
      <c r="O530" s="2"/>
      <c r="P530" s="2"/>
      <c r="Q530" s="2"/>
      <c r="R530" s="2"/>
      <c r="S530" s="2"/>
      <c r="T530" s="2"/>
      <c r="U530" s="39">
        <f>IF(I530="N",T530*Supuestos!$B$4,T530*Supuestos!$C$4)*100</f>
        <v>0</v>
      </c>
      <c r="V530" s="20">
        <f t="shared" si="44"/>
        <v>0</v>
      </c>
      <c r="W530" s="2">
        <f t="shared" si="42"/>
        <v>0</v>
      </c>
      <c r="X530" s="2">
        <f t="shared" si="43"/>
        <v>0</v>
      </c>
    </row>
    <row r="531" spans="1:24" x14ac:dyDescent="0.25">
      <c r="A531" s="6" t="s">
        <v>60</v>
      </c>
      <c r="B531" s="6" t="s">
        <v>798</v>
      </c>
      <c r="C531" s="6" t="s">
        <v>401</v>
      </c>
      <c r="D531" s="6" t="s">
        <v>72</v>
      </c>
      <c r="E531" s="11" t="str">
        <f t="shared" si="40"/>
        <v>SUV</v>
      </c>
      <c r="F531" s="6" t="s">
        <v>8</v>
      </c>
      <c r="G531" s="11">
        <v>2000</v>
      </c>
      <c r="H531" s="6" t="s">
        <v>1050</v>
      </c>
      <c r="I531" s="6" t="str">
        <f t="shared" si="41"/>
        <v>N</v>
      </c>
      <c r="J531" s="17" t="s">
        <v>419</v>
      </c>
      <c r="K531" s="6">
        <v>330</v>
      </c>
      <c r="L531" s="9">
        <v>3</v>
      </c>
      <c r="M531" s="2"/>
      <c r="N531" s="2"/>
      <c r="O531" s="2"/>
      <c r="P531" s="2"/>
      <c r="Q531" s="2"/>
      <c r="R531" s="2"/>
      <c r="S531" s="2"/>
      <c r="T531" s="2"/>
      <c r="U531" s="39">
        <f>IF(I531="N",T531*Supuestos!$B$4,T531*Supuestos!$C$4)*100</f>
        <v>0</v>
      </c>
      <c r="V531" s="20">
        <f t="shared" si="44"/>
        <v>0</v>
      </c>
      <c r="W531" s="2">
        <f t="shared" si="42"/>
        <v>0</v>
      </c>
      <c r="X531" s="2">
        <f t="shared" si="43"/>
        <v>0</v>
      </c>
    </row>
    <row r="532" spans="1:24" x14ac:dyDescent="0.25">
      <c r="A532" s="6" t="s">
        <v>42</v>
      </c>
      <c r="B532" s="6" t="s">
        <v>249</v>
      </c>
      <c r="C532" s="6" t="s">
        <v>401</v>
      </c>
      <c r="D532" s="6" t="s">
        <v>72</v>
      </c>
      <c r="E532" s="11" t="str">
        <f t="shared" si="40"/>
        <v>SUV</v>
      </c>
      <c r="F532" s="6" t="s">
        <v>11</v>
      </c>
      <c r="G532" s="11">
        <v>2000</v>
      </c>
      <c r="H532" s="6" t="s">
        <v>1050</v>
      </c>
      <c r="I532" s="6" t="str">
        <f t="shared" si="41"/>
        <v>N</v>
      </c>
      <c r="J532" s="17" t="s">
        <v>9</v>
      </c>
      <c r="K532" s="6">
        <v>306</v>
      </c>
      <c r="L532" s="9">
        <v>3</v>
      </c>
      <c r="M532" s="2"/>
      <c r="N532" s="2"/>
      <c r="O532" s="2"/>
      <c r="P532" s="2"/>
      <c r="Q532" s="2"/>
      <c r="R532" s="2"/>
      <c r="S532" s="2"/>
      <c r="T532" s="2"/>
      <c r="U532" s="39">
        <f>IF(I532="N",T532*Supuestos!$B$4,T532*Supuestos!$C$4)*100</f>
        <v>0</v>
      </c>
      <c r="V532" s="20">
        <f t="shared" si="44"/>
        <v>0</v>
      </c>
      <c r="W532" s="2">
        <f t="shared" si="42"/>
        <v>0</v>
      </c>
      <c r="X532" s="2">
        <f t="shared" si="43"/>
        <v>0</v>
      </c>
    </row>
    <row r="533" spans="1:24" x14ac:dyDescent="0.25">
      <c r="A533" s="6" t="s">
        <v>42</v>
      </c>
      <c r="B533" s="6" t="s">
        <v>836</v>
      </c>
      <c r="C533" s="6" t="s">
        <v>401</v>
      </c>
      <c r="D533" s="6" t="s">
        <v>72</v>
      </c>
      <c r="E533" s="11" t="str">
        <f t="shared" si="40"/>
        <v>SUV</v>
      </c>
      <c r="F533" s="6"/>
      <c r="G533" s="11">
        <v>2000</v>
      </c>
      <c r="H533" s="6" t="s">
        <v>1050</v>
      </c>
      <c r="I533" s="6" t="str">
        <f t="shared" si="41"/>
        <v>N</v>
      </c>
      <c r="J533" s="17" t="s">
        <v>419</v>
      </c>
      <c r="K533" s="6"/>
      <c r="L533" s="9">
        <v>3</v>
      </c>
      <c r="M533" s="2"/>
      <c r="N533" s="2"/>
      <c r="O533" s="2"/>
      <c r="P533" s="2"/>
      <c r="Q533" s="2"/>
      <c r="R533" s="2"/>
      <c r="S533" s="2"/>
      <c r="T533" s="2"/>
      <c r="U533" s="39">
        <f>IF(I533="N",T533*Supuestos!$B$4,T533*Supuestos!$C$4)*100</f>
        <v>0</v>
      </c>
      <c r="V533" s="20">
        <f t="shared" si="44"/>
        <v>0</v>
      </c>
      <c r="W533" s="2">
        <f t="shared" si="42"/>
        <v>0</v>
      </c>
      <c r="X533" s="2">
        <f t="shared" si="43"/>
        <v>0</v>
      </c>
    </row>
    <row r="534" spans="1:24" x14ac:dyDescent="0.25">
      <c r="A534" s="6" t="s">
        <v>90</v>
      </c>
      <c r="B534" s="6" t="s">
        <v>291</v>
      </c>
      <c r="C534" s="6" t="s">
        <v>401</v>
      </c>
      <c r="D534" s="6" t="s">
        <v>72</v>
      </c>
      <c r="E534" s="11" t="str">
        <f t="shared" si="40"/>
        <v>SUV</v>
      </c>
      <c r="F534" s="6" t="s">
        <v>57</v>
      </c>
      <c r="G534" s="11">
        <v>1200</v>
      </c>
      <c r="H534" s="6" t="s">
        <v>1050</v>
      </c>
      <c r="I534" s="6" t="str">
        <f t="shared" si="41"/>
        <v>N</v>
      </c>
      <c r="J534" s="17" t="s">
        <v>9</v>
      </c>
      <c r="K534" s="6">
        <v>110</v>
      </c>
      <c r="L534" s="9">
        <v>3</v>
      </c>
      <c r="M534" s="2"/>
      <c r="N534" s="2"/>
      <c r="O534" s="2"/>
      <c r="P534" s="2"/>
      <c r="Q534" s="2"/>
      <c r="R534" s="2"/>
      <c r="S534" s="2"/>
      <c r="T534" s="2"/>
      <c r="U534" s="39">
        <f>IF(I534="N",T534*Supuestos!$B$4,T534*Supuestos!$C$4)*100</f>
        <v>0</v>
      </c>
      <c r="V534" s="20">
        <f t="shared" si="44"/>
        <v>0</v>
      </c>
      <c r="W534" s="2">
        <f t="shared" si="42"/>
        <v>0</v>
      </c>
      <c r="X534" s="2">
        <f t="shared" si="43"/>
        <v>0</v>
      </c>
    </row>
    <row r="535" spans="1:24" x14ac:dyDescent="0.25">
      <c r="A535" s="6" t="s">
        <v>49</v>
      </c>
      <c r="B535" s="6" t="s">
        <v>956</v>
      </c>
      <c r="C535" s="6" t="s">
        <v>401</v>
      </c>
      <c r="D535" s="6" t="s">
        <v>72</v>
      </c>
      <c r="E535" s="11" t="str">
        <f t="shared" si="40"/>
        <v>SUV</v>
      </c>
      <c r="F535" s="6" t="s">
        <v>45</v>
      </c>
      <c r="G535" s="11">
        <v>2000</v>
      </c>
      <c r="H535" s="6" t="s">
        <v>1050</v>
      </c>
      <c r="I535" s="6" t="str">
        <f t="shared" si="41"/>
        <v>N</v>
      </c>
      <c r="J535" s="17" t="s">
        <v>9</v>
      </c>
      <c r="K535" s="6">
        <v>156</v>
      </c>
      <c r="L535" s="9">
        <v>3</v>
      </c>
      <c r="M535" s="2">
        <v>3</v>
      </c>
      <c r="N535" s="2">
        <v>50800</v>
      </c>
      <c r="O535" s="2" t="s">
        <v>1053</v>
      </c>
      <c r="P535" s="2" t="s">
        <v>1202</v>
      </c>
      <c r="Q535" s="2" t="s">
        <v>422</v>
      </c>
      <c r="R535" s="2">
        <v>2100</v>
      </c>
      <c r="S535" s="2"/>
      <c r="T535" s="2">
        <v>165</v>
      </c>
      <c r="U535" s="39">
        <f>IF(I535="N",T535*Supuestos!$B$4,T535*Supuestos!$C$4)*100</f>
        <v>7.0607337788413851</v>
      </c>
      <c r="V535" s="20">
        <f t="shared" si="44"/>
        <v>14.162833939393941</v>
      </c>
      <c r="W535" s="2">
        <f t="shared" si="42"/>
        <v>495</v>
      </c>
      <c r="X535" s="2">
        <f t="shared" si="43"/>
        <v>21.182201336524155</v>
      </c>
    </row>
    <row r="536" spans="1:24" x14ac:dyDescent="0.25">
      <c r="A536" s="6" t="s">
        <v>50</v>
      </c>
      <c r="B536" s="6" t="s">
        <v>973</v>
      </c>
      <c r="C536" s="6" t="s">
        <v>401</v>
      </c>
      <c r="D536" s="6" t="s">
        <v>72</v>
      </c>
      <c r="E536" s="11" t="str">
        <f t="shared" si="40"/>
        <v>SUV</v>
      </c>
      <c r="F536" s="6" t="s">
        <v>45</v>
      </c>
      <c r="G536" s="11">
        <v>1500</v>
      </c>
      <c r="H536" s="6" t="s">
        <v>1050</v>
      </c>
      <c r="I536" s="6" t="str">
        <f t="shared" si="41"/>
        <v>N</v>
      </c>
      <c r="J536" s="17" t="s">
        <v>9</v>
      </c>
      <c r="K536" s="6">
        <v>102</v>
      </c>
      <c r="L536" s="9">
        <v>3</v>
      </c>
      <c r="M536" s="2"/>
      <c r="N536" s="2"/>
      <c r="O536" s="2"/>
      <c r="P536" s="2"/>
      <c r="Q536" s="2"/>
      <c r="R536" s="2"/>
      <c r="S536" s="2"/>
      <c r="T536" s="2"/>
      <c r="U536" s="39">
        <f>IF(I536="N",T536*Supuestos!$B$4,T536*Supuestos!$C$4)*100</f>
        <v>0</v>
      </c>
      <c r="V536" s="20">
        <f t="shared" si="44"/>
        <v>0</v>
      </c>
      <c r="W536" s="2">
        <f t="shared" si="42"/>
        <v>0</v>
      </c>
      <c r="X536" s="2">
        <f t="shared" si="43"/>
        <v>0</v>
      </c>
    </row>
    <row r="537" spans="1:24" x14ac:dyDescent="0.25">
      <c r="A537" s="6" t="s">
        <v>50</v>
      </c>
      <c r="B537" s="6" t="s">
        <v>975</v>
      </c>
      <c r="C537" s="6" t="s">
        <v>401</v>
      </c>
      <c r="D537" s="6" t="s">
        <v>72</v>
      </c>
      <c r="E537" s="11" t="str">
        <f t="shared" si="40"/>
        <v>SUV</v>
      </c>
      <c r="F537" s="6" t="s">
        <v>45</v>
      </c>
      <c r="G537" s="11">
        <v>1500</v>
      </c>
      <c r="H537" s="6" t="s">
        <v>1050</v>
      </c>
      <c r="I537" s="6" t="str">
        <f t="shared" si="41"/>
        <v>N</v>
      </c>
      <c r="J537" s="17" t="s">
        <v>9</v>
      </c>
      <c r="K537" s="6">
        <v>102</v>
      </c>
      <c r="L537" s="9">
        <v>3</v>
      </c>
      <c r="M537" s="2"/>
      <c r="N537" s="2"/>
      <c r="O537" s="2"/>
      <c r="P537" s="2"/>
      <c r="Q537" s="2"/>
      <c r="R537" s="2"/>
      <c r="S537" s="2"/>
      <c r="T537" s="2"/>
      <c r="U537" s="39">
        <f>IF(I537="N",T537*Supuestos!$B$4,T537*Supuestos!$C$4)*100</f>
        <v>0</v>
      </c>
      <c r="V537" s="20">
        <f t="shared" si="44"/>
        <v>0</v>
      </c>
      <c r="W537" s="2">
        <f t="shared" si="42"/>
        <v>0</v>
      </c>
      <c r="X537" s="2">
        <f t="shared" si="43"/>
        <v>0</v>
      </c>
    </row>
    <row r="538" spans="1:24" x14ac:dyDescent="0.25">
      <c r="A538" s="6" t="s">
        <v>92</v>
      </c>
      <c r="B538" s="6" t="s">
        <v>983</v>
      </c>
      <c r="C538" s="6" t="s">
        <v>401</v>
      </c>
      <c r="D538" s="6" t="s">
        <v>72</v>
      </c>
      <c r="E538" s="11" t="str">
        <f t="shared" si="40"/>
        <v>SUV</v>
      </c>
      <c r="F538" s="6"/>
      <c r="G538" s="11"/>
      <c r="H538" s="6" t="s">
        <v>1051</v>
      </c>
      <c r="I538" s="6" t="str">
        <f t="shared" si="41"/>
        <v>E</v>
      </c>
      <c r="J538" s="17" t="s">
        <v>418</v>
      </c>
      <c r="K538" s="6">
        <v>0</v>
      </c>
      <c r="L538" s="9">
        <v>3</v>
      </c>
      <c r="M538" s="21">
        <v>3</v>
      </c>
      <c r="N538" s="2">
        <v>67900</v>
      </c>
      <c r="O538" s="2" t="s">
        <v>1060</v>
      </c>
      <c r="P538" s="2" t="s">
        <v>1362</v>
      </c>
      <c r="Q538" s="2"/>
      <c r="R538" s="2">
        <v>2518</v>
      </c>
      <c r="S538" s="2">
        <v>6.1</v>
      </c>
      <c r="T538" s="2"/>
      <c r="U538" s="39">
        <f>IF(I538="N",T538*Supuestos!$B$4,T538*Supuestos!$C$4)*100</f>
        <v>0</v>
      </c>
      <c r="V538" s="20">
        <f t="shared" si="44"/>
        <v>0</v>
      </c>
      <c r="W538" s="2">
        <f t="shared" si="42"/>
        <v>0</v>
      </c>
      <c r="X538" s="2">
        <f t="shared" si="43"/>
        <v>0</v>
      </c>
    </row>
    <row r="539" spans="1:24" x14ac:dyDescent="0.25">
      <c r="A539" s="6" t="s">
        <v>92</v>
      </c>
      <c r="B539" s="6" t="s">
        <v>341</v>
      </c>
      <c r="C539" s="6" t="s">
        <v>401</v>
      </c>
      <c r="D539" s="6" t="s">
        <v>72</v>
      </c>
      <c r="E539" s="11" t="str">
        <f t="shared" si="40"/>
        <v>SUV</v>
      </c>
      <c r="F539" s="6" t="s">
        <v>16</v>
      </c>
      <c r="G539" s="11"/>
      <c r="H539" s="6" t="s">
        <v>1051</v>
      </c>
      <c r="I539" s="6" t="str">
        <f t="shared" si="41"/>
        <v>E</v>
      </c>
      <c r="J539" s="17" t="s">
        <v>418</v>
      </c>
      <c r="K539" s="6">
        <v>476</v>
      </c>
      <c r="L539" s="9">
        <v>3</v>
      </c>
      <c r="M539" s="21">
        <v>3</v>
      </c>
      <c r="N539" s="2">
        <v>95700</v>
      </c>
      <c r="O539" s="2" t="s">
        <v>1060</v>
      </c>
      <c r="P539" s="2" t="s">
        <v>1362</v>
      </c>
      <c r="Q539" s="2"/>
      <c r="R539" s="2">
        <v>2518</v>
      </c>
      <c r="S539" s="2">
        <v>6.1</v>
      </c>
      <c r="T539" s="2"/>
      <c r="U539" s="39">
        <f>IF(I539="N",T539*Supuestos!$B$4,T539*Supuestos!$C$4)*100</f>
        <v>0</v>
      </c>
      <c r="V539" s="20">
        <f t="shared" si="44"/>
        <v>0</v>
      </c>
      <c r="W539" s="2">
        <f t="shared" si="42"/>
        <v>0</v>
      </c>
      <c r="X539" s="2">
        <f t="shared" si="43"/>
        <v>0</v>
      </c>
    </row>
    <row r="540" spans="1:24" x14ac:dyDescent="0.25">
      <c r="A540" s="6" t="s">
        <v>92</v>
      </c>
      <c r="B540" s="6" t="s">
        <v>342</v>
      </c>
      <c r="C540" s="6" t="s">
        <v>401</v>
      </c>
      <c r="D540" s="6" t="s">
        <v>72</v>
      </c>
      <c r="E540" s="11" t="str">
        <f t="shared" si="40"/>
        <v>SUV</v>
      </c>
      <c r="F540" s="6" t="s">
        <v>16</v>
      </c>
      <c r="G540" s="11"/>
      <c r="H540" s="6" t="s">
        <v>1051</v>
      </c>
      <c r="I540" s="6" t="str">
        <f t="shared" si="41"/>
        <v>E</v>
      </c>
      <c r="J540" s="17" t="s">
        <v>418</v>
      </c>
      <c r="K540" s="6">
        <v>490</v>
      </c>
      <c r="L540" s="9">
        <v>3</v>
      </c>
      <c r="M540" s="21">
        <v>3</v>
      </c>
      <c r="N540" s="2">
        <v>91000</v>
      </c>
      <c r="O540" s="2" t="s">
        <v>1060</v>
      </c>
      <c r="P540" s="2" t="s">
        <v>1362</v>
      </c>
      <c r="Q540" s="2"/>
      <c r="R540" s="2">
        <v>2518</v>
      </c>
      <c r="S540" s="2">
        <v>6.1</v>
      </c>
      <c r="T540" s="2"/>
      <c r="U540" s="39">
        <f>IF(I540="N",T540*Supuestos!$B$4,T540*Supuestos!$C$4)*100</f>
        <v>0</v>
      </c>
      <c r="V540" s="20">
        <f t="shared" si="44"/>
        <v>0</v>
      </c>
      <c r="W540" s="2">
        <f t="shared" si="42"/>
        <v>0</v>
      </c>
      <c r="X540" s="2">
        <f t="shared" si="43"/>
        <v>0</v>
      </c>
    </row>
    <row r="541" spans="1:24" x14ac:dyDescent="0.25">
      <c r="A541" s="6" t="s">
        <v>10</v>
      </c>
      <c r="B541" s="6" t="s">
        <v>99</v>
      </c>
      <c r="C541" s="6" t="s">
        <v>401</v>
      </c>
      <c r="D541" s="6" t="s">
        <v>72</v>
      </c>
      <c r="E541" s="11" t="str">
        <f t="shared" si="40"/>
        <v>SUV</v>
      </c>
      <c r="F541" s="6" t="s">
        <v>412</v>
      </c>
      <c r="G541" s="11">
        <v>2000</v>
      </c>
      <c r="H541" s="6" t="s">
        <v>1050</v>
      </c>
      <c r="I541" s="6" t="str">
        <f t="shared" si="41"/>
        <v>N</v>
      </c>
      <c r="J541" s="17" t="s">
        <v>419</v>
      </c>
      <c r="K541" s="6">
        <v>252</v>
      </c>
      <c r="L541" s="9">
        <v>2</v>
      </c>
      <c r="M541" s="2"/>
      <c r="N541" s="2"/>
      <c r="O541" s="2"/>
      <c r="P541" s="2"/>
      <c r="Q541" s="2"/>
      <c r="R541" s="2"/>
      <c r="S541" s="2"/>
      <c r="T541" s="2"/>
      <c r="U541" s="39">
        <f>IF(I541="N",T541*Supuestos!$B$4,T541*Supuestos!$C$4)*100</f>
        <v>0</v>
      </c>
      <c r="V541" s="20">
        <f t="shared" si="44"/>
        <v>0</v>
      </c>
      <c r="W541" s="2">
        <f t="shared" si="42"/>
        <v>0</v>
      </c>
      <c r="X541" s="2">
        <f t="shared" si="43"/>
        <v>0</v>
      </c>
    </row>
    <row r="542" spans="1:24" x14ac:dyDescent="0.25">
      <c r="A542" s="6" t="s">
        <v>10</v>
      </c>
      <c r="B542" s="6" t="s">
        <v>496</v>
      </c>
      <c r="C542" s="6" t="s">
        <v>401</v>
      </c>
      <c r="D542" s="6" t="s">
        <v>72</v>
      </c>
      <c r="E542" s="11" t="str">
        <f t="shared" si="40"/>
        <v>SUV</v>
      </c>
      <c r="F542" s="6" t="s">
        <v>24</v>
      </c>
      <c r="G542" s="11">
        <v>2000</v>
      </c>
      <c r="H542" s="6" t="s">
        <v>1050</v>
      </c>
      <c r="I542" s="6" t="str">
        <f t="shared" si="41"/>
        <v>N</v>
      </c>
      <c r="J542" s="17" t="s">
        <v>420</v>
      </c>
      <c r="K542" s="6">
        <v>367</v>
      </c>
      <c r="L542" s="9">
        <v>2</v>
      </c>
      <c r="M542" s="2"/>
      <c r="N542" s="2"/>
      <c r="O542" s="2"/>
      <c r="P542" s="2"/>
      <c r="Q542" s="2"/>
      <c r="R542" s="2"/>
      <c r="S542" s="2"/>
      <c r="T542" s="2"/>
      <c r="U542" s="39">
        <f>IF(I542="N",T542*Supuestos!$B$4,T542*Supuestos!$C$4)*100</f>
        <v>0</v>
      </c>
      <c r="V542" s="20">
        <f t="shared" si="44"/>
        <v>0</v>
      </c>
      <c r="W542" s="2">
        <f t="shared" si="42"/>
        <v>0</v>
      </c>
      <c r="X542" s="2">
        <f t="shared" si="43"/>
        <v>0</v>
      </c>
    </row>
    <row r="543" spans="1:24" x14ac:dyDescent="0.25">
      <c r="A543" s="6" t="s">
        <v>10</v>
      </c>
      <c r="B543" s="6" t="s">
        <v>110</v>
      </c>
      <c r="C543" s="6" t="s">
        <v>401</v>
      </c>
      <c r="D543" s="6" t="s">
        <v>72</v>
      </c>
      <c r="E543" s="11" t="str">
        <f t="shared" si="40"/>
        <v>SUV</v>
      </c>
      <c r="F543" s="6" t="s">
        <v>24</v>
      </c>
      <c r="G543" s="11">
        <v>3000</v>
      </c>
      <c r="H543" s="6" t="s">
        <v>1050</v>
      </c>
      <c r="I543" s="6" t="str">
        <f t="shared" si="41"/>
        <v>N</v>
      </c>
      <c r="J543" s="17" t="s">
        <v>9</v>
      </c>
      <c r="K543" s="6">
        <v>354</v>
      </c>
      <c r="L543" s="9">
        <v>2</v>
      </c>
      <c r="M543" s="2"/>
      <c r="N543" s="2"/>
      <c r="O543" s="2"/>
      <c r="P543" s="2"/>
      <c r="Q543" s="2"/>
      <c r="R543" s="2"/>
      <c r="S543" s="2"/>
      <c r="T543" s="2"/>
      <c r="U543" s="39">
        <f>IF(I543="N",T543*Supuestos!$B$4,T543*Supuestos!$C$4)*100</f>
        <v>0</v>
      </c>
      <c r="V543" s="20">
        <f t="shared" si="44"/>
        <v>0</v>
      </c>
      <c r="W543" s="2">
        <f t="shared" si="42"/>
        <v>0</v>
      </c>
      <c r="X543" s="2">
        <f t="shared" si="43"/>
        <v>0</v>
      </c>
    </row>
    <row r="544" spans="1:24" x14ac:dyDescent="0.25">
      <c r="A544" s="6" t="s">
        <v>10</v>
      </c>
      <c r="B544" s="6" t="s">
        <v>497</v>
      </c>
      <c r="C544" s="6" t="s">
        <v>401</v>
      </c>
      <c r="D544" s="6" t="s">
        <v>72</v>
      </c>
      <c r="E544" s="11" t="str">
        <f t="shared" si="40"/>
        <v>SUV</v>
      </c>
      <c r="F544" s="6" t="s">
        <v>24</v>
      </c>
      <c r="G544" s="11">
        <v>3000</v>
      </c>
      <c r="H544" s="6" t="s">
        <v>1050</v>
      </c>
      <c r="I544" s="6" t="str">
        <f t="shared" si="41"/>
        <v>N</v>
      </c>
      <c r="J544" s="17" t="s">
        <v>9</v>
      </c>
      <c r="K544" s="6">
        <v>354</v>
      </c>
      <c r="L544" s="9">
        <v>2</v>
      </c>
      <c r="M544" s="2"/>
      <c r="N544" s="2"/>
      <c r="O544" s="2"/>
      <c r="P544" s="2"/>
      <c r="Q544" s="2"/>
      <c r="R544" s="2"/>
      <c r="S544" s="2"/>
      <c r="T544" s="2"/>
      <c r="U544" s="39">
        <f>IF(I544="N",T544*Supuestos!$B$4,T544*Supuestos!$C$4)*100</f>
        <v>0</v>
      </c>
      <c r="V544" s="20">
        <f t="shared" si="44"/>
        <v>0</v>
      </c>
      <c r="W544" s="2">
        <f t="shared" si="42"/>
        <v>0</v>
      </c>
      <c r="X544" s="2">
        <f t="shared" si="43"/>
        <v>0</v>
      </c>
    </row>
    <row r="545" spans="1:24" x14ac:dyDescent="0.25">
      <c r="A545" s="6" t="s">
        <v>13</v>
      </c>
      <c r="B545" s="6" t="s">
        <v>506</v>
      </c>
      <c r="C545" s="6" t="s">
        <v>401</v>
      </c>
      <c r="D545" s="6" t="s">
        <v>72</v>
      </c>
      <c r="E545" s="11" t="str">
        <f t="shared" si="40"/>
        <v>SUV</v>
      </c>
      <c r="F545" s="6" t="s">
        <v>14</v>
      </c>
      <c r="G545" s="11"/>
      <c r="H545" s="6" t="s">
        <v>1051</v>
      </c>
      <c r="I545" s="6" t="str">
        <f t="shared" si="41"/>
        <v>E</v>
      </c>
      <c r="J545" s="17" t="s">
        <v>418</v>
      </c>
      <c r="K545" s="6">
        <v>214</v>
      </c>
      <c r="L545" s="9">
        <v>2</v>
      </c>
      <c r="M545" s="2"/>
      <c r="N545" s="2"/>
      <c r="O545" s="2"/>
      <c r="P545" s="2"/>
      <c r="Q545" s="2"/>
      <c r="R545" s="2"/>
      <c r="S545" s="2"/>
      <c r="T545" s="2"/>
      <c r="U545" s="39">
        <f>IF(I545="N",T545*Supuestos!$B$4,T545*Supuestos!$C$4)*100</f>
        <v>0</v>
      </c>
      <c r="V545" s="20">
        <f t="shared" si="44"/>
        <v>0</v>
      </c>
      <c r="W545" s="2">
        <f t="shared" si="42"/>
        <v>0</v>
      </c>
      <c r="X545" s="2">
        <f t="shared" si="43"/>
        <v>0</v>
      </c>
    </row>
    <row r="546" spans="1:24" x14ac:dyDescent="0.25">
      <c r="A546" s="6" t="s">
        <v>15</v>
      </c>
      <c r="B546" s="6" t="s">
        <v>549</v>
      </c>
      <c r="C546" s="6" t="s">
        <v>401</v>
      </c>
      <c r="D546" s="6" t="s">
        <v>72</v>
      </c>
      <c r="E546" s="11" t="str">
        <f t="shared" si="40"/>
        <v>SUV</v>
      </c>
      <c r="F546" s="6" t="s">
        <v>16</v>
      </c>
      <c r="G546" s="11">
        <v>2000</v>
      </c>
      <c r="H546" s="6" t="s">
        <v>1050</v>
      </c>
      <c r="I546" s="6" t="str">
        <f t="shared" si="41"/>
        <v>N</v>
      </c>
      <c r="J546" s="17" t="s">
        <v>420</v>
      </c>
      <c r="K546" s="6">
        <v>252</v>
      </c>
      <c r="L546" s="9">
        <v>2</v>
      </c>
      <c r="M546" s="2">
        <v>2</v>
      </c>
      <c r="N546" s="2">
        <v>87990</v>
      </c>
      <c r="O546" s="2" t="s">
        <v>1060</v>
      </c>
      <c r="P546" s="2" t="s">
        <v>457</v>
      </c>
      <c r="Q546" s="2" t="s">
        <v>424</v>
      </c>
      <c r="R546" s="2">
        <v>2620</v>
      </c>
      <c r="S546" s="2"/>
      <c r="T546" s="2">
        <v>64</v>
      </c>
      <c r="U546" s="39">
        <f>IF(I546="N",T546*Supuestos!$B$4,T546*Supuestos!$C$4)*100</f>
        <v>2.7387088596718101</v>
      </c>
      <c r="V546" s="20">
        <f t="shared" si="44"/>
        <v>36.513556250000001</v>
      </c>
      <c r="W546" s="2">
        <f t="shared" si="42"/>
        <v>128</v>
      </c>
      <c r="X546" s="2">
        <f t="shared" si="43"/>
        <v>5.4774177193436202</v>
      </c>
    </row>
    <row r="547" spans="1:24" x14ac:dyDescent="0.25">
      <c r="A547" s="6" t="s">
        <v>15</v>
      </c>
      <c r="B547" s="6" t="s">
        <v>559</v>
      </c>
      <c r="C547" s="6" t="s">
        <v>401</v>
      </c>
      <c r="D547" s="6" t="s">
        <v>72</v>
      </c>
      <c r="E547" s="11" t="str">
        <f t="shared" si="40"/>
        <v>SUV</v>
      </c>
      <c r="F547" s="6" t="s">
        <v>16</v>
      </c>
      <c r="G547" s="11">
        <v>3000</v>
      </c>
      <c r="H547" s="6" t="s">
        <v>1052</v>
      </c>
      <c r="I547" s="6" t="str">
        <f t="shared" si="41"/>
        <v>D</v>
      </c>
      <c r="J547" s="17" t="s">
        <v>9</v>
      </c>
      <c r="K547" s="6">
        <v>0</v>
      </c>
      <c r="L547" s="9">
        <v>2</v>
      </c>
      <c r="M547" s="2"/>
      <c r="N547" s="2"/>
      <c r="O547" s="2"/>
      <c r="P547" s="2"/>
      <c r="Q547" s="2"/>
      <c r="R547" s="2"/>
      <c r="S547" s="2"/>
      <c r="T547" s="2"/>
      <c r="U547" s="39">
        <f>IF(I547="N",T547*Supuestos!$B$4,T547*Supuestos!$C$4)*100</f>
        <v>0</v>
      </c>
      <c r="V547" s="20">
        <f t="shared" si="44"/>
        <v>0</v>
      </c>
      <c r="W547" s="2">
        <f t="shared" si="42"/>
        <v>0</v>
      </c>
      <c r="X547" s="2">
        <f t="shared" si="43"/>
        <v>0</v>
      </c>
    </row>
    <row r="548" spans="1:24" x14ac:dyDescent="0.25">
      <c r="A548" s="6" t="s">
        <v>17</v>
      </c>
      <c r="B548" s="6" t="s">
        <v>575</v>
      </c>
      <c r="C548" s="6" t="s">
        <v>401</v>
      </c>
      <c r="D548" s="6" t="s">
        <v>72</v>
      </c>
      <c r="E548" s="11" t="str">
        <f t="shared" si="40"/>
        <v>SUV</v>
      </c>
      <c r="F548" s="6" t="s">
        <v>14</v>
      </c>
      <c r="G548" s="11">
        <v>1500</v>
      </c>
      <c r="H548" s="6" t="s">
        <v>1050</v>
      </c>
      <c r="I548" s="6" t="str">
        <f t="shared" si="41"/>
        <v>N</v>
      </c>
      <c r="J548" s="17" t="s">
        <v>420</v>
      </c>
      <c r="K548" s="6">
        <v>214</v>
      </c>
      <c r="L548" s="9">
        <v>2</v>
      </c>
      <c r="M548" s="2">
        <v>2</v>
      </c>
      <c r="N548" s="2">
        <v>49990</v>
      </c>
      <c r="O548" s="2"/>
      <c r="P548" s="2" t="s">
        <v>1168</v>
      </c>
      <c r="Q548" s="2" t="s">
        <v>444</v>
      </c>
      <c r="R548" s="2">
        <v>2310</v>
      </c>
      <c r="S548" s="2"/>
      <c r="T548" s="2">
        <v>30</v>
      </c>
      <c r="U548" s="39">
        <f>IF(I548="N",T548*Supuestos!$B$4,T548*Supuestos!$C$4)*100</f>
        <v>1.283769777971161</v>
      </c>
      <c r="V548" s="20">
        <f t="shared" si="44"/>
        <v>77.895586666666674</v>
      </c>
      <c r="W548" s="2">
        <f t="shared" si="42"/>
        <v>60</v>
      </c>
      <c r="X548" s="2">
        <f t="shared" si="43"/>
        <v>2.567539555942322</v>
      </c>
    </row>
    <row r="549" spans="1:24" x14ac:dyDescent="0.25">
      <c r="A549" s="6" t="s">
        <v>71</v>
      </c>
      <c r="B549" s="6" t="s">
        <v>127</v>
      </c>
      <c r="C549" s="6" t="s">
        <v>401</v>
      </c>
      <c r="D549" s="6" t="s">
        <v>72</v>
      </c>
      <c r="E549" s="11" t="str">
        <f t="shared" si="40"/>
        <v>SUV</v>
      </c>
      <c r="F549" s="6" t="s">
        <v>14</v>
      </c>
      <c r="G549" s="11">
        <v>1600</v>
      </c>
      <c r="H549" s="6" t="s">
        <v>1050</v>
      </c>
      <c r="I549" s="6" t="str">
        <f t="shared" si="41"/>
        <v>N</v>
      </c>
      <c r="J549" s="17" t="s">
        <v>9</v>
      </c>
      <c r="K549" s="6">
        <v>115</v>
      </c>
      <c r="L549" s="9">
        <v>2</v>
      </c>
      <c r="M549" s="2"/>
      <c r="N549" s="2"/>
      <c r="O549" s="2"/>
      <c r="P549" s="2"/>
      <c r="Q549" s="2"/>
      <c r="R549" s="2"/>
      <c r="S549" s="2"/>
      <c r="T549" s="2"/>
      <c r="U549" s="39">
        <f>IF(I549="N",T549*Supuestos!$B$4,T549*Supuestos!$C$4)*100</f>
        <v>0</v>
      </c>
      <c r="V549" s="20">
        <f t="shared" si="44"/>
        <v>0</v>
      </c>
      <c r="W549" s="2">
        <f t="shared" si="42"/>
        <v>0</v>
      </c>
      <c r="X549" s="2">
        <f t="shared" si="43"/>
        <v>0</v>
      </c>
    </row>
    <row r="550" spans="1:24" x14ac:dyDescent="0.25">
      <c r="A550" s="6" t="s">
        <v>81</v>
      </c>
      <c r="B550" s="6" t="s">
        <v>630</v>
      </c>
      <c r="C550" s="6" t="s">
        <v>401</v>
      </c>
      <c r="D550" s="6" t="s">
        <v>72</v>
      </c>
      <c r="E550" s="11" t="str">
        <f t="shared" si="40"/>
        <v>SUV</v>
      </c>
      <c r="F550" s="6"/>
      <c r="G550" s="11">
        <v>1200</v>
      </c>
      <c r="H550" s="6" t="s">
        <v>1050</v>
      </c>
      <c r="I550" s="6" t="str">
        <f t="shared" si="41"/>
        <v>N</v>
      </c>
      <c r="J550" s="17" t="s">
        <v>9</v>
      </c>
      <c r="K550" s="6">
        <v>130</v>
      </c>
      <c r="L550" s="9">
        <v>2</v>
      </c>
      <c r="M550" s="2"/>
      <c r="N550" s="2"/>
      <c r="O550" s="2"/>
      <c r="P550" s="2"/>
      <c r="Q550" s="2"/>
      <c r="R550" s="2"/>
      <c r="S550" s="2"/>
      <c r="T550" s="2"/>
      <c r="U550" s="39">
        <f>IF(I550="N",T550*Supuestos!$B$4,T550*Supuestos!$C$4)*100</f>
        <v>0</v>
      </c>
      <c r="V550" s="20">
        <f t="shared" si="44"/>
        <v>0</v>
      </c>
      <c r="W550" s="2">
        <f t="shared" si="42"/>
        <v>0</v>
      </c>
      <c r="X550" s="2">
        <f t="shared" si="43"/>
        <v>0</v>
      </c>
    </row>
    <row r="551" spans="1:24" x14ac:dyDescent="0.25">
      <c r="A551" s="6" t="s">
        <v>34</v>
      </c>
      <c r="B551" s="6" t="s">
        <v>221</v>
      </c>
      <c r="C551" s="6" t="s">
        <v>401</v>
      </c>
      <c r="D551" s="6" t="s">
        <v>72</v>
      </c>
      <c r="E551" s="11" t="str">
        <f t="shared" si="40"/>
        <v>SUV</v>
      </c>
      <c r="F551" s="6" t="s">
        <v>20</v>
      </c>
      <c r="G551" s="11">
        <v>2500</v>
      </c>
      <c r="H551" s="6" t="s">
        <v>1050</v>
      </c>
      <c r="I551" s="6" t="str">
        <f t="shared" si="41"/>
        <v>N</v>
      </c>
      <c r="J551" s="17" t="s">
        <v>9</v>
      </c>
      <c r="K551" s="6">
        <v>170</v>
      </c>
      <c r="L551" s="9">
        <v>2</v>
      </c>
      <c r="M551" s="2">
        <v>2</v>
      </c>
      <c r="N551" s="2">
        <v>75990</v>
      </c>
      <c r="O551" s="2" t="s">
        <v>1060</v>
      </c>
      <c r="P551" s="2" t="s">
        <v>1194</v>
      </c>
      <c r="Q551" s="2" t="s">
        <v>424</v>
      </c>
      <c r="R551" s="2">
        <v>2550</v>
      </c>
      <c r="S551" s="2"/>
      <c r="T551" s="2">
        <v>197</v>
      </c>
      <c r="U551" s="39">
        <f>IF(I551="N",T551*Supuestos!$B$4,T551*Supuestos!$C$4)*100</f>
        <v>8.4300882086772919</v>
      </c>
      <c r="V551" s="20">
        <f t="shared" si="44"/>
        <v>11.862272081218272</v>
      </c>
      <c r="W551" s="2">
        <f t="shared" si="42"/>
        <v>394</v>
      </c>
      <c r="X551" s="2">
        <f t="shared" si="43"/>
        <v>16.860176417354584</v>
      </c>
    </row>
    <row r="552" spans="1:24" x14ac:dyDescent="0.25">
      <c r="A552" s="6" t="s">
        <v>34</v>
      </c>
      <c r="B552" s="6" t="s">
        <v>222</v>
      </c>
      <c r="C552" s="6" t="s">
        <v>401</v>
      </c>
      <c r="D552" s="6" t="s">
        <v>72</v>
      </c>
      <c r="E552" s="11" t="str">
        <f t="shared" si="40"/>
        <v>SUV</v>
      </c>
      <c r="F552" s="6" t="s">
        <v>20</v>
      </c>
      <c r="G552" s="11">
        <v>2500</v>
      </c>
      <c r="H552" s="6" t="s">
        <v>1050</v>
      </c>
      <c r="I552" s="6" t="str">
        <f t="shared" si="41"/>
        <v>N</v>
      </c>
      <c r="J552" s="17" t="s">
        <v>9</v>
      </c>
      <c r="K552" s="6">
        <v>170</v>
      </c>
      <c r="L552" s="9">
        <v>2</v>
      </c>
      <c r="M552" s="2">
        <v>2</v>
      </c>
      <c r="N552" s="2">
        <v>64990</v>
      </c>
      <c r="O552" s="2" t="s">
        <v>1060</v>
      </c>
      <c r="P552" s="2" t="s">
        <v>1194</v>
      </c>
      <c r="Q552" s="2" t="s">
        <v>424</v>
      </c>
      <c r="R552" s="2">
        <v>2550</v>
      </c>
      <c r="S552" s="2"/>
      <c r="T552" s="2">
        <v>197</v>
      </c>
      <c r="U552" s="39">
        <f>IF(I552="N",T552*Supuestos!$B$4,T552*Supuestos!$C$4)*100</f>
        <v>8.4300882086772919</v>
      </c>
      <c r="V552" s="20">
        <f t="shared" si="44"/>
        <v>11.862272081218272</v>
      </c>
      <c r="W552" s="2">
        <f t="shared" si="42"/>
        <v>394</v>
      </c>
      <c r="X552" s="2">
        <f t="shared" si="43"/>
        <v>16.860176417354584</v>
      </c>
    </row>
    <row r="553" spans="1:24" x14ac:dyDescent="0.25">
      <c r="A553" s="6" t="s">
        <v>34</v>
      </c>
      <c r="B553" s="6" t="s">
        <v>223</v>
      </c>
      <c r="C553" s="6" t="s">
        <v>401</v>
      </c>
      <c r="D553" s="6" t="s">
        <v>72</v>
      </c>
      <c r="E553" s="11" t="str">
        <f t="shared" si="40"/>
        <v>SUV</v>
      </c>
      <c r="F553" s="6" t="s">
        <v>20</v>
      </c>
      <c r="G553" s="11">
        <v>3500</v>
      </c>
      <c r="H553" s="6" t="s">
        <v>1050</v>
      </c>
      <c r="I553" s="6" t="str">
        <f t="shared" si="41"/>
        <v>N</v>
      </c>
      <c r="J553" s="17" t="s">
        <v>9</v>
      </c>
      <c r="K553" s="6">
        <v>280</v>
      </c>
      <c r="L553" s="9">
        <v>2</v>
      </c>
      <c r="M553" s="2"/>
      <c r="N553" s="2"/>
      <c r="O553" s="2" t="s">
        <v>1060</v>
      </c>
      <c r="P553" s="2"/>
      <c r="Q553" s="2"/>
      <c r="R553" s="2"/>
      <c r="S553" s="2"/>
      <c r="T553" s="2"/>
      <c r="U553" s="39">
        <f>IF(I553="N",T553*Supuestos!$B$4,T553*Supuestos!$C$4)*100</f>
        <v>0</v>
      </c>
      <c r="V553" s="20">
        <f t="shared" si="44"/>
        <v>0</v>
      </c>
      <c r="W553" s="2">
        <f t="shared" si="42"/>
        <v>0</v>
      </c>
      <c r="X553" s="2">
        <f t="shared" si="43"/>
        <v>0</v>
      </c>
    </row>
    <row r="554" spans="1:24" x14ac:dyDescent="0.25">
      <c r="A554" s="6" t="s">
        <v>39</v>
      </c>
      <c r="B554" s="6" t="s">
        <v>243</v>
      </c>
      <c r="C554" s="6" t="s">
        <v>401</v>
      </c>
      <c r="D554" s="6" t="s">
        <v>72</v>
      </c>
      <c r="E554" s="11" t="str">
        <f t="shared" si="40"/>
        <v>SUV</v>
      </c>
      <c r="F554" s="6" t="s">
        <v>20</v>
      </c>
      <c r="G554" s="11">
        <v>3500</v>
      </c>
      <c r="H554" s="6" t="s">
        <v>1050</v>
      </c>
      <c r="I554" s="6" t="str">
        <f t="shared" si="41"/>
        <v>N</v>
      </c>
      <c r="J554" s="17" t="s">
        <v>9</v>
      </c>
      <c r="K554" s="6">
        <v>280</v>
      </c>
      <c r="L554" s="9">
        <v>2</v>
      </c>
      <c r="M554" s="2"/>
      <c r="N554" s="2"/>
      <c r="O554" s="2"/>
      <c r="P554" s="2"/>
      <c r="Q554" s="2"/>
      <c r="R554" s="2"/>
      <c r="S554" s="2"/>
      <c r="T554" s="2"/>
      <c r="U554" s="39">
        <f>IF(I554="N",T554*Supuestos!$B$4,T554*Supuestos!$C$4)*100</f>
        <v>0</v>
      </c>
      <c r="V554" s="20">
        <f t="shared" si="44"/>
        <v>0</v>
      </c>
      <c r="W554" s="2">
        <f t="shared" si="42"/>
        <v>0</v>
      </c>
      <c r="X554" s="2">
        <f t="shared" si="43"/>
        <v>0</v>
      </c>
    </row>
    <row r="555" spans="1:24" x14ac:dyDescent="0.25">
      <c r="A555" s="6" t="s">
        <v>39</v>
      </c>
      <c r="B555" s="6" t="s">
        <v>774</v>
      </c>
      <c r="C555" s="6" t="s">
        <v>401</v>
      </c>
      <c r="D555" s="6" t="s">
        <v>72</v>
      </c>
      <c r="E555" s="11" t="str">
        <f t="shared" si="40"/>
        <v>SUV</v>
      </c>
      <c r="F555" s="6"/>
      <c r="G555" s="11">
        <v>1600</v>
      </c>
      <c r="H555" s="6" t="s">
        <v>1050</v>
      </c>
      <c r="I555" s="6" t="str">
        <f t="shared" si="41"/>
        <v>N</v>
      </c>
      <c r="J555" s="17" t="s">
        <v>421</v>
      </c>
      <c r="K555" s="6"/>
      <c r="L555" s="9">
        <v>2</v>
      </c>
      <c r="M555" s="2">
        <v>2</v>
      </c>
      <c r="N555" s="2">
        <v>43990</v>
      </c>
      <c r="O555" s="2" t="s">
        <v>1060</v>
      </c>
      <c r="P555" s="2" t="s">
        <v>1220</v>
      </c>
      <c r="Q555" s="2" t="s">
        <v>424</v>
      </c>
      <c r="R555" s="2">
        <v>1940</v>
      </c>
      <c r="S555" s="2"/>
      <c r="T555" s="2">
        <v>91</v>
      </c>
      <c r="U555" s="39">
        <f>IF(I555="N",T555*Supuestos!$B$4,T555*Supuestos!$C$4)*100</f>
        <v>3.8941016598458549</v>
      </c>
      <c r="V555" s="20">
        <f t="shared" si="44"/>
        <v>25.679863736263737</v>
      </c>
      <c r="W555" s="2">
        <f t="shared" si="42"/>
        <v>182</v>
      </c>
      <c r="X555" s="2">
        <f t="shared" si="43"/>
        <v>7.7882033196917098</v>
      </c>
    </row>
    <row r="556" spans="1:24" x14ac:dyDescent="0.25">
      <c r="A556" s="6" t="s">
        <v>40</v>
      </c>
      <c r="B556" s="6" t="s">
        <v>782</v>
      </c>
      <c r="C556" s="6" t="s">
        <v>401</v>
      </c>
      <c r="D556" s="6" t="s">
        <v>72</v>
      </c>
      <c r="E556" s="11" t="str">
        <f t="shared" si="40"/>
        <v>SUV</v>
      </c>
      <c r="F556" s="6" t="s">
        <v>412</v>
      </c>
      <c r="G556" s="11">
        <v>2000</v>
      </c>
      <c r="H556" s="6" t="s">
        <v>1050</v>
      </c>
      <c r="I556" s="6" t="str">
        <f t="shared" si="41"/>
        <v>N</v>
      </c>
      <c r="J556" s="17" t="s">
        <v>9</v>
      </c>
      <c r="K556" s="6">
        <v>300</v>
      </c>
      <c r="L556" s="9">
        <v>2</v>
      </c>
      <c r="M556" s="2"/>
      <c r="N556" s="2"/>
      <c r="O556" s="2"/>
      <c r="P556" s="2"/>
      <c r="Q556" s="2"/>
      <c r="R556" s="2"/>
      <c r="S556" s="2"/>
      <c r="T556" s="2"/>
      <c r="U556" s="39">
        <f>IF(I556="N",T556*Supuestos!$B$4,T556*Supuestos!$C$4)*100</f>
        <v>0</v>
      </c>
      <c r="V556" s="20">
        <f t="shared" si="44"/>
        <v>0</v>
      </c>
      <c r="W556" s="2">
        <f t="shared" si="42"/>
        <v>0</v>
      </c>
      <c r="X556" s="2">
        <f t="shared" si="43"/>
        <v>0</v>
      </c>
    </row>
    <row r="557" spans="1:24" x14ac:dyDescent="0.25">
      <c r="A557" s="6" t="s">
        <v>40</v>
      </c>
      <c r="B557" s="6" t="s">
        <v>787</v>
      </c>
      <c r="C557" s="6" t="s">
        <v>401</v>
      </c>
      <c r="D557" s="6" t="s">
        <v>72</v>
      </c>
      <c r="E557" s="11" t="str">
        <f t="shared" si="40"/>
        <v>SUV</v>
      </c>
      <c r="F557" s="6" t="s">
        <v>415</v>
      </c>
      <c r="G557" s="11">
        <v>3000</v>
      </c>
      <c r="H557" s="6" t="s">
        <v>1050</v>
      </c>
      <c r="I557" s="6" t="str">
        <f t="shared" si="41"/>
        <v>N</v>
      </c>
      <c r="J557" s="17" t="s">
        <v>419</v>
      </c>
      <c r="K557" s="6">
        <v>400</v>
      </c>
      <c r="L557" s="9">
        <v>2</v>
      </c>
      <c r="M557" s="2">
        <v>2</v>
      </c>
      <c r="N557" s="2">
        <v>259990</v>
      </c>
      <c r="O557" s="2" t="s">
        <v>1060</v>
      </c>
      <c r="P557" s="2" t="s">
        <v>1223</v>
      </c>
      <c r="Q557" s="2" t="s">
        <v>444</v>
      </c>
      <c r="R557" s="2">
        <v>2670</v>
      </c>
      <c r="S557" s="2"/>
      <c r="T557" s="2">
        <v>206</v>
      </c>
      <c r="U557" s="39">
        <f>IF(I557="N",T557*Supuestos!$B$4,T557*Supuestos!$C$4)*100</f>
        <v>8.8152191420686385</v>
      </c>
      <c r="V557" s="20">
        <f t="shared" si="44"/>
        <v>11.344017475728156</v>
      </c>
      <c r="W557" s="2">
        <f t="shared" si="42"/>
        <v>412</v>
      </c>
      <c r="X557" s="2">
        <f t="shared" si="43"/>
        <v>17.630438284137277</v>
      </c>
    </row>
    <row r="558" spans="1:24" x14ac:dyDescent="0.25">
      <c r="A558" s="6" t="s">
        <v>40</v>
      </c>
      <c r="B558" s="6" t="s">
        <v>788</v>
      </c>
      <c r="C558" s="6" t="s">
        <v>401</v>
      </c>
      <c r="D558" s="6" t="s">
        <v>72</v>
      </c>
      <c r="E558" s="11" t="str">
        <f t="shared" si="40"/>
        <v>SUV</v>
      </c>
      <c r="F558" s="6" t="s">
        <v>415</v>
      </c>
      <c r="G558" s="11">
        <v>3000</v>
      </c>
      <c r="H558" s="6" t="s">
        <v>1050</v>
      </c>
      <c r="I558" s="6" t="str">
        <f t="shared" si="41"/>
        <v>N</v>
      </c>
      <c r="J558" s="17" t="s">
        <v>419</v>
      </c>
      <c r="K558" s="6">
        <v>400</v>
      </c>
      <c r="L558" s="9">
        <v>2</v>
      </c>
      <c r="M558" s="2">
        <v>2</v>
      </c>
      <c r="N558" s="2">
        <v>249990</v>
      </c>
      <c r="O558" s="2" t="s">
        <v>1060</v>
      </c>
      <c r="P558" s="2" t="s">
        <v>1223</v>
      </c>
      <c r="Q558" s="2" t="s">
        <v>444</v>
      </c>
      <c r="R558" s="2">
        <v>2670</v>
      </c>
      <c r="S558" s="2"/>
      <c r="T558" s="2">
        <v>206</v>
      </c>
      <c r="U558" s="39">
        <f>IF(I558="N",T558*Supuestos!$B$4,T558*Supuestos!$C$4)*100</f>
        <v>8.8152191420686385</v>
      </c>
      <c r="V558" s="20">
        <f t="shared" si="44"/>
        <v>11.344017475728156</v>
      </c>
      <c r="W558" s="2">
        <f t="shared" si="42"/>
        <v>412</v>
      </c>
      <c r="X558" s="2">
        <f t="shared" si="43"/>
        <v>17.630438284137277</v>
      </c>
    </row>
    <row r="559" spans="1:24" x14ac:dyDescent="0.25">
      <c r="A559" s="6" t="s">
        <v>60</v>
      </c>
      <c r="B559" s="6" t="s">
        <v>797</v>
      </c>
      <c r="C559" s="6" t="s">
        <v>401</v>
      </c>
      <c r="D559" s="6" t="s">
        <v>72</v>
      </c>
      <c r="E559" s="11" t="str">
        <f t="shared" si="40"/>
        <v>SUV</v>
      </c>
      <c r="F559" s="6" t="s">
        <v>8</v>
      </c>
      <c r="G559" s="11">
        <v>3000</v>
      </c>
      <c r="H559" s="6" t="s">
        <v>1050</v>
      </c>
      <c r="I559" s="6" t="str">
        <f t="shared" si="41"/>
        <v>N</v>
      </c>
      <c r="J559" s="17" t="s">
        <v>421</v>
      </c>
      <c r="K559" s="6">
        <v>530</v>
      </c>
      <c r="L559" s="9">
        <v>2</v>
      </c>
      <c r="M559" s="2"/>
      <c r="N559" s="2"/>
      <c r="O559" s="2"/>
      <c r="P559" s="2"/>
      <c r="Q559" s="2"/>
      <c r="R559" s="2"/>
      <c r="S559" s="2"/>
      <c r="T559" s="2"/>
      <c r="U559" s="39">
        <f>IF(I559="N",T559*Supuestos!$B$4,T559*Supuestos!$C$4)*100</f>
        <v>0</v>
      </c>
      <c r="V559" s="20">
        <f t="shared" si="44"/>
        <v>0</v>
      </c>
      <c r="W559" s="2">
        <f t="shared" si="42"/>
        <v>0</v>
      </c>
      <c r="X559" s="2">
        <f t="shared" si="43"/>
        <v>0</v>
      </c>
    </row>
    <row r="560" spans="1:24" x14ac:dyDescent="0.25">
      <c r="A560" s="6" t="s">
        <v>42</v>
      </c>
      <c r="B560" s="6" t="s">
        <v>837</v>
      </c>
      <c r="C560" s="6" t="s">
        <v>401</v>
      </c>
      <c r="D560" s="6" t="s">
        <v>72</v>
      </c>
      <c r="E560" s="11" t="str">
        <f t="shared" si="40"/>
        <v>SUV</v>
      </c>
      <c r="F560" s="6" t="s">
        <v>16</v>
      </c>
      <c r="G560" s="11">
        <v>3000</v>
      </c>
      <c r="H560" s="6" t="s">
        <v>1050</v>
      </c>
      <c r="I560" s="6" t="str">
        <f t="shared" si="41"/>
        <v>N</v>
      </c>
      <c r="J560" s="17" t="s">
        <v>419</v>
      </c>
      <c r="K560" s="6">
        <v>367</v>
      </c>
      <c r="L560" s="9">
        <v>2</v>
      </c>
      <c r="M560" s="2"/>
      <c r="N560" s="2"/>
      <c r="O560" s="2"/>
      <c r="P560" s="2"/>
      <c r="Q560" s="2"/>
      <c r="R560" s="2"/>
      <c r="S560" s="2"/>
      <c r="T560" s="2"/>
      <c r="U560" s="39">
        <f>IF(I560="N",T560*Supuestos!$B$4,T560*Supuestos!$C$4)*100</f>
        <v>0</v>
      </c>
      <c r="V560" s="20">
        <f t="shared" si="44"/>
        <v>0</v>
      </c>
      <c r="W560" s="2">
        <f t="shared" si="42"/>
        <v>0</v>
      </c>
      <c r="X560" s="2">
        <f t="shared" si="43"/>
        <v>0</v>
      </c>
    </row>
    <row r="561" spans="1:24" x14ac:dyDescent="0.25">
      <c r="A561" s="6" t="s">
        <v>42</v>
      </c>
      <c r="B561" s="6" t="s">
        <v>252</v>
      </c>
      <c r="C561" s="6" t="s">
        <v>401</v>
      </c>
      <c r="D561" s="6" t="s">
        <v>72</v>
      </c>
      <c r="E561" s="11" t="str">
        <f t="shared" si="40"/>
        <v>SUV</v>
      </c>
      <c r="F561" s="6" t="s">
        <v>16</v>
      </c>
      <c r="G561" s="11">
        <v>3000</v>
      </c>
      <c r="H561" s="6" t="s">
        <v>1050</v>
      </c>
      <c r="I561" s="6" t="str">
        <f t="shared" si="41"/>
        <v>N</v>
      </c>
      <c r="J561" s="17" t="s">
        <v>419</v>
      </c>
      <c r="K561" s="6">
        <v>367</v>
      </c>
      <c r="L561" s="9">
        <v>2</v>
      </c>
      <c r="M561" s="2"/>
      <c r="N561" s="2"/>
      <c r="O561" s="2"/>
      <c r="P561" s="2"/>
      <c r="Q561" s="2"/>
      <c r="R561" s="2"/>
      <c r="S561" s="2"/>
      <c r="T561" s="2"/>
      <c r="U561" s="39">
        <f>IF(I561="N",T561*Supuestos!$B$4,T561*Supuestos!$C$4)*100</f>
        <v>0</v>
      </c>
      <c r="V561" s="20">
        <f t="shared" si="44"/>
        <v>0</v>
      </c>
      <c r="W561" s="2">
        <f t="shared" si="42"/>
        <v>0</v>
      </c>
      <c r="X561" s="2">
        <f t="shared" si="43"/>
        <v>0</v>
      </c>
    </row>
    <row r="562" spans="1:24" x14ac:dyDescent="0.25">
      <c r="A562" s="6" t="s">
        <v>43</v>
      </c>
      <c r="B562" s="6" t="s">
        <v>858</v>
      </c>
      <c r="C562" s="6" t="s">
        <v>401</v>
      </c>
      <c r="D562" s="6" t="s">
        <v>72</v>
      </c>
      <c r="E562" s="11" t="str">
        <f t="shared" si="40"/>
        <v>SUV</v>
      </c>
      <c r="F562" s="6" t="s">
        <v>416</v>
      </c>
      <c r="G562" s="11">
        <v>2000</v>
      </c>
      <c r="H562" s="6" t="s">
        <v>1050</v>
      </c>
      <c r="I562" s="6" t="str">
        <f t="shared" si="41"/>
        <v>N</v>
      </c>
      <c r="J562" s="17" t="s">
        <v>9</v>
      </c>
      <c r="K562" s="6">
        <v>192</v>
      </c>
      <c r="L562" s="9">
        <v>2</v>
      </c>
      <c r="M562" s="2"/>
      <c r="N562" s="2"/>
      <c r="O562" s="2"/>
      <c r="P562" s="2"/>
      <c r="Q562" s="2"/>
      <c r="R562" s="2"/>
      <c r="S562" s="2"/>
      <c r="T562" s="2"/>
      <c r="U562" s="39">
        <f>IF(I562="N",T562*Supuestos!$B$4,T562*Supuestos!$C$4)*100</f>
        <v>0</v>
      </c>
      <c r="V562" s="20">
        <f t="shared" si="44"/>
        <v>0</v>
      </c>
      <c r="W562" s="2">
        <f t="shared" si="42"/>
        <v>0</v>
      </c>
      <c r="X562" s="2">
        <f t="shared" si="43"/>
        <v>0</v>
      </c>
    </row>
    <row r="563" spans="1:24" x14ac:dyDescent="0.25">
      <c r="A563" s="6" t="s">
        <v>65</v>
      </c>
      <c r="B563" s="6" t="s">
        <v>907</v>
      </c>
      <c r="C563" s="6" t="s">
        <v>401</v>
      </c>
      <c r="D563" s="6" t="s">
        <v>72</v>
      </c>
      <c r="E563" s="11" t="str">
        <f t="shared" si="40"/>
        <v>SUV</v>
      </c>
      <c r="F563" s="6" t="s">
        <v>11</v>
      </c>
      <c r="G563" s="11">
        <v>3000</v>
      </c>
      <c r="H563" s="6" t="s">
        <v>1050</v>
      </c>
      <c r="I563" s="6" t="str">
        <f t="shared" si="41"/>
        <v>N</v>
      </c>
      <c r="J563" s="17" t="s">
        <v>9</v>
      </c>
      <c r="K563" s="6">
        <v>0</v>
      </c>
      <c r="L563" s="9">
        <v>2</v>
      </c>
      <c r="M563" s="2"/>
      <c r="N563" s="2"/>
      <c r="O563" s="2"/>
      <c r="P563" s="2"/>
      <c r="Q563" s="2"/>
      <c r="R563" s="2"/>
      <c r="S563" s="2"/>
      <c r="T563" s="2"/>
      <c r="U563" s="39">
        <f>IF(I563="N",T563*Supuestos!$B$4,T563*Supuestos!$C$4)*100</f>
        <v>0</v>
      </c>
      <c r="V563" s="20">
        <f t="shared" si="44"/>
        <v>0</v>
      </c>
      <c r="W563" s="2">
        <f t="shared" si="42"/>
        <v>0</v>
      </c>
      <c r="X563" s="2">
        <f t="shared" si="43"/>
        <v>0</v>
      </c>
    </row>
    <row r="564" spans="1:24" x14ac:dyDescent="0.25">
      <c r="A564" s="6" t="s">
        <v>65</v>
      </c>
      <c r="B564" s="6" t="s">
        <v>312</v>
      </c>
      <c r="C564" s="6" t="s">
        <v>401</v>
      </c>
      <c r="D564" s="6" t="s">
        <v>72</v>
      </c>
      <c r="E564" s="11" t="str">
        <f t="shared" si="40"/>
        <v>SUV</v>
      </c>
      <c r="F564" s="6" t="s">
        <v>11</v>
      </c>
      <c r="G564" s="11">
        <v>2000</v>
      </c>
      <c r="H564" s="6" t="s">
        <v>1050</v>
      </c>
      <c r="I564" s="6" t="str">
        <f t="shared" si="41"/>
        <v>N</v>
      </c>
      <c r="J564" s="17" t="s">
        <v>9</v>
      </c>
      <c r="K564" s="6">
        <v>265</v>
      </c>
      <c r="L564" s="9">
        <v>2</v>
      </c>
      <c r="M564" s="2"/>
      <c r="N564" s="2"/>
      <c r="O564" s="2"/>
      <c r="P564" s="2"/>
      <c r="Q564" s="2"/>
      <c r="R564" s="2"/>
      <c r="S564" s="2"/>
      <c r="T564" s="2"/>
      <c r="U564" s="39">
        <f>IF(I564="N",T564*Supuestos!$B$4,T564*Supuestos!$C$4)*100</f>
        <v>0</v>
      </c>
      <c r="V564" s="20">
        <f t="shared" si="44"/>
        <v>0</v>
      </c>
      <c r="W564" s="2">
        <f t="shared" si="42"/>
        <v>0</v>
      </c>
      <c r="X564" s="2">
        <f t="shared" si="43"/>
        <v>0</v>
      </c>
    </row>
    <row r="565" spans="1:24" x14ac:dyDescent="0.25">
      <c r="A565" s="6" t="s">
        <v>65</v>
      </c>
      <c r="B565" s="6" t="s">
        <v>909</v>
      </c>
      <c r="C565" s="6" t="s">
        <v>401</v>
      </c>
      <c r="D565" s="6" t="s">
        <v>72</v>
      </c>
      <c r="E565" s="11" t="str">
        <f t="shared" si="40"/>
        <v>SUV</v>
      </c>
      <c r="F565" s="6" t="s">
        <v>11</v>
      </c>
      <c r="G565" s="11">
        <v>2900</v>
      </c>
      <c r="H565" s="6" t="s">
        <v>1050</v>
      </c>
      <c r="I565" s="6" t="str">
        <f t="shared" si="41"/>
        <v>N</v>
      </c>
      <c r="J565" s="17" t="s">
        <v>9</v>
      </c>
      <c r="K565" s="6">
        <v>380</v>
      </c>
      <c r="L565" s="9">
        <v>2</v>
      </c>
      <c r="M565" s="2"/>
      <c r="N565" s="2"/>
      <c r="O565" s="2"/>
      <c r="P565" s="2"/>
      <c r="Q565" s="2"/>
      <c r="R565" s="2"/>
      <c r="S565" s="2"/>
      <c r="T565" s="2"/>
      <c r="U565" s="39">
        <f>IF(I565="N",T565*Supuestos!$B$4,T565*Supuestos!$C$4)*100</f>
        <v>0</v>
      </c>
      <c r="V565" s="20">
        <f t="shared" si="44"/>
        <v>0</v>
      </c>
      <c r="W565" s="2">
        <f t="shared" si="42"/>
        <v>0</v>
      </c>
      <c r="X565" s="2">
        <f t="shared" si="43"/>
        <v>0</v>
      </c>
    </row>
    <row r="566" spans="1:24" x14ac:dyDescent="0.25">
      <c r="A566" s="6" t="s">
        <v>48</v>
      </c>
      <c r="B566" s="6" t="s">
        <v>919</v>
      </c>
      <c r="C566" s="6" t="s">
        <v>401</v>
      </c>
      <c r="D566" s="6" t="s">
        <v>72</v>
      </c>
      <c r="E566" s="11" t="str">
        <f t="shared" si="40"/>
        <v>SUV</v>
      </c>
      <c r="F566" s="6"/>
      <c r="G566" s="11">
        <v>1300</v>
      </c>
      <c r="H566" s="6" t="s">
        <v>1050</v>
      </c>
      <c r="I566" s="6" t="str">
        <f t="shared" si="41"/>
        <v>N</v>
      </c>
      <c r="J566" s="17" t="s">
        <v>9</v>
      </c>
      <c r="K566" s="6">
        <v>150</v>
      </c>
      <c r="L566" s="9">
        <v>2</v>
      </c>
      <c r="M566" s="2">
        <v>2</v>
      </c>
      <c r="N566" s="2">
        <v>39990</v>
      </c>
      <c r="O566" s="2" t="s">
        <v>1060</v>
      </c>
      <c r="P566" s="2" t="s">
        <v>1170</v>
      </c>
      <c r="Q566" s="2" t="s">
        <v>424</v>
      </c>
      <c r="R566" s="2">
        <v>1890</v>
      </c>
      <c r="S566" s="2"/>
      <c r="T566" s="2">
        <v>139</v>
      </c>
      <c r="U566" s="39">
        <f>IF(I566="N",T566*Supuestos!$B$4,T566*Supuestos!$C$4)*100</f>
        <v>5.9481333045997129</v>
      </c>
      <c r="V566" s="20">
        <f t="shared" si="44"/>
        <v>16.811997122302159</v>
      </c>
      <c r="W566" s="2">
        <f t="shared" si="42"/>
        <v>278</v>
      </c>
      <c r="X566" s="2">
        <f t="shared" si="43"/>
        <v>11.896266609199426</v>
      </c>
    </row>
    <row r="567" spans="1:24" x14ac:dyDescent="0.25">
      <c r="A567" s="6" t="s">
        <v>91</v>
      </c>
      <c r="B567" s="6" t="s">
        <v>326</v>
      </c>
      <c r="C567" s="6" t="s">
        <v>401</v>
      </c>
      <c r="D567" s="6" t="s">
        <v>72</v>
      </c>
      <c r="E567" s="11" t="str">
        <f t="shared" si="40"/>
        <v>SUV</v>
      </c>
      <c r="F567" s="6" t="s">
        <v>57</v>
      </c>
      <c r="G567" s="11">
        <v>1600</v>
      </c>
      <c r="H567" s="6" t="s">
        <v>1050</v>
      </c>
      <c r="I567" s="6" t="str">
        <f t="shared" si="41"/>
        <v>N</v>
      </c>
      <c r="J567" s="17" t="s">
        <v>9</v>
      </c>
      <c r="K567" s="6">
        <v>110</v>
      </c>
      <c r="L567" s="9">
        <v>2</v>
      </c>
      <c r="M567" s="2"/>
      <c r="N567" s="2"/>
      <c r="O567" s="2"/>
      <c r="P567" s="2"/>
      <c r="Q567" s="2"/>
      <c r="R567" s="2"/>
      <c r="S567" s="2"/>
      <c r="T567" s="2"/>
      <c r="U567" s="39">
        <f>IF(I567="N",T567*Supuestos!$B$4,T567*Supuestos!$C$4)*100</f>
        <v>0</v>
      </c>
      <c r="V567" s="20">
        <f t="shared" si="44"/>
        <v>0</v>
      </c>
      <c r="W567" s="2">
        <f t="shared" si="42"/>
        <v>0</v>
      </c>
      <c r="X567" s="2">
        <f t="shared" si="43"/>
        <v>0</v>
      </c>
    </row>
    <row r="568" spans="1:24" x14ac:dyDescent="0.25">
      <c r="A568" s="6" t="s">
        <v>49</v>
      </c>
      <c r="B568" s="6" t="s">
        <v>954</v>
      </c>
      <c r="C568" s="6" t="s">
        <v>401</v>
      </c>
      <c r="D568" s="6" t="s">
        <v>72</v>
      </c>
      <c r="E568" s="11" t="str">
        <f t="shared" si="40"/>
        <v>SUV</v>
      </c>
      <c r="F568" s="6" t="s">
        <v>45</v>
      </c>
      <c r="G568" s="11">
        <v>2000</v>
      </c>
      <c r="H568" s="6" t="s">
        <v>1050</v>
      </c>
      <c r="I568" s="6" t="str">
        <f t="shared" si="41"/>
        <v>N</v>
      </c>
      <c r="J568" s="17" t="s">
        <v>9</v>
      </c>
      <c r="K568" s="6">
        <v>156</v>
      </c>
      <c r="L568" s="9">
        <v>2</v>
      </c>
      <c r="M568" s="2">
        <v>2</v>
      </c>
      <c r="N568" s="2">
        <v>56000</v>
      </c>
      <c r="O568" s="2" t="s">
        <v>1053</v>
      </c>
      <c r="P568" s="2" t="s">
        <v>1202</v>
      </c>
      <c r="Q568" s="2" t="s">
        <v>422</v>
      </c>
      <c r="R568" s="2">
        <v>2100</v>
      </c>
      <c r="S568" s="2"/>
      <c r="T568" s="2">
        <v>165</v>
      </c>
      <c r="U568" s="39">
        <f>IF(I568="N",T568*Supuestos!$B$4,T568*Supuestos!$C$4)*100</f>
        <v>7.0607337788413851</v>
      </c>
      <c r="V568" s="20">
        <f t="shared" si="44"/>
        <v>14.162833939393941</v>
      </c>
      <c r="W568" s="2">
        <f t="shared" si="42"/>
        <v>330</v>
      </c>
      <c r="X568" s="2">
        <f t="shared" si="43"/>
        <v>14.12146755768277</v>
      </c>
    </row>
    <row r="569" spans="1:24" x14ac:dyDescent="0.25">
      <c r="A569" s="6" t="s">
        <v>52</v>
      </c>
      <c r="B569" s="6" t="s">
        <v>366</v>
      </c>
      <c r="C569" s="6" t="s">
        <v>401</v>
      </c>
      <c r="D569" s="6" t="s">
        <v>72</v>
      </c>
      <c r="E569" s="11" t="str">
        <f t="shared" si="40"/>
        <v>SUV</v>
      </c>
      <c r="F569" s="6" t="s">
        <v>414</v>
      </c>
      <c r="G569" s="11">
        <v>1800</v>
      </c>
      <c r="H569" s="6" t="s">
        <v>1050</v>
      </c>
      <c r="I569" s="6" t="str">
        <f t="shared" si="41"/>
        <v>N</v>
      </c>
      <c r="J569" s="17" t="s">
        <v>421</v>
      </c>
      <c r="K569" s="6">
        <v>122</v>
      </c>
      <c r="L569" s="9">
        <v>2</v>
      </c>
      <c r="M569" s="2"/>
      <c r="N569" s="2"/>
      <c r="O569" s="2"/>
      <c r="P569" s="2"/>
      <c r="Q569" s="2"/>
      <c r="R569" s="2"/>
      <c r="S569" s="2"/>
      <c r="T569" s="2"/>
      <c r="U569" s="39">
        <f>IF(I569="N",T569*Supuestos!$B$4,T569*Supuestos!$C$4)*100</f>
        <v>0</v>
      </c>
      <c r="V569" s="20">
        <f t="shared" si="44"/>
        <v>0</v>
      </c>
      <c r="W569" s="2">
        <f t="shared" si="42"/>
        <v>0</v>
      </c>
      <c r="X569" s="2">
        <f t="shared" si="43"/>
        <v>0</v>
      </c>
    </row>
    <row r="570" spans="1:24" x14ac:dyDescent="0.25">
      <c r="A570" s="6" t="s">
        <v>7</v>
      </c>
      <c r="B570" s="6" t="s">
        <v>485</v>
      </c>
      <c r="C570" s="6" t="s">
        <v>401</v>
      </c>
      <c r="D570" s="6" t="s">
        <v>72</v>
      </c>
      <c r="E570" s="11" t="str">
        <f t="shared" si="40"/>
        <v>SUV</v>
      </c>
      <c r="F570" s="6" t="s">
        <v>8</v>
      </c>
      <c r="G570" s="11">
        <v>2900</v>
      </c>
      <c r="H570" s="6" t="s">
        <v>1050</v>
      </c>
      <c r="I570" s="6" t="str">
        <f t="shared" si="41"/>
        <v>N</v>
      </c>
      <c r="J570" s="17" t="s">
        <v>9</v>
      </c>
      <c r="K570" s="6">
        <v>510</v>
      </c>
      <c r="L570" s="9">
        <v>1</v>
      </c>
      <c r="M570" s="2"/>
      <c r="N570" s="2"/>
      <c r="O570" s="2"/>
      <c r="P570" s="2"/>
      <c r="Q570" s="2"/>
      <c r="R570" s="2"/>
      <c r="S570" s="2"/>
      <c r="T570" s="2"/>
      <c r="U570" s="39">
        <f>IF(I570="N",T570*Supuestos!$B$4,T570*Supuestos!$C$4)*100</f>
        <v>0</v>
      </c>
      <c r="V570" s="20">
        <f t="shared" si="44"/>
        <v>0</v>
      </c>
      <c r="W570" s="2">
        <f t="shared" si="42"/>
        <v>0</v>
      </c>
      <c r="X570" s="2">
        <f t="shared" si="43"/>
        <v>0</v>
      </c>
    </row>
    <row r="571" spans="1:24" x14ac:dyDescent="0.25">
      <c r="A571" s="6" t="s">
        <v>10</v>
      </c>
      <c r="B571" s="6" t="s">
        <v>100</v>
      </c>
      <c r="C571" s="6" t="s">
        <v>401</v>
      </c>
      <c r="D571" s="6" t="s">
        <v>72</v>
      </c>
      <c r="E571" s="11" t="str">
        <f t="shared" si="40"/>
        <v>SUV</v>
      </c>
      <c r="F571" s="6" t="s">
        <v>412</v>
      </c>
      <c r="G571" s="11">
        <v>3000</v>
      </c>
      <c r="H571" s="6" t="s">
        <v>1050</v>
      </c>
      <c r="I571" s="6" t="str">
        <f t="shared" si="41"/>
        <v>N</v>
      </c>
      <c r="J571" s="17" t="s">
        <v>419</v>
      </c>
      <c r="K571" s="6">
        <v>340</v>
      </c>
      <c r="L571" s="9">
        <v>1</v>
      </c>
      <c r="M571" s="2"/>
      <c r="N571" s="2"/>
      <c r="O571" s="2"/>
      <c r="P571" s="2"/>
      <c r="Q571" s="2"/>
      <c r="R571" s="2"/>
      <c r="S571" s="2"/>
      <c r="T571" s="2"/>
      <c r="U571" s="39">
        <f>IF(I571="N",T571*Supuestos!$B$4,T571*Supuestos!$C$4)*100</f>
        <v>0</v>
      </c>
      <c r="V571" s="20">
        <f t="shared" si="44"/>
        <v>0</v>
      </c>
      <c r="W571" s="2">
        <f t="shared" si="42"/>
        <v>0</v>
      </c>
      <c r="X571" s="2">
        <f t="shared" si="43"/>
        <v>0</v>
      </c>
    </row>
    <row r="572" spans="1:24" x14ac:dyDescent="0.25">
      <c r="A572" s="6" t="s">
        <v>10</v>
      </c>
      <c r="B572" s="6" t="s">
        <v>104</v>
      </c>
      <c r="C572" s="6" t="s">
        <v>401</v>
      </c>
      <c r="D572" s="6" t="s">
        <v>72</v>
      </c>
      <c r="E572" s="11" t="str">
        <f t="shared" si="40"/>
        <v>SUV</v>
      </c>
      <c r="F572" s="6" t="s">
        <v>51</v>
      </c>
      <c r="G572" s="11">
        <v>2000</v>
      </c>
      <c r="H572" s="6" t="s">
        <v>1050</v>
      </c>
      <c r="I572" s="6" t="str">
        <f t="shared" si="41"/>
        <v>N</v>
      </c>
      <c r="J572" s="17" t="s">
        <v>9</v>
      </c>
      <c r="K572" s="6">
        <v>180</v>
      </c>
      <c r="L572" s="9">
        <v>1</v>
      </c>
      <c r="M572" s="2">
        <v>1</v>
      </c>
      <c r="N572" s="2">
        <v>87900</v>
      </c>
      <c r="O572" s="2" t="s">
        <v>1053</v>
      </c>
      <c r="P572" s="2" t="s">
        <v>1197</v>
      </c>
      <c r="Q572" s="2" t="s">
        <v>422</v>
      </c>
      <c r="R572" s="2">
        <v>2500</v>
      </c>
      <c r="S572" s="2"/>
      <c r="T572" s="2">
        <v>185</v>
      </c>
      <c r="U572" s="39">
        <f>IF(I572="N",T572*Supuestos!$B$4,T572*Supuestos!$C$4)*100</f>
        <v>7.9165802974888262</v>
      </c>
      <c r="V572" s="20">
        <f t="shared" si="44"/>
        <v>12.631716756756758</v>
      </c>
      <c r="W572" s="2">
        <f t="shared" si="42"/>
        <v>185</v>
      </c>
      <c r="X572" s="2">
        <f t="shared" si="43"/>
        <v>7.9165802974888262</v>
      </c>
    </row>
    <row r="573" spans="1:24" x14ac:dyDescent="0.25">
      <c r="A573" s="6" t="s">
        <v>80</v>
      </c>
      <c r="B573" s="6" t="s">
        <v>510</v>
      </c>
      <c r="C573" s="6" t="s">
        <v>401</v>
      </c>
      <c r="D573" s="6" t="s">
        <v>72</v>
      </c>
      <c r="E573" s="11" t="str">
        <f t="shared" si="40"/>
        <v>SUV</v>
      </c>
      <c r="F573" s="6" t="s">
        <v>14</v>
      </c>
      <c r="G573" s="11">
        <v>1500</v>
      </c>
      <c r="H573" s="6" t="s">
        <v>1050</v>
      </c>
      <c r="I573" s="6" t="str">
        <f t="shared" si="41"/>
        <v>N</v>
      </c>
      <c r="J573" s="17" t="s">
        <v>9</v>
      </c>
      <c r="K573" s="6">
        <v>167</v>
      </c>
      <c r="L573" s="9">
        <v>1</v>
      </c>
      <c r="M573" s="2"/>
      <c r="N573" s="2"/>
      <c r="O573" s="2"/>
      <c r="P573" s="2"/>
      <c r="Q573" s="2"/>
      <c r="R573" s="2"/>
      <c r="S573" s="2"/>
      <c r="T573" s="2"/>
      <c r="U573" s="39">
        <f>IF(I573="N",T573*Supuestos!$B$4,T573*Supuestos!$C$4)*100</f>
        <v>0</v>
      </c>
      <c r="V573" s="20">
        <f t="shared" si="44"/>
        <v>0</v>
      </c>
      <c r="W573" s="2">
        <f t="shared" si="42"/>
        <v>0</v>
      </c>
      <c r="X573" s="2">
        <f t="shared" si="43"/>
        <v>0</v>
      </c>
    </row>
    <row r="574" spans="1:24" x14ac:dyDescent="0.25">
      <c r="A574" s="6" t="s">
        <v>15</v>
      </c>
      <c r="B574" s="6" t="s">
        <v>115</v>
      </c>
      <c r="C574" s="6" t="s">
        <v>401</v>
      </c>
      <c r="D574" s="6" t="s">
        <v>72</v>
      </c>
      <c r="E574" s="11" t="str">
        <f t="shared" si="40"/>
        <v>SUV</v>
      </c>
      <c r="F574" s="6" t="s">
        <v>16</v>
      </c>
      <c r="G574" s="11">
        <v>3000</v>
      </c>
      <c r="H574" s="6" t="s">
        <v>1050</v>
      </c>
      <c r="I574" s="6" t="str">
        <f t="shared" si="41"/>
        <v>N</v>
      </c>
      <c r="J574" s="17" t="s">
        <v>9</v>
      </c>
      <c r="K574" s="6">
        <v>510</v>
      </c>
      <c r="L574" s="9">
        <v>1</v>
      </c>
      <c r="M574" s="2"/>
      <c r="N574" s="2"/>
      <c r="O574" s="2"/>
      <c r="P574" s="2"/>
      <c r="Q574" s="2"/>
      <c r="R574" s="2"/>
      <c r="S574" s="2"/>
      <c r="T574" s="2"/>
      <c r="U574" s="39">
        <f>IF(I574="N",T574*Supuestos!$B$4,T574*Supuestos!$C$4)*100</f>
        <v>0</v>
      </c>
      <c r="V574" s="20">
        <f t="shared" si="44"/>
        <v>0</v>
      </c>
      <c r="W574" s="2">
        <f t="shared" si="42"/>
        <v>0</v>
      </c>
      <c r="X574" s="2">
        <f t="shared" si="43"/>
        <v>0</v>
      </c>
    </row>
    <row r="575" spans="1:24" x14ac:dyDescent="0.25">
      <c r="A575" s="6" t="s">
        <v>15</v>
      </c>
      <c r="B575" s="6" t="s">
        <v>118</v>
      </c>
      <c r="C575" s="6" t="s">
        <v>401</v>
      </c>
      <c r="D575" s="6" t="s">
        <v>72</v>
      </c>
      <c r="E575" s="11" t="str">
        <f t="shared" si="40"/>
        <v>SUV</v>
      </c>
      <c r="F575" s="6" t="s">
        <v>16</v>
      </c>
      <c r="G575" s="11">
        <v>3000</v>
      </c>
      <c r="H575" s="6" t="s">
        <v>1050</v>
      </c>
      <c r="I575" s="6" t="str">
        <f t="shared" si="41"/>
        <v>N</v>
      </c>
      <c r="J575" s="17" t="s">
        <v>9</v>
      </c>
      <c r="K575" s="6">
        <v>510</v>
      </c>
      <c r="L575" s="9">
        <v>1</v>
      </c>
      <c r="M575" s="2"/>
      <c r="N575" s="2"/>
      <c r="O575" s="2"/>
      <c r="P575" s="2"/>
      <c r="Q575" s="2"/>
      <c r="R575" s="2"/>
      <c r="S575" s="2"/>
      <c r="T575" s="2"/>
      <c r="U575" s="39">
        <f>IF(I575="N",T575*Supuestos!$B$4,T575*Supuestos!$C$4)*100</f>
        <v>0</v>
      </c>
      <c r="V575" s="20">
        <f t="shared" si="44"/>
        <v>0</v>
      </c>
      <c r="W575" s="2">
        <f t="shared" si="42"/>
        <v>0</v>
      </c>
      <c r="X575" s="2">
        <f t="shared" si="43"/>
        <v>0</v>
      </c>
    </row>
    <row r="576" spans="1:24" x14ac:dyDescent="0.25">
      <c r="A576" s="6" t="s">
        <v>15</v>
      </c>
      <c r="B576" s="6" t="s">
        <v>539</v>
      </c>
      <c r="C576" s="6" t="s">
        <v>401</v>
      </c>
      <c r="D576" s="6" t="s">
        <v>72</v>
      </c>
      <c r="E576" s="11" t="str">
        <f t="shared" si="40"/>
        <v>SUV</v>
      </c>
      <c r="F576" s="6" t="s">
        <v>11</v>
      </c>
      <c r="G576" s="11">
        <v>2000</v>
      </c>
      <c r="H576" s="6" t="s">
        <v>1050</v>
      </c>
      <c r="I576" s="6" t="str">
        <f t="shared" si="41"/>
        <v>N</v>
      </c>
      <c r="J576" s="17" t="s">
        <v>9</v>
      </c>
      <c r="K576" s="6">
        <v>192</v>
      </c>
      <c r="L576" s="9">
        <v>1</v>
      </c>
      <c r="M576" s="2">
        <v>1</v>
      </c>
      <c r="N576" s="2">
        <v>79990</v>
      </c>
      <c r="O576" s="2" t="s">
        <v>1060</v>
      </c>
      <c r="P576" s="2" t="s">
        <v>459</v>
      </c>
      <c r="Q576" s="2" t="s">
        <v>424</v>
      </c>
      <c r="R576" s="2">
        <v>2065</v>
      </c>
      <c r="S576" s="2"/>
      <c r="T576" s="2">
        <v>149</v>
      </c>
      <c r="U576" s="39">
        <f>IF(I576="N",T576*Supuestos!$B$4,T576*Supuestos!$C$4)*100</f>
        <v>6.3760565639234335</v>
      </c>
      <c r="V576" s="20">
        <f t="shared" si="44"/>
        <v>15.683675167785234</v>
      </c>
      <c r="W576" s="2">
        <f t="shared" si="42"/>
        <v>149</v>
      </c>
      <c r="X576" s="2">
        <f t="shared" si="43"/>
        <v>6.3760565639234335</v>
      </c>
    </row>
    <row r="577" spans="1:24" x14ac:dyDescent="0.25">
      <c r="A577" s="6" t="s">
        <v>15</v>
      </c>
      <c r="B577" s="6" t="s">
        <v>541</v>
      </c>
      <c r="C577" s="6" t="s">
        <v>401</v>
      </c>
      <c r="D577" s="6" t="s">
        <v>72</v>
      </c>
      <c r="E577" s="11" t="str">
        <f t="shared" si="40"/>
        <v>SUV</v>
      </c>
      <c r="F577" s="6" t="s">
        <v>16</v>
      </c>
      <c r="G577" s="11">
        <v>3000</v>
      </c>
      <c r="H577" s="6" t="s">
        <v>1050</v>
      </c>
      <c r="I577" s="6" t="str">
        <f t="shared" si="41"/>
        <v>N</v>
      </c>
      <c r="J577" s="17" t="s">
        <v>419</v>
      </c>
      <c r="K577" s="6">
        <v>340</v>
      </c>
      <c r="L577" s="9">
        <v>1</v>
      </c>
      <c r="M577" s="2"/>
      <c r="N577" s="2"/>
      <c r="O577" s="2"/>
      <c r="P577" s="2"/>
      <c r="Q577" s="2"/>
      <c r="R577" s="2"/>
      <c r="S577" s="2"/>
      <c r="T577" s="2"/>
      <c r="U577" s="39">
        <f>IF(I577="N",T577*Supuestos!$B$4,T577*Supuestos!$C$4)*100</f>
        <v>0</v>
      </c>
      <c r="V577" s="20">
        <f t="shared" si="44"/>
        <v>0</v>
      </c>
      <c r="W577" s="2">
        <f t="shared" si="42"/>
        <v>0</v>
      </c>
      <c r="X577" s="2">
        <f t="shared" si="43"/>
        <v>0</v>
      </c>
    </row>
    <row r="578" spans="1:24" x14ac:dyDescent="0.25">
      <c r="A578" s="6" t="s">
        <v>15</v>
      </c>
      <c r="B578" s="6" t="s">
        <v>542</v>
      </c>
      <c r="C578" s="6" t="s">
        <v>401</v>
      </c>
      <c r="D578" s="6" t="s">
        <v>72</v>
      </c>
      <c r="E578" s="11" t="str">
        <f t="shared" ref="E578:E641" si="45">IF(D578="COMERCIAL","UTILITARIO",IF(C578="SUV Y CROSSOVER","SUV","AUTOMOVIL"))</f>
        <v>SUV</v>
      </c>
      <c r="F578" s="6" t="s">
        <v>16</v>
      </c>
      <c r="G578" s="11">
        <v>4400</v>
      </c>
      <c r="H578" s="6" t="s">
        <v>1050</v>
      </c>
      <c r="I578" s="6" t="str">
        <f t="shared" ref="I578:I641" si="46">IF(H578="NAFTA","N",IF(H578="DIESEL","D",IF(H578="ELÉCTRICO","E","")))</f>
        <v>N</v>
      </c>
      <c r="J578" s="17" t="s">
        <v>419</v>
      </c>
      <c r="K578" s="6">
        <v>530</v>
      </c>
      <c r="L578" s="9">
        <v>1</v>
      </c>
      <c r="M578" s="2"/>
      <c r="N578" s="2"/>
      <c r="O578" s="2"/>
      <c r="P578" s="2"/>
      <c r="Q578" s="2"/>
      <c r="R578" s="2"/>
      <c r="S578" s="2"/>
      <c r="T578" s="2"/>
      <c r="U578" s="39">
        <f>IF(I578="N",T578*Supuestos!$B$4,T578*Supuestos!$C$4)*100</f>
        <v>0</v>
      </c>
      <c r="V578" s="20">
        <f t="shared" si="44"/>
        <v>0</v>
      </c>
      <c r="W578" s="2">
        <f t="shared" ref="W578:W641" si="47">T578*M578</f>
        <v>0</v>
      </c>
      <c r="X578" s="2">
        <f t="shared" ref="X578:X641" si="48">+U578*M578</f>
        <v>0</v>
      </c>
    </row>
    <row r="579" spans="1:24" x14ac:dyDescent="0.25">
      <c r="A579" s="6" t="s">
        <v>15</v>
      </c>
      <c r="B579" s="6" t="s">
        <v>555</v>
      </c>
      <c r="C579" s="6" t="s">
        <v>401</v>
      </c>
      <c r="D579" s="6" t="s">
        <v>72</v>
      </c>
      <c r="E579" s="11" t="str">
        <f t="shared" si="45"/>
        <v>SUV</v>
      </c>
      <c r="F579" s="6"/>
      <c r="G579" s="11">
        <v>4400</v>
      </c>
      <c r="H579" s="6" t="s">
        <v>1050</v>
      </c>
      <c r="I579" s="6" t="str">
        <f t="shared" si="46"/>
        <v>N</v>
      </c>
      <c r="J579" s="17" t="s">
        <v>419</v>
      </c>
      <c r="K579" s="6">
        <v>0</v>
      </c>
      <c r="L579" s="9">
        <v>1</v>
      </c>
      <c r="M579" s="2"/>
      <c r="N579" s="2"/>
      <c r="O579" s="2"/>
      <c r="P579" s="2"/>
      <c r="Q579" s="2"/>
      <c r="R579" s="2"/>
      <c r="S579" s="2"/>
      <c r="T579" s="2"/>
      <c r="U579" s="39">
        <f>IF(I579="N",T579*Supuestos!$B$4,T579*Supuestos!$C$4)*100</f>
        <v>0</v>
      </c>
      <c r="V579" s="20">
        <f t="shared" ref="V579:V642" si="49">IF(U579&gt;0,100/U579,0)</f>
        <v>0</v>
      </c>
      <c r="W579" s="2">
        <f t="shared" si="47"/>
        <v>0</v>
      </c>
      <c r="X579" s="2">
        <f t="shared" si="48"/>
        <v>0</v>
      </c>
    </row>
    <row r="580" spans="1:24" x14ac:dyDescent="0.25">
      <c r="A580" s="6" t="s">
        <v>15</v>
      </c>
      <c r="B580" s="6" t="s">
        <v>556</v>
      </c>
      <c r="C580" s="6" t="s">
        <v>401</v>
      </c>
      <c r="D580" s="6" t="s">
        <v>72</v>
      </c>
      <c r="E580" s="11" t="str">
        <f t="shared" si="45"/>
        <v>SUV</v>
      </c>
      <c r="F580" s="6" t="s">
        <v>16</v>
      </c>
      <c r="G580" s="11">
        <v>3000</v>
      </c>
      <c r="H580" s="6" t="s">
        <v>1050</v>
      </c>
      <c r="I580" s="6" t="str">
        <f t="shared" si="46"/>
        <v>N</v>
      </c>
      <c r="J580" s="17" t="s">
        <v>419</v>
      </c>
      <c r="K580" s="6">
        <v>0</v>
      </c>
      <c r="L580" s="9">
        <v>1</v>
      </c>
      <c r="M580" s="2"/>
      <c r="N580" s="2"/>
      <c r="O580" s="2"/>
      <c r="P580" s="2"/>
      <c r="Q580" s="2"/>
      <c r="R580" s="2"/>
      <c r="S580" s="2"/>
      <c r="T580" s="2"/>
      <c r="U580" s="39">
        <f>IF(I580="N",T580*Supuestos!$B$4,T580*Supuestos!$C$4)*100</f>
        <v>0</v>
      </c>
      <c r="V580" s="20">
        <f t="shared" si="49"/>
        <v>0</v>
      </c>
      <c r="W580" s="2">
        <f t="shared" si="47"/>
        <v>0</v>
      </c>
      <c r="X580" s="2">
        <f t="shared" si="48"/>
        <v>0</v>
      </c>
    </row>
    <row r="581" spans="1:24" x14ac:dyDescent="0.25">
      <c r="A581" s="6" t="s">
        <v>15</v>
      </c>
      <c r="B581" s="6" t="s">
        <v>558</v>
      </c>
      <c r="C581" s="6" t="s">
        <v>401</v>
      </c>
      <c r="D581" s="6" t="s">
        <v>72</v>
      </c>
      <c r="E581" s="11" t="str">
        <f t="shared" si="45"/>
        <v>SUV</v>
      </c>
      <c r="F581" s="6" t="s">
        <v>16</v>
      </c>
      <c r="G581" s="11">
        <v>3000</v>
      </c>
      <c r="H581" s="6" t="s">
        <v>1050</v>
      </c>
      <c r="I581" s="6" t="str">
        <f t="shared" si="46"/>
        <v>N</v>
      </c>
      <c r="J581" s="17" t="s">
        <v>420</v>
      </c>
      <c r="K581" s="6">
        <v>483</v>
      </c>
      <c r="L581" s="9">
        <v>1</v>
      </c>
      <c r="M581" s="2"/>
      <c r="N581" s="2"/>
      <c r="O581" s="2"/>
      <c r="P581" s="2"/>
      <c r="Q581" s="2"/>
      <c r="R581" s="2"/>
      <c r="S581" s="2"/>
      <c r="T581" s="2"/>
      <c r="U581" s="39">
        <f>IF(I581="N",T581*Supuestos!$B$4,T581*Supuestos!$C$4)*100</f>
        <v>0</v>
      </c>
      <c r="V581" s="20">
        <f t="shared" si="49"/>
        <v>0</v>
      </c>
      <c r="W581" s="2">
        <f t="shared" si="47"/>
        <v>0</v>
      </c>
      <c r="X581" s="2">
        <f t="shared" si="48"/>
        <v>0</v>
      </c>
    </row>
    <row r="582" spans="1:24" x14ac:dyDescent="0.25">
      <c r="A582" s="6" t="s">
        <v>15</v>
      </c>
      <c r="B582" s="6" t="s">
        <v>562</v>
      </c>
      <c r="C582" s="6" t="s">
        <v>401</v>
      </c>
      <c r="D582" s="6" t="s">
        <v>72</v>
      </c>
      <c r="E582" s="11" t="str">
        <f t="shared" si="45"/>
        <v>SUV</v>
      </c>
      <c r="F582" s="6" t="s">
        <v>16</v>
      </c>
      <c r="G582" s="11">
        <v>4400</v>
      </c>
      <c r="H582" s="6" t="s">
        <v>1050</v>
      </c>
      <c r="I582" s="6" t="str">
        <f t="shared" si="46"/>
        <v>N</v>
      </c>
      <c r="J582" s="17" t="s">
        <v>420</v>
      </c>
      <c r="K582" s="6">
        <v>0</v>
      </c>
      <c r="L582" s="9">
        <v>1</v>
      </c>
      <c r="M582" s="2"/>
      <c r="N582" s="2"/>
      <c r="O582" s="2"/>
      <c r="P582" s="2"/>
      <c r="Q582" s="2"/>
      <c r="R582" s="2"/>
      <c r="S582" s="2"/>
      <c r="T582" s="2"/>
      <c r="U582" s="39">
        <f>IF(I582="N",T582*Supuestos!$B$4,T582*Supuestos!$C$4)*100</f>
        <v>0</v>
      </c>
      <c r="V582" s="20">
        <f t="shared" si="49"/>
        <v>0</v>
      </c>
      <c r="W582" s="2">
        <f t="shared" si="47"/>
        <v>0</v>
      </c>
      <c r="X582" s="2">
        <f t="shared" si="48"/>
        <v>0</v>
      </c>
    </row>
    <row r="583" spans="1:24" x14ac:dyDescent="0.25">
      <c r="A583" s="6" t="s">
        <v>17</v>
      </c>
      <c r="B583" s="6" t="s">
        <v>122</v>
      </c>
      <c r="C583" s="6" t="s">
        <v>401</v>
      </c>
      <c r="D583" s="6" t="s">
        <v>72</v>
      </c>
      <c r="E583" s="11" t="str">
        <f t="shared" si="45"/>
        <v>SUV</v>
      </c>
      <c r="F583" s="6" t="s">
        <v>14</v>
      </c>
      <c r="G583" s="11">
        <v>1500</v>
      </c>
      <c r="H583" s="6" t="s">
        <v>1050</v>
      </c>
      <c r="I583" s="6" t="str">
        <f t="shared" si="46"/>
        <v>N</v>
      </c>
      <c r="J583" s="17" t="s">
        <v>9</v>
      </c>
      <c r="K583" s="6">
        <v>152</v>
      </c>
      <c r="L583" s="9">
        <v>1</v>
      </c>
      <c r="M583" s="2">
        <v>1</v>
      </c>
      <c r="N583" s="2"/>
      <c r="O583" s="2"/>
      <c r="P583" s="2"/>
      <c r="Q583" s="2"/>
      <c r="R583" s="2"/>
      <c r="S583" s="2"/>
      <c r="T583" s="2"/>
      <c r="U583" s="39">
        <f>IF(I583="N",T583*Supuestos!$B$4,T583*Supuestos!$C$4)*100</f>
        <v>0</v>
      </c>
      <c r="V583" s="20">
        <f t="shared" si="49"/>
        <v>0</v>
      </c>
      <c r="W583" s="2">
        <f t="shared" si="47"/>
        <v>0</v>
      </c>
      <c r="X583" s="2">
        <f t="shared" si="48"/>
        <v>0</v>
      </c>
    </row>
    <row r="584" spans="1:24" x14ac:dyDescent="0.25">
      <c r="A584" s="6" t="s">
        <v>17</v>
      </c>
      <c r="B584" s="6" t="s">
        <v>123</v>
      </c>
      <c r="C584" s="6" t="s">
        <v>401</v>
      </c>
      <c r="D584" s="6" t="s">
        <v>72</v>
      </c>
      <c r="E584" s="11" t="str">
        <f t="shared" si="45"/>
        <v>SUV</v>
      </c>
      <c r="F584" s="6" t="s">
        <v>14</v>
      </c>
      <c r="G584" s="11">
        <v>1500</v>
      </c>
      <c r="H584" s="6" t="s">
        <v>1050</v>
      </c>
      <c r="I584" s="6" t="str">
        <f t="shared" si="46"/>
        <v>N</v>
      </c>
      <c r="J584" s="17" t="s">
        <v>9</v>
      </c>
      <c r="K584" s="6">
        <v>152</v>
      </c>
      <c r="L584" s="9">
        <v>1</v>
      </c>
      <c r="M584" s="2">
        <v>1</v>
      </c>
      <c r="N584" s="2"/>
      <c r="O584" s="2"/>
      <c r="P584" s="2"/>
      <c r="Q584" s="2"/>
      <c r="R584" s="2"/>
      <c r="S584" s="2"/>
      <c r="T584" s="2"/>
      <c r="U584" s="39">
        <f>IF(I584="N",T584*Supuestos!$B$4,T584*Supuestos!$C$4)*100</f>
        <v>0</v>
      </c>
      <c r="V584" s="20">
        <f t="shared" si="49"/>
        <v>0</v>
      </c>
      <c r="W584" s="2">
        <f t="shared" si="47"/>
        <v>0</v>
      </c>
      <c r="X584" s="2">
        <f t="shared" si="48"/>
        <v>0</v>
      </c>
    </row>
    <row r="585" spans="1:24" x14ac:dyDescent="0.25">
      <c r="A585" s="6" t="s">
        <v>17</v>
      </c>
      <c r="B585" s="6" t="s">
        <v>124</v>
      </c>
      <c r="C585" s="6" t="s">
        <v>401</v>
      </c>
      <c r="D585" s="6" t="s">
        <v>72</v>
      </c>
      <c r="E585" s="11" t="str">
        <f t="shared" si="45"/>
        <v>SUV</v>
      </c>
      <c r="F585" s="6" t="s">
        <v>14</v>
      </c>
      <c r="G585" s="11">
        <v>1500</v>
      </c>
      <c r="H585" s="6" t="s">
        <v>1050</v>
      </c>
      <c r="I585" s="6" t="str">
        <f t="shared" si="46"/>
        <v>N</v>
      </c>
      <c r="J585" s="17" t="s">
        <v>420</v>
      </c>
      <c r="K585" s="6">
        <v>152</v>
      </c>
      <c r="L585" s="9">
        <v>1</v>
      </c>
      <c r="M585" s="2">
        <v>1</v>
      </c>
      <c r="N585" s="2">
        <v>55990</v>
      </c>
      <c r="O585" s="2" t="s">
        <v>1060</v>
      </c>
      <c r="P585" s="2" t="s">
        <v>1168</v>
      </c>
      <c r="Q585" s="2" t="s">
        <v>444</v>
      </c>
      <c r="R585" s="2">
        <v>2310</v>
      </c>
      <c r="S585" s="2"/>
      <c r="T585" s="2">
        <v>30</v>
      </c>
      <c r="U585" s="39">
        <f>IF(I585="N",T585*Supuestos!$B$4,T585*Supuestos!$C$4)*100</f>
        <v>1.283769777971161</v>
      </c>
      <c r="V585" s="20">
        <f t="shared" si="49"/>
        <v>77.895586666666674</v>
      </c>
      <c r="W585" s="2">
        <f t="shared" si="47"/>
        <v>30</v>
      </c>
      <c r="X585" s="2">
        <f t="shared" si="48"/>
        <v>1.283769777971161</v>
      </c>
    </row>
    <row r="586" spans="1:24" x14ac:dyDescent="0.25">
      <c r="A586" s="6" t="s">
        <v>17</v>
      </c>
      <c r="B586" s="6" t="s">
        <v>125</v>
      </c>
      <c r="C586" s="6" t="s">
        <v>401</v>
      </c>
      <c r="D586" s="6" t="s">
        <v>72</v>
      </c>
      <c r="E586" s="11" t="str">
        <f t="shared" si="45"/>
        <v>SUV</v>
      </c>
      <c r="F586" s="6" t="s">
        <v>14</v>
      </c>
      <c r="G586" s="11"/>
      <c r="H586" s="6" t="s">
        <v>1051</v>
      </c>
      <c r="I586" s="6" t="str">
        <f t="shared" si="46"/>
        <v>E</v>
      </c>
      <c r="J586" s="17" t="s">
        <v>418</v>
      </c>
      <c r="K586" s="6">
        <v>181</v>
      </c>
      <c r="L586" s="9">
        <v>1</v>
      </c>
      <c r="M586" s="2"/>
      <c r="N586" s="2"/>
      <c r="O586" s="2"/>
      <c r="P586" s="2"/>
      <c r="Q586" s="2"/>
      <c r="R586" s="2"/>
      <c r="S586" s="2"/>
      <c r="T586" s="2"/>
      <c r="U586" s="39">
        <f>IF(I586="N",T586*Supuestos!$B$4,T586*Supuestos!$C$4)*100</f>
        <v>0</v>
      </c>
      <c r="V586" s="20">
        <f t="shared" si="49"/>
        <v>0</v>
      </c>
      <c r="W586" s="2">
        <f t="shared" si="47"/>
        <v>0</v>
      </c>
      <c r="X586" s="2">
        <f t="shared" si="48"/>
        <v>0</v>
      </c>
    </row>
    <row r="587" spans="1:24" x14ac:dyDescent="0.25">
      <c r="A587" s="6" t="s">
        <v>81</v>
      </c>
      <c r="B587" s="6" t="s">
        <v>631</v>
      </c>
      <c r="C587" s="6" t="s">
        <v>401</v>
      </c>
      <c r="D587" s="6" t="s">
        <v>72</v>
      </c>
      <c r="E587" s="11" t="str">
        <f t="shared" si="45"/>
        <v>SUV</v>
      </c>
      <c r="F587" s="6"/>
      <c r="G587" s="11">
        <v>1500</v>
      </c>
      <c r="H587" s="6" t="s">
        <v>1052</v>
      </c>
      <c r="I587" s="6" t="str">
        <f t="shared" si="46"/>
        <v>D</v>
      </c>
      <c r="J587" s="17" t="s">
        <v>22</v>
      </c>
      <c r="K587" s="6"/>
      <c r="L587" s="9">
        <v>1</v>
      </c>
      <c r="M587" s="2"/>
      <c r="N587" s="2"/>
      <c r="O587" s="2"/>
      <c r="P587" s="2"/>
      <c r="Q587" s="2"/>
      <c r="R587" s="2"/>
      <c r="S587" s="2"/>
      <c r="T587" s="2"/>
      <c r="U587" s="39">
        <f>IF(I587="N",T587*Supuestos!$B$4,T587*Supuestos!$C$4)*100</f>
        <v>0</v>
      </c>
      <c r="V587" s="20">
        <f t="shared" si="49"/>
        <v>0</v>
      </c>
      <c r="W587" s="2">
        <f t="shared" si="47"/>
        <v>0</v>
      </c>
      <c r="X587" s="2">
        <f t="shared" si="48"/>
        <v>0</v>
      </c>
    </row>
    <row r="588" spans="1:24" x14ac:dyDescent="0.25">
      <c r="A588" s="6" t="s">
        <v>81</v>
      </c>
      <c r="B588" s="6" t="s">
        <v>638</v>
      </c>
      <c r="C588" s="6" t="s">
        <v>401</v>
      </c>
      <c r="D588" s="6" t="s">
        <v>72</v>
      </c>
      <c r="E588" s="11" t="str">
        <f t="shared" si="45"/>
        <v>SUV</v>
      </c>
      <c r="F588" s="6" t="s">
        <v>26</v>
      </c>
      <c r="G588" s="11">
        <v>1600</v>
      </c>
      <c r="H588" s="6" t="s">
        <v>1050</v>
      </c>
      <c r="I588" s="6" t="str">
        <f t="shared" si="46"/>
        <v>N</v>
      </c>
      <c r="J588" s="17" t="s">
        <v>9</v>
      </c>
      <c r="K588" s="6">
        <v>163</v>
      </c>
      <c r="L588" s="9">
        <v>1</v>
      </c>
      <c r="M588" s="2"/>
      <c r="N588" s="2"/>
      <c r="O588" s="2"/>
      <c r="P588" s="2"/>
      <c r="Q588" s="2"/>
      <c r="R588" s="2"/>
      <c r="S588" s="2"/>
      <c r="T588" s="2"/>
      <c r="U588" s="39">
        <f>IF(I588="N",T588*Supuestos!$B$4,T588*Supuestos!$C$4)*100</f>
        <v>0</v>
      </c>
      <c r="V588" s="20">
        <f t="shared" si="49"/>
        <v>0</v>
      </c>
      <c r="W588" s="2">
        <f t="shared" si="47"/>
        <v>0</v>
      </c>
      <c r="X588" s="2">
        <f t="shared" si="48"/>
        <v>0</v>
      </c>
    </row>
    <row r="589" spans="1:24" x14ac:dyDescent="0.25">
      <c r="A589" s="6" t="s">
        <v>28</v>
      </c>
      <c r="B589" s="6" t="s">
        <v>177</v>
      </c>
      <c r="C589" s="6" t="s">
        <v>401</v>
      </c>
      <c r="D589" s="6" t="s">
        <v>72</v>
      </c>
      <c r="E589" s="11" t="str">
        <f t="shared" si="45"/>
        <v>SUV</v>
      </c>
      <c r="F589" s="6" t="s">
        <v>16</v>
      </c>
      <c r="G589" s="11">
        <v>3600</v>
      </c>
      <c r="H589" s="6" t="s">
        <v>1050</v>
      </c>
      <c r="I589" s="6" t="str">
        <f t="shared" si="46"/>
        <v>N</v>
      </c>
      <c r="J589" s="17" t="s">
        <v>9</v>
      </c>
      <c r="K589" s="6">
        <v>290</v>
      </c>
      <c r="L589" s="9">
        <v>1</v>
      </c>
      <c r="M589" s="2"/>
      <c r="N589" s="2"/>
      <c r="O589" s="2"/>
      <c r="P589" s="2"/>
      <c r="Q589" s="2"/>
      <c r="R589" s="2"/>
      <c r="S589" s="2"/>
      <c r="T589" s="2"/>
      <c r="U589" s="39">
        <f>IF(I589="N",T589*Supuestos!$B$4,T589*Supuestos!$C$4)*100</f>
        <v>0</v>
      </c>
      <c r="V589" s="20">
        <f t="shared" si="49"/>
        <v>0</v>
      </c>
      <c r="W589" s="2">
        <f t="shared" si="47"/>
        <v>0</v>
      </c>
      <c r="X589" s="2">
        <f t="shared" si="48"/>
        <v>0</v>
      </c>
    </row>
    <row r="590" spans="1:24" x14ac:dyDescent="0.25">
      <c r="A590" s="6" t="s">
        <v>58</v>
      </c>
      <c r="B590" s="6" t="s">
        <v>690</v>
      </c>
      <c r="C590" s="6" t="s">
        <v>401</v>
      </c>
      <c r="D590" s="6" t="s">
        <v>72</v>
      </c>
      <c r="E590" s="11" t="str">
        <f t="shared" si="45"/>
        <v>SUV</v>
      </c>
      <c r="F590" s="6"/>
      <c r="G590" s="11">
        <v>2000</v>
      </c>
      <c r="H590" s="6" t="s">
        <v>1050</v>
      </c>
      <c r="I590" s="6" t="str">
        <f t="shared" si="46"/>
        <v>N</v>
      </c>
      <c r="J590" s="17" t="s">
        <v>9</v>
      </c>
      <c r="K590" s="6">
        <v>189</v>
      </c>
      <c r="L590" s="9">
        <v>1</v>
      </c>
      <c r="M590" s="2"/>
      <c r="N590" s="2"/>
      <c r="O590" s="2"/>
      <c r="P590" s="2"/>
      <c r="Q590" s="2"/>
      <c r="R590" s="2"/>
      <c r="S590" s="2"/>
      <c r="T590" s="2"/>
      <c r="U590" s="39">
        <f>IF(I590="N",T590*Supuestos!$B$4,T590*Supuestos!$C$4)*100</f>
        <v>0</v>
      </c>
      <c r="V590" s="20">
        <f t="shared" si="49"/>
        <v>0</v>
      </c>
      <c r="W590" s="2">
        <f t="shared" si="47"/>
        <v>0</v>
      </c>
      <c r="X590" s="2">
        <f t="shared" si="48"/>
        <v>0</v>
      </c>
    </row>
    <row r="591" spans="1:24" x14ac:dyDescent="0.25">
      <c r="A591" s="6" t="s">
        <v>34</v>
      </c>
      <c r="B591" s="6" t="s">
        <v>733</v>
      </c>
      <c r="C591" s="6" t="s">
        <v>401</v>
      </c>
      <c r="D591" s="6" t="s">
        <v>72</v>
      </c>
      <c r="E591" s="11" t="str">
        <f t="shared" si="45"/>
        <v>SUV</v>
      </c>
      <c r="F591" s="6" t="s">
        <v>20</v>
      </c>
      <c r="G591" s="11">
        <v>1600</v>
      </c>
      <c r="H591" s="6" t="s">
        <v>1050</v>
      </c>
      <c r="I591" s="6" t="str">
        <f t="shared" si="46"/>
        <v>N</v>
      </c>
      <c r="J591" s="17" t="s">
        <v>9</v>
      </c>
      <c r="K591" s="6">
        <v>180</v>
      </c>
      <c r="L591" s="9">
        <v>1</v>
      </c>
      <c r="M591" s="2">
        <v>1</v>
      </c>
      <c r="N591" s="2">
        <v>66990</v>
      </c>
      <c r="O591" s="2" t="s">
        <v>1060</v>
      </c>
      <c r="P591" s="2" t="s">
        <v>1200</v>
      </c>
      <c r="Q591" s="2" t="s">
        <v>456</v>
      </c>
      <c r="R591" s="2">
        <v>2270</v>
      </c>
      <c r="S591" s="2"/>
      <c r="T591" s="2">
        <v>129</v>
      </c>
      <c r="U591" s="39">
        <f>IF(I591="N",T591*Supuestos!$B$4,T591*Supuestos!$C$4)*100</f>
        <v>5.5202100452759923</v>
      </c>
      <c r="V591" s="20">
        <f t="shared" si="49"/>
        <v>18.115252713178297</v>
      </c>
      <c r="W591" s="2">
        <f t="shared" si="47"/>
        <v>129</v>
      </c>
      <c r="X591" s="2">
        <f t="shared" si="48"/>
        <v>5.5202100452759923</v>
      </c>
    </row>
    <row r="592" spans="1:24" x14ac:dyDescent="0.25">
      <c r="A592" s="6" t="s">
        <v>36</v>
      </c>
      <c r="B592" s="6" t="s">
        <v>740</v>
      </c>
      <c r="C592" s="6" t="s">
        <v>401</v>
      </c>
      <c r="D592" s="6" t="s">
        <v>72</v>
      </c>
      <c r="E592" s="11" t="str">
        <f t="shared" si="45"/>
        <v>SUV</v>
      </c>
      <c r="F592" s="6" t="s">
        <v>14</v>
      </c>
      <c r="G592" s="11">
        <v>1500</v>
      </c>
      <c r="H592" s="6" t="s">
        <v>1050</v>
      </c>
      <c r="I592" s="6" t="str">
        <f t="shared" si="46"/>
        <v>N</v>
      </c>
      <c r="J592" s="17" t="s">
        <v>9</v>
      </c>
      <c r="K592" s="6">
        <v>180</v>
      </c>
      <c r="L592" s="9">
        <v>1</v>
      </c>
      <c r="M592" s="2"/>
      <c r="N592" s="2"/>
      <c r="O592" s="2"/>
      <c r="P592" s="2"/>
      <c r="Q592" s="2"/>
      <c r="R592" s="2"/>
      <c r="S592" s="2"/>
      <c r="T592" s="2"/>
      <c r="U592" s="39">
        <f>IF(I592="N",T592*Supuestos!$B$4,T592*Supuestos!$C$4)*100</f>
        <v>0</v>
      </c>
      <c r="V592" s="20">
        <f t="shared" si="49"/>
        <v>0</v>
      </c>
      <c r="W592" s="2">
        <f t="shared" si="47"/>
        <v>0</v>
      </c>
      <c r="X592" s="2">
        <f t="shared" si="48"/>
        <v>0</v>
      </c>
    </row>
    <row r="593" spans="1:24" x14ac:dyDescent="0.25">
      <c r="A593" s="6" t="s">
        <v>37</v>
      </c>
      <c r="B593" s="6" t="s">
        <v>751</v>
      </c>
      <c r="C593" s="6" t="s">
        <v>401</v>
      </c>
      <c r="D593" s="6" t="s">
        <v>72</v>
      </c>
      <c r="E593" s="11" t="str">
        <f t="shared" si="45"/>
        <v>SUV</v>
      </c>
      <c r="F593" s="6" t="s">
        <v>21</v>
      </c>
      <c r="G593" s="11">
        <v>1300</v>
      </c>
      <c r="H593" s="6" t="s">
        <v>1050</v>
      </c>
      <c r="I593" s="6" t="str">
        <f t="shared" si="46"/>
        <v>N</v>
      </c>
      <c r="J593" s="17" t="s">
        <v>9</v>
      </c>
      <c r="K593" s="6">
        <v>175</v>
      </c>
      <c r="L593" s="9">
        <v>1</v>
      </c>
      <c r="M593" s="2">
        <v>1</v>
      </c>
      <c r="N593" s="2"/>
      <c r="O593" s="2" t="s">
        <v>1060</v>
      </c>
      <c r="P593" s="2" t="s">
        <v>1167</v>
      </c>
      <c r="Q593" s="2" t="s">
        <v>1107</v>
      </c>
      <c r="R593" s="2">
        <v>1844</v>
      </c>
      <c r="S593" s="2"/>
      <c r="T593" s="2">
        <v>179</v>
      </c>
      <c r="U593" s="39">
        <f>IF(I593="N",T593*Supuestos!$B$4,T593*Supuestos!$C$4)*100</f>
        <v>7.6598263418945951</v>
      </c>
      <c r="V593" s="20">
        <f t="shared" si="49"/>
        <v>13.05512625698324</v>
      </c>
      <c r="W593" s="2">
        <f t="shared" si="47"/>
        <v>179</v>
      </c>
      <c r="X593" s="2">
        <f t="shared" si="48"/>
        <v>7.6598263418945951</v>
      </c>
    </row>
    <row r="594" spans="1:24" x14ac:dyDescent="0.25">
      <c r="A594" s="6" t="s">
        <v>476</v>
      </c>
      <c r="B594" s="6" t="s">
        <v>768</v>
      </c>
      <c r="C594" s="6" t="s">
        <v>401</v>
      </c>
      <c r="D594" s="6" t="s">
        <v>72</v>
      </c>
      <c r="E594" s="11" t="str">
        <f t="shared" si="45"/>
        <v>SUV</v>
      </c>
      <c r="F594" s="6" t="s">
        <v>14</v>
      </c>
      <c r="G594" s="11"/>
      <c r="H594" s="6" t="s">
        <v>1051</v>
      </c>
      <c r="I594" s="6" t="str">
        <f t="shared" si="46"/>
        <v>E</v>
      </c>
      <c r="J594" s="17" t="s">
        <v>418</v>
      </c>
      <c r="K594" s="6">
        <v>161</v>
      </c>
      <c r="L594" s="9">
        <v>1</v>
      </c>
      <c r="M594" s="2"/>
      <c r="N594" s="2"/>
      <c r="O594" s="2"/>
      <c r="P594" s="2"/>
      <c r="Q594" s="2"/>
      <c r="R594" s="2"/>
      <c r="S594" s="2"/>
      <c r="T594" s="2"/>
      <c r="U594" s="39">
        <f>IF(I594="N",T594*Supuestos!$B$4,T594*Supuestos!$C$4)*100</f>
        <v>0</v>
      </c>
      <c r="V594" s="20">
        <f t="shared" si="49"/>
        <v>0</v>
      </c>
      <c r="W594" s="2">
        <f t="shared" si="47"/>
        <v>0</v>
      </c>
      <c r="X594" s="2">
        <f t="shared" si="48"/>
        <v>0</v>
      </c>
    </row>
    <row r="595" spans="1:24" x14ac:dyDescent="0.25">
      <c r="A595" s="6" t="s">
        <v>40</v>
      </c>
      <c r="B595" s="6" t="s">
        <v>780</v>
      </c>
      <c r="C595" s="6" t="s">
        <v>401</v>
      </c>
      <c r="D595" s="6" t="s">
        <v>72</v>
      </c>
      <c r="E595" s="11" t="str">
        <f t="shared" si="45"/>
        <v>SUV</v>
      </c>
      <c r="F595" s="6" t="s">
        <v>412</v>
      </c>
      <c r="G595" s="11">
        <v>2000</v>
      </c>
      <c r="H595" s="6" t="s">
        <v>1050</v>
      </c>
      <c r="I595" s="6" t="str">
        <f t="shared" si="46"/>
        <v>N</v>
      </c>
      <c r="J595" s="17" t="s">
        <v>9</v>
      </c>
      <c r="K595" s="6">
        <v>300</v>
      </c>
      <c r="L595" s="9">
        <v>1</v>
      </c>
      <c r="M595" s="2"/>
      <c r="N595" s="2"/>
      <c r="O595" s="2"/>
      <c r="P595" s="2"/>
      <c r="Q595" s="2"/>
      <c r="R595" s="2"/>
      <c r="S595" s="2"/>
      <c r="T595" s="2"/>
      <c r="U595" s="39">
        <f>IF(I595="N",T595*Supuestos!$B$4,T595*Supuestos!$C$4)*100</f>
        <v>0</v>
      </c>
      <c r="V595" s="20">
        <f t="shared" si="49"/>
        <v>0</v>
      </c>
      <c r="W595" s="2">
        <f t="shared" si="47"/>
        <v>0</v>
      </c>
      <c r="X595" s="2">
        <f t="shared" si="48"/>
        <v>0</v>
      </c>
    </row>
    <row r="596" spans="1:24" x14ac:dyDescent="0.25">
      <c r="A596" s="6" t="s">
        <v>40</v>
      </c>
      <c r="B596" s="6" t="s">
        <v>783</v>
      </c>
      <c r="C596" s="6" t="s">
        <v>401</v>
      </c>
      <c r="D596" s="6" t="s">
        <v>72</v>
      </c>
      <c r="E596" s="11" t="str">
        <f t="shared" si="45"/>
        <v>SUV</v>
      </c>
      <c r="F596" s="6" t="s">
        <v>412</v>
      </c>
      <c r="G596" s="11">
        <v>3000</v>
      </c>
      <c r="H596" s="6" t="s">
        <v>1050</v>
      </c>
      <c r="I596" s="6" t="str">
        <f t="shared" si="46"/>
        <v>N</v>
      </c>
      <c r="J596" s="17" t="s">
        <v>419</v>
      </c>
      <c r="K596" s="6">
        <v>400</v>
      </c>
      <c r="L596" s="9">
        <v>1</v>
      </c>
      <c r="M596" s="2"/>
      <c r="N596" s="2"/>
      <c r="O596" s="2"/>
      <c r="P596" s="2"/>
      <c r="Q596" s="2"/>
      <c r="R596" s="2"/>
      <c r="S596" s="2"/>
      <c r="T596" s="2"/>
      <c r="U596" s="39">
        <f>IF(I596="N",T596*Supuestos!$B$4,T596*Supuestos!$C$4)*100</f>
        <v>0</v>
      </c>
      <c r="V596" s="20">
        <f t="shared" si="49"/>
        <v>0</v>
      </c>
      <c r="W596" s="2">
        <f t="shared" si="47"/>
        <v>0</v>
      </c>
      <c r="X596" s="2">
        <f t="shared" si="48"/>
        <v>0</v>
      </c>
    </row>
    <row r="597" spans="1:24" x14ac:dyDescent="0.25">
      <c r="A597" s="6" t="s">
        <v>40</v>
      </c>
      <c r="B597" s="6" t="s">
        <v>784</v>
      </c>
      <c r="C597" s="6" t="s">
        <v>401</v>
      </c>
      <c r="D597" s="6" t="s">
        <v>72</v>
      </c>
      <c r="E597" s="11" t="str">
        <f t="shared" si="45"/>
        <v>SUV</v>
      </c>
      <c r="F597" s="6" t="s">
        <v>412</v>
      </c>
      <c r="G597" s="11">
        <v>2000</v>
      </c>
      <c r="H597" s="6" t="s">
        <v>1050</v>
      </c>
      <c r="I597" s="6" t="str">
        <f t="shared" si="46"/>
        <v>N</v>
      </c>
      <c r="J597" s="17" t="s">
        <v>9</v>
      </c>
      <c r="K597" s="6">
        <v>300</v>
      </c>
      <c r="L597" s="9">
        <v>1</v>
      </c>
      <c r="M597" s="2"/>
      <c r="N597" s="2"/>
      <c r="O597" s="2"/>
      <c r="P597" s="2"/>
      <c r="Q597" s="2"/>
      <c r="R597" s="2"/>
      <c r="S597" s="2"/>
      <c r="T597" s="2"/>
      <c r="U597" s="39">
        <f>IF(I597="N",T597*Supuestos!$B$4,T597*Supuestos!$C$4)*100</f>
        <v>0</v>
      </c>
      <c r="V597" s="20">
        <f t="shared" si="49"/>
        <v>0</v>
      </c>
      <c r="W597" s="2">
        <f t="shared" si="47"/>
        <v>0</v>
      </c>
      <c r="X597" s="2">
        <f t="shared" si="48"/>
        <v>0</v>
      </c>
    </row>
    <row r="598" spans="1:24" x14ac:dyDescent="0.25">
      <c r="A598" s="6" t="s">
        <v>40</v>
      </c>
      <c r="B598" s="6" t="s">
        <v>786</v>
      </c>
      <c r="C598" s="6" t="s">
        <v>401</v>
      </c>
      <c r="D598" s="6" t="s">
        <v>72</v>
      </c>
      <c r="E598" s="11" t="str">
        <f t="shared" si="45"/>
        <v>SUV</v>
      </c>
      <c r="F598" s="6" t="s">
        <v>415</v>
      </c>
      <c r="G598" s="11">
        <v>2000</v>
      </c>
      <c r="H598" s="6" t="s">
        <v>1050</v>
      </c>
      <c r="I598" s="6" t="str">
        <f t="shared" si="46"/>
        <v>N</v>
      </c>
      <c r="J598" s="17" t="s">
        <v>9</v>
      </c>
      <c r="K598" s="6">
        <v>200</v>
      </c>
      <c r="L598" s="9">
        <v>1</v>
      </c>
      <c r="M598" s="2"/>
      <c r="N598" s="2">
        <v>111990</v>
      </c>
      <c r="O598" s="2"/>
      <c r="P598" s="2"/>
      <c r="Q598" s="2"/>
      <c r="R598" s="2"/>
      <c r="S598" s="2"/>
      <c r="T598" s="2"/>
      <c r="U598" s="39">
        <f>IF(I598="N",T598*Supuestos!$B$4,T598*Supuestos!$C$4)*100</f>
        <v>0</v>
      </c>
      <c r="V598" s="20">
        <f t="shared" si="49"/>
        <v>0</v>
      </c>
      <c r="W598" s="2">
        <f t="shared" si="47"/>
        <v>0</v>
      </c>
      <c r="X598" s="2">
        <f t="shared" si="48"/>
        <v>0</v>
      </c>
    </row>
    <row r="599" spans="1:24" x14ac:dyDescent="0.25">
      <c r="A599" s="6" t="s">
        <v>40</v>
      </c>
      <c r="B599" s="6" t="s">
        <v>789</v>
      </c>
      <c r="C599" s="6" t="s">
        <v>401</v>
      </c>
      <c r="D599" s="6" t="s">
        <v>72</v>
      </c>
      <c r="E599" s="11" t="str">
        <f t="shared" si="45"/>
        <v>SUV</v>
      </c>
      <c r="F599" s="6" t="s">
        <v>415</v>
      </c>
      <c r="G599" s="11">
        <v>2000</v>
      </c>
      <c r="H599" s="6" t="s">
        <v>1050</v>
      </c>
      <c r="I599" s="6" t="str">
        <f t="shared" si="46"/>
        <v>N</v>
      </c>
      <c r="J599" s="17" t="s">
        <v>420</v>
      </c>
      <c r="K599" s="6">
        <v>404</v>
      </c>
      <c r="L599" s="9">
        <v>1</v>
      </c>
      <c r="M599" s="2"/>
      <c r="N599" s="2"/>
      <c r="O599" s="2"/>
      <c r="P599" s="2"/>
      <c r="Q599" s="2"/>
      <c r="R599" s="2"/>
      <c r="S599" s="2"/>
      <c r="T599" s="2"/>
      <c r="U599" s="39">
        <f>IF(I599="N",T599*Supuestos!$B$4,T599*Supuestos!$C$4)*100</f>
        <v>0</v>
      </c>
      <c r="V599" s="20">
        <f t="shared" si="49"/>
        <v>0</v>
      </c>
      <c r="W599" s="2">
        <f t="shared" si="47"/>
        <v>0</v>
      </c>
      <c r="X599" s="2">
        <f t="shared" si="48"/>
        <v>0</v>
      </c>
    </row>
    <row r="600" spans="1:24" x14ac:dyDescent="0.25">
      <c r="A600" s="6" t="s">
        <v>40</v>
      </c>
      <c r="B600" s="6" t="s">
        <v>790</v>
      </c>
      <c r="C600" s="6" t="s">
        <v>401</v>
      </c>
      <c r="D600" s="6" t="s">
        <v>72</v>
      </c>
      <c r="E600" s="11" t="str">
        <f t="shared" si="45"/>
        <v>SUV</v>
      </c>
      <c r="F600" s="6" t="s">
        <v>415</v>
      </c>
      <c r="G600" s="11">
        <v>2000</v>
      </c>
      <c r="H600" s="6" t="s">
        <v>1050</v>
      </c>
      <c r="I600" s="6" t="str">
        <f t="shared" si="46"/>
        <v>N</v>
      </c>
      <c r="J600" s="17" t="s">
        <v>420</v>
      </c>
      <c r="K600" s="6">
        <v>404</v>
      </c>
      <c r="L600" s="9">
        <v>1</v>
      </c>
      <c r="M600" s="2"/>
      <c r="N600" s="2"/>
      <c r="O600" s="2"/>
      <c r="P600" s="2"/>
      <c r="Q600" s="2"/>
      <c r="R600" s="2"/>
      <c r="S600" s="2"/>
      <c r="T600" s="2"/>
      <c r="U600" s="39">
        <f>IF(I600="N",T600*Supuestos!$B$4,T600*Supuestos!$C$4)*100</f>
        <v>0</v>
      </c>
      <c r="V600" s="20">
        <f t="shared" si="49"/>
        <v>0</v>
      </c>
      <c r="W600" s="2">
        <f t="shared" si="47"/>
        <v>0</v>
      </c>
      <c r="X600" s="2">
        <f t="shared" si="48"/>
        <v>0</v>
      </c>
    </row>
    <row r="601" spans="1:24" x14ac:dyDescent="0.25">
      <c r="A601" s="6" t="s">
        <v>42</v>
      </c>
      <c r="B601" s="6" t="s">
        <v>827</v>
      </c>
      <c r="C601" s="6" t="s">
        <v>401</v>
      </c>
      <c r="D601" s="6" t="s">
        <v>72</v>
      </c>
      <c r="E601" s="11" t="str">
        <f t="shared" si="45"/>
        <v>SUV</v>
      </c>
      <c r="F601" s="6"/>
      <c r="G601" s="11"/>
      <c r="H601" s="6" t="s">
        <v>1051</v>
      </c>
      <c r="I601" s="6" t="str">
        <f t="shared" si="46"/>
        <v>E</v>
      </c>
      <c r="J601" s="17" t="s">
        <v>418</v>
      </c>
      <c r="K601" s="6">
        <v>292</v>
      </c>
      <c r="L601" s="9">
        <v>1</v>
      </c>
      <c r="M601" s="2"/>
      <c r="N601" s="2"/>
      <c r="O601" s="2"/>
      <c r="P601" s="2"/>
      <c r="Q601" s="2"/>
      <c r="R601" s="2"/>
      <c r="S601" s="2"/>
      <c r="T601" s="2"/>
      <c r="U601" s="39">
        <f>IF(I601="N",T601*Supuestos!$B$4,T601*Supuestos!$C$4)*100</f>
        <v>0</v>
      </c>
      <c r="V601" s="20">
        <f t="shared" si="49"/>
        <v>0</v>
      </c>
      <c r="W601" s="2">
        <f t="shared" si="47"/>
        <v>0</v>
      </c>
      <c r="X601" s="2">
        <f t="shared" si="48"/>
        <v>0</v>
      </c>
    </row>
    <row r="602" spans="1:24" x14ac:dyDescent="0.25">
      <c r="A602" s="6" t="s">
        <v>42</v>
      </c>
      <c r="B602" s="6" t="s">
        <v>828</v>
      </c>
      <c r="C602" s="6" t="s">
        <v>401</v>
      </c>
      <c r="D602" s="6" t="s">
        <v>72</v>
      </c>
      <c r="E602" s="11" t="str">
        <f t="shared" si="45"/>
        <v>SUV</v>
      </c>
      <c r="F602" s="6" t="s">
        <v>1048</v>
      </c>
      <c r="G602" s="11">
        <v>4000</v>
      </c>
      <c r="H602" s="6" t="s">
        <v>1050</v>
      </c>
      <c r="I602" s="6" t="str">
        <f t="shared" si="46"/>
        <v>N</v>
      </c>
      <c r="J602" s="17" t="s">
        <v>9</v>
      </c>
      <c r="K602" s="6">
        <v>422</v>
      </c>
      <c r="L602" s="9">
        <v>1</v>
      </c>
      <c r="M602" s="2"/>
      <c r="N602" s="2"/>
      <c r="O602" s="2"/>
      <c r="P602" s="2"/>
      <c r="Q602" s="2"/>
      <c r="R602" s="2"/>
      <c r="S602" s="2"/>
      <c r="T602" s="2"/>
      <c r="U602" s="39">
        <f>IF(I602="N",T602*Supuestos!$B$4,T602*Supuestos!$C$4)*100</f>
        <v>0</v>
      </c>
      <c r="V602" s="20">
        <f t="shared" si="49"/>
        <v>0</v>
      </c>
      <c r="W602" s="2">
        <f t="shared" si="47"/>
        <v>0</v>
      </c>
      <c r="X602" s="2">
        <f t="shared" si="48"/>
        <v>0</v>
      </c>
    </row>
    <row r="603" spans="1:24" x14ac:dyDescent="0.25">
      <c r="A603" s="6" t="s">
        <v>42</v>
      </c>
      <c r="B603" s="6" t="s">
        <v>832</v>
      </c>
      <c r="C603" s="6" t="s">
        <v>401</v>
      </c>
      <c r="D603" s="6" t="s">
        <v>72</v>
      </c>
      <c r="E603" s="11" t="str">
        <f t="shared" si="45"/>
        <v>SUV</v>
      </c>
      <c r="F603" s="6" t="s">
        <v>11</v>
      </c>
      <c r="G603" s="11">
        <v>2000</v>
      </c>
      <c r="H603" s="6" t="s">
        <v>1050</v>
      </c>
      <c r="I603" s="6" t="str">
        <f t="shared" si="46"/>
        <v>N</v>
      </c>
      <c r="J603" s="17" t="s">
        <v>9</v>
      </c>
      <c r="K603" s="6">
        <v>197</v>
      </c>
      <c r="L603" s="9">
        <v>1</v>
      </c>
      <c r="M603" s="2"/>
      <c r="N603" s="2"/>
      <c r="O603" s="2"/>
      <c r="P603" s="2"/>
      <c r="Q603" s="2"/>
      <c r="R603" s="2"/>
      <c r="S603" s="2"/>
      <c r="T603" s="2"/>
      <c r="U603" s="39">
        <f>IF(I603="N",T603*Supuestos!$B$4,T603*Supuestos!$C$4)*100</f>
        <v>0</v>
      </c>
      <c r="V603" s="20">
        <f t="shared" si="49"/>
        <v>0</v>
      </c>
      <c r="W603" s="2">
        <f t="shared" si="47"/>
        <v>0</v>
      </c>
      <c r="X603" s="2">
        <f t="shared" si="48"/>
        <v>0</v>
      </c>
    </row>
    <row r="604" spans="1:24" x14ac:dyDescent="0.25">
      <c r="A604" s="6" t="s">
        <v>42</v>
      </c>
      <c r="B604" s="6" t="s">
        <v>250</v>
      </c>
      <c r="C604" s="6" t="s">
        <v>401</v>
      </c>
      <c r="D604" s="6" t="s">
        <v>72</v>
      </c>
      <c r="E604" s="11" t="str">
        <f t="shared" si="45"/>
        <v>SUV</v>
      </c>
      <c r="F604" s="6" t="s">
        <v>11</v>
      </c>
      <c r="G604" s="11">
        <v>2000</v>
      </c>
      <c r="H604" s="6" t="s">
        <v>1050</v>
      </c>
      <c r="I604" s="6" t="str">
        <f t="shared" si="46"/>
        <v>N</v>
      </c>
      <c r="J604" s="17" t="s">
        <v>420</v>
      </c>
      <c r="K604" s="6">
        <v>320</v>
      </c>
      <c r="L604" s="9">
        <v>1</v>
      </c>
      <c r="M604" s="2">
        <v>1</v>
      </c>
      <c r="N604" s="2">
        <v>109990</v>
      </c>
      <c r="O604" s="2" t="s">
        <v>1060</v>
      </c>
      <c r="P604" s="2" t="s">
        <v>452</v>
      </c>
      <c r="Q604" s="2" t="s">
        <v>444</v>
      </c>
      <c r="R604" s="2">
        <v>2615</v>
      </c>
      <c r="S604" s="2"/>
      <c r="T604" s="2">
        <v>59</v>
      </c>
      <c r="U604" s="39">
        <f>IF(I604="N",T604*Supuestos!$B$4,T604*Supuestos!$C$4)*100</f>
        <v>2.5247472300099503</v>
      </c>
      <c r="V604" s="20">
        <f t="shared" si="49"/>
        <v>39.607925423728808</v>
      </c>
      <c r="W604" s="2">
        <f t="shared" si="47"/>
        <v>59</v>
      </c>
      <c r="X604" s="2">
        <f t="shared" si="48"/>
        <v>2.5247472300099503</v>
      </c>
    </row>
    <row r="605" spans="1:24" x14ac:dyDescent="0.25">
      <c r="A605" s="6" t="s">
        <v>42</v>
      </c>
      <c r="B605" s="6" t="s">
        <v>850</v>
      </c>
      <c r="C605" s="6" t="s">
        <v>401</v>
      </c>
      <c r="D605" s="6" t="s">
        <v>72</v>
      </c>
      <c r="E605" s="11" t="str">
        <f t="shared" si="45"/>
        <v>SUV</v>
      </c>
      <c r="F605" s="6" t="s">
        <v>11</v>
      </c>
      <c r="G605" s="11">
        <v>3000</v>
      </c>
      <c r="H605" s="6" t="s">
        <v>1050</v>
      </c>
      <c r="I605" s="6" t="str">
        <f t="shared" si="46"/>
        <v>N</v>
      </c>
      <c r="J605" s="17" t="s">
        <v>419</v>
      </c>
      <c r="K605" s="6">
        <v>0</v>
      </c>
      <c r="L605" s="9">
        <v>1</v>
      </c>
      <c r="M605" s="2"/>
      <c r="N605" s="2"/>
      <c r="O605" s="2"/>
      <c r="P605" s="2"/>
      <c r="Q605" s="2"/>
      <c r="R605" s="2"/>
      <c r="S605" s="2"/>
      <c r="T605" s="2"/>
      <c r="U605" s="39">
        <f>IF(I605="N",T605*Supuestos!$B$4,T605*Supuestos!$C$4)*100</f>
        <v>0</v>
      </c>
      <c r="V605" s="20">
        <f t="shared" si="49"/>
        <v>0</v>
      </c>
      <c r="W605" s="2">
        <f t="shared" si="47"/>
        <v>0</v>
      </c>
      <c r="X605" s="2">
        <f t="shared" si="48"/>
        <v>0</v>
      </c>
    </row>
    <row r="606" spans="1:24" x14ac:dyDescent="0.25">
      <c r="A606" s="6" t="s">
        <v>481</v>
      </c>
      <c r="B606" s="6" t="s">
        <v>879</v>
      </c>
      <c r="C606" s="6" t="s">
        <v>401</v>
      </c>
      <c r="D606" s="6" t="s">
        <v>72</v>
      </c>
      <c r="E606" s="11" t="str">
        <f t="shared" si="45"/>
        <v>SUV</v>
      </c>
      <c r="F606" s="6"/>
      <c r="G606" s="11">
        <v>1500</v>
      </c>
      <c r="H606" s="6" t="s">
        <v>1050</v>
      </c>
      <c r="I606" s="6" t="str">
        <f t="shared" si="46"/>
        <v>N</v>
      </c>
      <c r="J606" s="17" t="s">
        <v>419</v>
      </c>
      <c r="K606" s="6"/>
      <c r="L606" s="9">
        <v>1</v>
      </c>
      <c r="M606" s="2"/>
      <c r="N606" s="2"/>
      <c r="O606" s="2"/>
      <c r="P606" s="2"/>
      <c r="Q606" s="2"/>
      <c r="R606" s="2"/>
      <c r="S606" s="2"/>
      <c r="T606" s="2"/>
      <c r="U606" s="39">
        <f>IF(I606="N",T606*Supuestos!$B$4,T606*Supuestos!$C$4)*100</f>
        <v>0</v>
      </c>
      <c r="V606" s="20">
        <f t="shared" si="49"/>
        <v>0</v>
      </c>
      <c r="W606" s="2">
        <f t="shared" si="47"/>
        <v>0</v>
      </c>
      <c r="X606" s="2">
        <f t="shared" si="48"/>
        <v>0</v>
      </c>
    </row>
    <row r="607" spans="1:24" x14ac:dyDescent="0.25">
      <c r="A607" s="6" t="s">
        <v>65</v>
      </c>
      <c r="B607" s="6" t="s">
        <v>908</v>
      </c>
      <c r="C607" s="6" t="s">
        <v>401</v>
      </c>
      <c r="D607" s="6" t="s">
        <v>72</v>
      </c>
      <c r="E607" s="11" t="str">
        <f t="shared" si="45"/>
        <v>SUV</v>
      </c>
      <c r="F607" s="6" t="s">
        <v>11</v>
      </c>
      <c r="G607" s="11">
        <v>2900</v>
      </c>
      <c r="H607" s="6" t="s">
        <v>1050</v>
      </c>
      <c r="I607" s="6" t="str">
        <f t="shared" si="46"/>
        <v>N</v>
      </c>
      <c r="J607" s="17" t="s">
        <v>9</v>
      </c>
      <c r="K607" s="6">
        <v>440</v>
      </c>
      <c r="L607" s="9">
        <v>1</v>
      </c>
      <c r="M607" s="2"/>
      <c r="N607" s="2"/>
      <c r="O607" s="2"/>
      <c r="P607" s="2"/>
      <c r="Q607" s="2"/>
      <c r="R607" s="2"/>
      <c r="S607" s="2"/>
      <c r="T607" s="2"/>
      <c r="U607" s="39">
        <f>IF(I607="N",T607*Supuestos!$B$4,T607*Supuestos!$C$4)*100</f>
        <v>0</v>
      </c>
      <c r="V607" s="20">
        <f t="shared" si="49"/>
        <v>0</v>
      </c>
      <c r="W607" s="2">
        <f t="shared" si="47"/>
        <v>0</v>
      </c>
      <c r="X607" s="2">
        <f t="shared" si="48"/>
        <v>0</v>
      </c>
    </row>
    <row r="608" spans="1:24" x14ac:dyDescent="0.25">
      <c r="A608" s="6" t="s">
        <v>65</v>
      </c>
      <c r="B608" s="6" t="s">
        <v>910</v>
      </c>
      <c r="C608" s="6" t="s">
        <v>401</v>
      </c>
      <c r="D608" s="6" t="s">
        <v>72</v>
      </c>
      <c r="E608" s="11" t="str">
        <f t="shared" si="45"/>
        <v>SUV</v>
      </c>
      <c r="F608" s="6" t="s">
        <v>11</v>
      </c>
      <c r="G608" s="11"/>
      <c r="H608" s="6" t="s">
        <v>1051</v>
      </c>
      <c r="I608" s="6" t="str">
        <f t="shared" si="46"/>
        <v>E</v>
      </c>
      <c r="J608" s="17" t="s">
        <v>418</v>
      </c>
      <c r="K608" s="6">
        <v>560</v>
      </c>
      <c r="L608" s="9">
        <v>1</v>
      </c>
      <c r="M608" s="2"/>
      <c r="N608" s="2"/>
      <c r="O608" s="2"/>
      <c r="P608" s="2"/>
      <c r="Q608" s="2"/>
      <c r="R608" s="2"/>
      <c r="S608" s="2"/>
      <c r="T608" s="2"/>
      <c r="U608" s="39">
        <f>IF(I608="N",T608*Supuestos!$B$4,T608*Supuestos!$C$4)*100</f>
        <v>0</v>
      </c>
      <c r="V608" s="20">
        <f t="shared" si="49"/>
        <v>0</v>
      </c>
      <c r="W608" s="2">
        <f t="shared" si="47"/>
        <v>0</v>
      </c>
      <c r="X608" s="2">
        <f t="shared" si="48"/>
        <v>0</v>
      </c>
    </row>
    <row r="609" spans="1:24" x14ac:dyDescent="0.25">
      <c r="A609" s="6" t="s">
        <v>91</v>
      </c>
      <c r="B609" s="6" t="s">
        <v>945</v>
      </c>
      <c r="C609" s="6" t="s">
        <v>401</v>
      </c>
      <c r="D609" s="6" t="s">
        <v>72</v>
      </c>
      <c r="E609" s="11" t="str">
        <f t="shared" si="45"/>
        <v>SUV</v>
      </c>
      <c r="F609" s="6" t="s">
        <v>57</v>
      </c>
      <c r="G609" s="11">
        <v>1600</v>
      </c>
      <c r="H609" s="6" t="s">
        <v>1050</v>
      </c>
      <c r="I609" s="6" t="str">
        <f t="shared" si="46"/>
        <v>N</v>
      </c>
      <c r="J609" s="17" t="s">
        <v>9</v>
      </c>
      <c r="K609" s="6">
        <v>110</v>
      </c>
      <c r="L609" s="9">
        <v>1</v>
      </c>
      <c r="M609" s="2"/>
      <c r="N609" s="2"/>
      <c r="O609" s="2"/>
      <c r="P609" s="2"/>
      <c r="Q609" s="2"/>
      <c r="R609" s="2"/>
      <c r="S609" s="2"/>
      <c r="T609" s="2"/>
      <c r="U609" s="39">
        <f>IF(I609="N",T609*Supuestos!$B$4,T609*Supuestos!$C$4)*100</f>
        <v>0</v>
      </c>
      <c r="V609" s="20">
        <f t="shared" si="49"/>
        <v>0</v>
      </c>
      <c r="W609" s="2">
        <f t="shared" si="47"/>
        <v>0</v>
      </c>
      <c r="X609" s="2">
        <f t="shared" si="48"/>
        <v>0</v>
      </c>
    </row>
    <row r="610" spans="1:24" x14ac:dyDescent="0.25">
      <c r="A610" s="6" t="s">
        <v>91</v>
      </c>
      <c r="B610" s="6" t="s">
        <v>325</v>
      </c>
      <c r="C610" s="6" t="s">
        <v>401</v>
      </c>
      <c r="D610" s="6" t="s">
        <v>72</v>
      </c>
      <c r="E610" s="11" t="str">
        <f t="shared" si="45"/>
        <v>SUV</v>
      </c>
      <c r="F610" s="6" t="s">
        <v>57</v>
      </c>
      <c r="G610" s="11">
        <v>1600</v>
      </c>
      <c r="H610" s="6" t="s">
        <v>1050</v>
      </c>
      <c r="I610" s="6" t="str">
        <f t="shared" si="46"/>
        <v>N</v>
      </c>
      <c r="J610" s="17" t="s">
        <v>9</v>
      </c>
      <c r="K610" s="6">
        <v>110</v>
      </c>
      <c r="L610" s="9">
        <v>1</v>
      </c>
      <c r="M610" s="2"/>
      <c r="N610" s="2"/>
      <c r="O610" s="2"/>
      <c r="P610" s="2"/>
      <c r="Q610" s="2"/>
      <c r="R610" s="2"/>
      <c r="S610" s="2"/>
      <c r="T610" s="2"/>
      <c r="U610" s="39">
        <f>IF(I610="N",T610*Supuestos!$B$4,T610*Supuestos!$C$4)*100</f>
        <v>0</v>
      </c>
      <c r="V610" s="20">
        <f t="shared" si="49"/>
        <v>0</v>
      </c>
      <c r="W610" s="2">
        <f t="shared" si="47"/>
        <v>0</v>
      </c>
      <c r="X610" s="2">
        <f t="shared" si="48"/>
        <v>0</v>
      </c>
    </row>
    <row r="611" spans="1:24" x14ac:dyDescent="0.25">
      <c r="A611" s="6" t="s">
        <v>91</v>
      </c>
      <c r="B611" s="6" t="s">
        <v>946</v>
      </c>
      <c r="C611" s="6" t="s">
        <v>401</v>
      </c>
      <c r="D611" s="6" t="s">
        <v>72</v>
      </c>
      <c r="E611" s="11" t="str">
        <f t="shared" si="45"/>
        <v>SUV</v>
      </c>
      <c r="F611" s="6" t="s">
        <v>57</v>
      </c>
      <c r="G611" s="11">
        <v>1600</v>
      </c>
      <c r="H611" s="6" t="s">
        <v>1050</v>
      </c>
      <c r="I611" s="6" t="str">
        <f t="shared" si="46"/>
        <v>N</v>
      </c>
      <c r="J611" s="17" t="s">
        <v>9</v>
      </c>
      <c r="K611" s="6">
        <v>110</v>
      </c>
      <c r="L611" s="9">
        <v>1</v>
      </c>
      <c r="M611" s="2"/>
      <c r="N611" s="2"/>
      <c r="O611" s="2"/>
      <c r="P611" s="2"/>
      <c r="Q611" s="2"/>
      <c r="R611" s="2"/>
      <c r="S611" s="2"/>
      <c r="T611" s="2"/>
      <c r="U611" s="39">
        <f>IF(I611="N",T611*Supuestos!$B$4,T611*Supuestos!$C$4)*100</f>
        <v>0</v>
      </c>
      <c r="V611" s="20">
        <f t="shared" si="49"/>
        <v>0</v>
      </c>
      <c r="W611" s="2">
        <f t="shared" si="47"/>
        <v>0</v>
      </c>
      <c r="X611" s="2">
        <f t="shared" si="48"/>
        <v>0</v>
      </c>
    </row>
    <row r="612" spans="1:24" x14ac:dyDescent="0.25">
      <c r="A612" s="6" t="s">
        <v>91</v>
      </c>
      <c r="B612" s="6" t="s">
        <v>952</v>
      </c>
      <c r="C612" s="6" t="s">
        <v>401</v>
      </c>
      <c r="D612" s="6" t="s">
        <v>72</v>
      </c>
      <c r="E612" s="11" t="str">
        <f t="shared" si="45"/>
        <v>SUV</v>
      </c>
      <c r="F612" s="6" t="s">
        <v>11</v>
      </c>
      <c r="G612" s="11">
        <v>1400</v>
      </c>
      <c r="H612" s="6" t="s">
        <v>1050</v>
      </c>
      <c r="I612" s="6" t="str">
        <f t="shared" si="46"/>
        <v>N</v>
      </c>
      <c r="J612" s="17" t="s">
        <v>9</v>
      </c>
      <c r="K612" s="6">
        <v>150</v>
      </c>
      <c r="L612" s="9">
        <v>1</v>
      </c>
      <c r="M612" s="2"/>
      <c r="N612" s="2"/>
      <c r="O612" s="2"/>
      <c r="P612" s="2"/>
      <c r="Q612" s="2"/>
      <c r="R612" s="2"/>
      <c r="S612" s="2"/>
      <c r="T612" s="2"/>
      <c r="U612" s="39">
        <f>IF(I612="N",T612*Supuestos!$B$4,T612*Supuestos!$C$4)*100</f>
        <v>0</v>
      </c>
      <c r="V612" s="20">
        <f t="shared" si="49"/>
        <v>0</v>
      </c>
      <c r="W612" s="2">
        <f t="shared" si="47"/>
        <v>0</v>
      </c>
      <c r="X612" s="2">
        <f t="shared" si="48"/>
        <v>0</v>
      </c>
    </row>
    <row r="613" spans="1:24" x14ac:dyDescent="0.25">
      <c r="A613" s="6" t="s">
        <v>49</v>
      </c>
      <c r="B613" s="6" t="s">
        <v>963</v>
      </c>
      <c r="C613" s="6" t="s">
        <v>401</v>
      </c>
      <c r="D613" s="6" t="s">
        <v>72</v>
      </c>
      <c r="E613" s="11" t="str">
        <f t="shared" si="45"/>
        <v>SUV</v>
      </c>
      <c r="F613" s="6" t="s">
        <v>45</v>
      </c>
      <c r="G613" s="11">
        <v>2000</v>
      </c>
      <c r="H613" s="6" t="s">
        <v>1050</v>
      </c>
      <c r="I613" s="6" t="str">
        <f t="shared" si="46"/>
        <v>N</v>
      </c>
      <c r="J613" s="17" t="s">
        <v>9</v>
      </c>
      <c r="K613" s="6">
        <v>156</v>
      </c>
      <c r="L613" s="9">
        <v>1</v>
      </c>
      <c r="M613" s="2"/>
      <c r="N613" s="2"/>
      <c r="O613" s="2"/>
      <c r="P613" s="2"/>
      <c r="Q613" s="2"/>
      <c r="R613" s="2"/>
      <c r="S613" s="2"/>
      <c r="T613" s="2"/>
      <c r="U613" s="39">
        <f>IF(I613="N",T613*Supuestos!$B$4,T613*Supuestos!$C$4)*100</f>
        <v>0</v>
      </c>
      <c r="V613" s="20">
        <f t="shared" si="49"/>
        <v>0</v>
      </c>
      <c r="W613" s="2">
        <f t="shared" si="47"/>
        <v>0</v>
      </c>
      <c r="X613" s="2">
        <f t="shared" si="48"/>
        <v>0</v>
      </c>
    </row>
    <row r="614" spans="1:24" x14ac:dyDescent="0.25">
      <c r="A614" s="6" t="s">
        <v>49</v>
      </c>
      <c r="B614" s="6" t="s">
        <v>964</v>
      </c>
      <c r="C614" s="6" t="s">
        <v>401</v>
      </c>
      <c r="D614" s="6" t="s">
        <v>72</v>
      </c>
      <c r="E614" s="11" t="str">
        <f t="shared" si="45"/>
        <v>SUV</v>
      </c>
      <c r="F614" s="6" t="s">
        <v>45</v>
      </c>
      <c r="G614" s="11">
        <v>2000</v>
      </c>
      <c r="H614" s="6" t="s">
        <v>1050</v>
      </c>
      <c r="I614" s="6" t="str">
        <f t="shared" si="46"/>
        <v>N</v>
      </c>
      <c r="J614" s="17" t="s">
        <v>421</v>
      </c>
      <c r="K614" s="6">
        <v>150</v>
      </c>
      <c r="L614" s="9">
        <v>1</v>
      </c>
      <c r="M614" s="2"/>
      <c r="N614" s="2"/>
      <c r="O614" s="2"/>
      <c r="P614" s="2"/>
      <c r="Q614" s="2"/>
      <c r="R614" s="2"/>
      <c r="S614" s="2"/>
      <c r="T614" s="2"/>
      <c r="U614" s="39">
        <f>IF(I614="N",T614*Supuestos!$B$4,T614*Supuestos!$C$4)*100</f>
        <v>0</v>
      </c>
      <c r="V614" s="20">
        <f t="shared" si="49"/>
        <v>0</v>
      </c>
      <c r="W614" s="2">
        <f t="shared" si="47"/>
        <v>0</v>
      </c>
      <c r="X614" s="2">
        <f t="shared" si="48"/>
        <v>0</v>
      </c>
    </row>
    <row r="615" spans="1:24" x14ac:dyDescent="0.25">
      <c r="A615" s="6" t="s">
        <v>50</v>
      </c>
      <c r="B615" s="6" t="s">
        <v>974</v>
      </c>
      <c r="C615" s="6" t="s">
        <v>401</v>
      </c>
      <c r="D615" s="6" t="s">
        <v>72</v>
      </c>
      <c r="E615" s="11" t="str">
        <f t="shared" si="45"/>
        <v>SUV</v>
      </c>
      <c r="F615" s="6" t="s">
        <v>45</v>
      </c>
      <c r="G615" s="11">
        <v>1500</v>
      </c>
      <c r="H615" s="6" t="s">
        <v>1050</v>
      </c>
      <c r="I615" s="6" t="str">
        <f t="shared" si="46"/>
        <v>N</v>
      </c>
      <c r="J615" s="17" t="s">
        <v>9</v>
      </c>
      <c r="K615" s="6">
        <v>270</v>
      </c>
      <c r="L615" s="9">
        <v>1</v>
      </c>
      <c r="M615" s="2"/>
      <c r="N615" s="2"/>
      <c r="O615" s="2"/>
      <c r="P615" s="2"/>
      <c r="Q615" s="2"/>
      <c r="R615" s="2"/>
      <c r="S615" s="2"/>
      <c r="T615" s="2"/>
      <c r="U615" s="39">
        <f>IF(I615="N",T615*Supuestos!$B$4,T615*Supuestos!$C$4)*100</f>
        <v>0</v>
      </c>
      <c r="V615" s="20">
        <f t="shared" si="49"/>
        <v>0</v>
      </c>
      <c r="W615" s="2">
        <f t="shared" si="47"/>
        <v>0</v>
      </c>
      <c r="X615" s="2">
        <f t="shared" si="48"/>
        <v>0</v>
      </c>
    </row>
    <row r="616" spans="1:24" x14ac:dyDescent="0.25">
      <c r="A616" s="6" t="s">
        <v>92</v>
      </c>
      <c r="B616" s="6" t="s">
        <v>984</v>
      </c>
      <c r="C616" s="6" t="s">
        <v>401</v>
      </c>
      <c r="D616" s="6" t="s">
        <v>72</v>
      </c>
      <c r="E616" s="11" t="str">
        <f t="shared" si="45"/>
        <v>SUV</v>
      </c>
      <c r="F616" s="6" t="s">
        <v>16</v>
      </c>
      <c r="G616" s="11"/>
      <c r="H616" s="6" t="s">
        <v>1051</v>
      </c>
      <c r="I616" s="6" t="str">
        <f t="shared" si="46"/>
        <v>E</v>
      </c>
      <c r="J616" s="17" t="s">
        <v>418</v>
      </c>
      <c r="K616" s="6">
        <v>0</v>
      </c>
      <c r="L616" s="9">
        <v>1</v>
      </c>
      <c r="M616" s="2"/>
      <c r="N616" s="2"/>
      <c r="O616" s="2"/>
      <c r="P616" s="2"/>
      <c r="Q616" s="2"/>
      <c r="R616" s="2"/>
      <c r="S616" s="2"/>
      <c r="T616" s="2"/>
      <c r="U616" s="39">
        <f>IF(I616="N",T616*Supuestos!$B$4,T616*Supuestos!$C$4)*100</f>
        <v>0</v>
      </c>
      <c r="V616" s="20">
        <f t="shared" si="49"/>
        <v>0</v>
      </c>
      <c r="W616" s="2">
        <f t="shared" si="47"/>
        <v>0</v>
      </c>
      <c r="X616" s="2">
        <f t="shared" si="48"/>
        <v>0</v>
      </c>
    </row>
    <row r="617" spans="1:24" x14ac:dyDescent="0.25">
      <c r="A617" s="6" t="s">
        <v>52</v>
      </c>
      <c r="B617" s="6" t="s">
        <v>344</v>
      </c>
      <c r="C617" s="6" t="s">
        <v>401</v>
      </c>
      <c r="D617" s="6" t="s">
        <v>72</v>
      </c>
      <c r="E617" s="11" t="str">
        <f t="shared" si="45"/>
        <v>SUV</v>
      </c>
      <c r="F617" s="6" t="s">
        <v>45</v>
      </c>
      <c r="G617" s="11">
        <v>4000</v>
      </c>
      <c r="H617" s="6" t="s">
        <v>1050</v>
      </c>
      <c r="I617" s="6" t="str">
        <f t="shared" si="46"/>
        <v>N</v>
      </c>
      <c r="J617" s="17" t="s">
        <v>9</v>
      </c>
      <c r="K617" s="6">
        <v>271</v>
      </c>
      <c r="L617" s="9">
        <v>1</v>
      </c>
      <c r="M617" s="2"/>
      <c r="N617" s="2"/>
      <c r="O617" s="2"/>
      <c r="P617" s="2"/>
      <c r="Q617" s="2"/>
      <c r="R617" s="2"/>
      <c r="S617" s="2"/>
      <c r="T617" s="2"/>
      <c r="U617" s="39">
        <f>IF(I617="N",T617*Supuestos!$B$4,T617*Supuestos!$C$4)*100</f>
        <v>0</v>
      </c>
      <c r="V617" s="20">
        <f t="shared" si="49"/>
        <v>0</v>
      </c>
      <c r="W617" s="2">
        <f t="shared" si="47"/>
        <v>0</v>
      </c>
      <c r="X617" s="2">
        <f t="shared" si="48"/>
        <v>0</v>
      </c>
    </row>
    <row r="618" spans="1:24" x14ac:dyDescent="0.25">
      <c r="A618" s="6" t="s">
        <v>52</v>
      </c>
      <c r="B618" s="6" t="s">
        <v>987</v>
      </c>
      <c r="C618" s="6" t="s">
        <v>401</v>
      </c>
      <c r="D618" s="6" t="s">
        <v>72</v>
      </c>
      <c r="E618" s="11" t="str">
        <f t="shared" si="45"/>
        <v>SUV</v>
      </c>
      <c r="F618" s="6" t="s">
        <v>23</v>
      </c>
      <c r="G618" s="11">
        <v>4000</v>
      </c>
      <c r="H618" s="6" t="s">
        <v>1050</v>
      </c>
      <c r="I618" s="6" t="str">
        <f t="shared" si="46"/>
        <v>N</v>
      </c>
      <c r="J618" s="17" t="s">
        <v>9</v>
      </c>
      <c r="K618" s="6">
        <v>238</v>
      </c>
      <c r="L618" s="9">
        <v>1</v>
      </c>
      <c r="M618" s="2"/>
      <c r="N618" s="2"/>
      <c r="O618" s="2"/>
      <c r="P618" s="2"/>
      <c r="Q618" s="2"/>
      <c r="R618" s="2"/>
      <c r="S618" s="2"/>
      <c r="T618" s="2"/>
      <c r="U618" s="39">
        <f>IF(I618="N",T618*Supuestos!$B$4,T618*Supuestos!$C$4)*100</f>
        <v>0</v>
      </c>
      <c r="V618" s="20">
        <f t="shared" si="49"/>
        <v>0</v>
      </c>
      <c r="W618" s="2">
        <f t="shared" si="47"/>
        <v>0</v>
      </c>
      <c r="X618" s="2">
        <f t="shared" si="48"/>
        <v>0</v>
      </c>
    </row>
    <row r="619" spans="1:24" x14ac:dyDescent="0.25">
      <c r="A619" s="6" t="s">
        <v>52</v>
      </c>
      <c r="B619" s="6" t="s">
        <v>365</v>
      </c>
      <c r="C619" s="6" t="s">
        <v>401</v>
      </c>
      <c r="D619" s="6" t="s">
        <v>72</v>
      </c>
      <c r="E619" s="11" t="str">
        <f t="shared" si="45"/>
        <v>SUV</v>
      </c>
      <c r="F619" s="6" t="s">
        <v>45</v>
      </c>
      <c r="G619" s="11">
        <v>4000</v>
      </c>
      <c r="H619" s="6" t="s">
        <v>1050</v>
      </c>
      <c r="I619" s="6" t="str">
        <f t="shared" si="46"/>
        <v>N</v>
      </c>
      <c r="J619" s="17" t="s">
        <v>9</v>
      </c>
      <c r="K619" s="6">
        <v>275</v>
      </c>
      <c r="L619" s="9">
        <v>1</v>
      </c>
      <c r="M619" s="2"/>
      <c r="N619" s="2"/>
      <c r="O619" s="2"/>
      <c r="P619" s="2"/>
      <c r="Q619" s="2"/>
      <c r="R619" s="2"/>
      <c r="S619" s="2"/>
      <c r="T619" s="2"/>
      <c r="U619" s="39">
        <f>IF(I619="N",T619*Supuestos!$B$4,T619*Supuestos!$C$4)*100</f>
        <v>0</v>
      </c>
      <c r="V619" s="20">
        <f t="shared" si="49"/>
        <v>0</v>
      </c>
      <c r="W619" s="2">
        <f t="shared" si="47"/>
        <v>0</v>
      </c>
      <c r="X619" s="2">
        <f t="shared" si="48"/>
        <v>0</v>
      </c>
    </row>
    <row r="620" spans="1:24" x14ac:dyDescent="0.25">
      <c r="A620" s="6" t="s">
        <v>52</v>
      </c>
      <c r="B620" s="6" t="s">
        <v>1003</v>
      </c>
      <c r="C620" s="6" t="s">
        <v>401</v>
      </c>
      <c r="D620" s="6" t="s">
        <v>72</v>
      </c>
      <c r="E620" s="11" t="str">
        <f t="shared" si="45"/>
        <v>SUV</v>
      </c>
      <c r="F620" s="6" t="s">
        <v>64</v>
      </c>
      <c r="G620" s="11">
        <v>1500</v>
      </c>
      <c r="H620" s="6" t="s">
        <v>1050</v>
      </c>
      <c r="I620" s="6" t="str">
        <f t="shared" si="46"/>
        <v>N</v>
      </c>
      <c r="J620" s="17" t="s">
        <v>9</v>
      </c>
      <c r="K620" s="6">
        <v>105</v>
      </c>
      <c r="L620" s="9">
        <v>1</v>
      </c>
      <c r="M620" s="2"/>
      <c r="N620" s="2"/>
      <c r="O620" s="2"/>
      <c r="P620" s="2"/>
      <c r="Q620" s="2"/>
      <c r="R620" s="2"/>
      <c r="S620" s="2"/>
      <c r="T620" s="2"/>
      <c r="U620" s="39">
        <f>IF(I620="N",T620*Supuestos!$B$4,T620*Supuestos!$C$4)*100</f>
        <v>0</v>
      </c>
      <c r="V620" s="20">
        <f t="shared" si="49"/>
        <v>0</v>
      </c>
      <c r="W620" s="2">
        <f t="shared" si="47"/>
        <v>0</v>
      </c>
      <c r="X620" s="2">
        <f t="shared" si="48"/>
        <v>0</v>
      </c>
    </row>
    <row r="621" spans="1:24" x14ac:dyDescent="0.25">
      <c r="A621" s="6" t="s">
        <v>33</v>
      </c>
      <c r="B621" s="6" t="s">
        <v>702</v>
      </c>
      <c r="C621" s="6" t="s">
        <v>401</v>
      </c>
      <c r="D621" s="6" t="s">
        <v>72</v>
      </c>
      <c r="E621" s="11" t="str">
        <f t="shared" si="45"/>
        <v>SUV</v>
      </c>
      <c r="F621" s="6" t="s">
        <v>21</v>
      </c>
      <c r="G621" s="11">
        <v>1500</v>
      </c>
      <c r="H621" s="6" t="s">
        <v>1050</v>
      </c>
      <c r="I621" s="6" t="str">
        <f t="shared" si="46"/>
        <v>N</v>
      </c>
      <c r="J621" s="17" t="s">
        <v>9</v>
      </c>
      <c r="K621" s="6">
        <v>118</v>
      </c>
      <c r="L621" s="9">
        <v>1</v>
      </c>
      <c r="M621" s="2">
        <v>1</v>
      </c>
      <c r="N621" s="2">
        <v>25900</v>
      </c>
      <c r="O621" s="2" t="s">
        <v>1060</v>
      </c>
      <c r="P621" s="2" t="s">
        <v>1102</v>
      </c>
      <c r="Q621" s="2" t="s">
        <v>424</v>
      </c>
      <c r="R621" s="2">
        <v>1590</v>
      </c>
      <c r="S621" s="2"/>
      <c r="T621" s="2">
        <v>157</v>
      </c>
      <c r="U621" s="39">
        <f>IF(I621="N",T621*Supuestos!$B$4,T621*Supuestos!$C$4)*100</f>
        <v>6.7183951713824088</v>
      </c>
      <c r="V621" s="20">
        <f t="shared" si="49"/>
        <v>14.884507006369429</v>
      </c>
      <c r="W621" s="2">
        <f t="shared" si="47"/>
        <v>157</v>
      </c>
      <c r="X621" s="2">
        <f t="shared" si="48"/>
        <v>6.7183951713824088</v>
      </c>
    </row>
    <row r="622" spans="1:24" x14ac:dyDescent="0.25">
      <c r="A622" s="6" t="s">
        <v>29</v>
      </c>
      <c r="B622" s="6" t="s">
        <v>179</v>
      </c>
      <c r="C622" s="6" t="s">
        <v>410</v>
      </c>
      <c r="D622" s="6" t="s">
        <v>399</v>
      </c>
      <c r="E622" s="11" t="str">
        <f t="shared" si="45"/>
        <v>UTILITARIO</v>
      </c>
      <c r="F622" s="6" t="s">
        <v>21</v>
      </c>
      <c r="G622" s="11">
        <v>1400</v>
      </c>
      <c r="H622" s="6" t="s">
        <v>1050</v>
      </c>
      <c r="I622" s="6" t="str">
        <f t="shared" si="46"/>
        <v>N</v>
      </c>
      <c r="J622" s="17" t="s">
        <v>9</v>
      </c>
      <c r="K622" s="6">
        <v>85</v>
      </c>
      <c r="L622" s="9">
        <v>1336</v>
      </c>
      <c r="M622" s="2">
        <v>1336</v>
      </c>
      <c r="N622" s="2">
        <v>19290</v>
      </c>
      <c r="O622" s="2" t="s">
        <v>1055</v>
      </c>
      <c r="P622" s="2">
        <v>2220574</v>
      </c>
      <c r="Q622" s="2" t="s">
        <v>429</v>
      </c>
      <c r="R622" s="2">
        <v>1801</v>
      </c>
      <c r="S622" s="2"/>
      <c r="T622" s="2">
        <v>167.5</v>
      </c>
      <c r="U622" s="39">
        <f>IF(I622="N",T622*Supuestos!$B$4,T622*Supuestos!$C$4)*100</f>
        <v>7.1677145936723159</v>
      </c>
      <c r="V622" s="20">
        <f t="shared" si="49"/>
        <v>13.951448358208955</v>
      </c>
      <c r="W622" s="2">
        <f t="shared" si="47"/>
        <v>223780</v>
      </c>
      <c r="X622" s="2">
        <f t="shared" si="48"/>
        <v>9576.0666971462142</v>
      </c>
    </row>
    <row r="623" spans="1:24" x14ac:dyDescent="0.25">
      <c r="A623" s="6" t="s">
        <v>29</v>
      </c>
      <c r="B623" s="6" t="s">
        <v>178</v>
      </c>
      <c r="C623" s="6" t="s">
        <v>410</v>
      </c>
      <c r="D623" s="6" t="s">
        <v>399</v>
      </c>
      <c r="E623" s="11" t="str">
        <f t="shared" si="45"/>
        <v>UTILITARIO</v>
      </c>
      <c r="F623" s="6" t="s">
        <v>21</v>
      </c>
      <c r="G623" s="11">
        <v>1300</v>
      </c>
      <c r="H623" s="6" t="s">
        <v>1050</v>
      </c>
      <c r="I623" s="6" t="str">
        <f t="shared" si="46"/>
        <v>N</v>
      </c>
      <c r="J623" s="17" t="s">
        <v>9</v>
      </c>
      <c r="K623" s="6">
        <v>99</v>
      </c>
      <c r="L623" s="9">
        <v>1201</v>
      </c>
      <c r="M623" s="2">
        <v>1201</v>
      </c>
      <c r="N623" s="2">
        <v>21990</v>
      </c>
      <c r="O623" s="2" t="s">
        <v>1053</v>
      </c>
      <c r="P623" s="2" t="s">
        <v>1229</v>
      </c>
      <c r="Q623" s="2" t="s">
        <v>429</v>
      </c>
      <c r="R623" s="2">
        <v>1588</v>
      </c>
      <c r="S623" s="2"/>
      <c r="T623" s="2">
        <v>156</v>
      </c>
      <c r="U623" s="39">
        <f>IF(I623="N",T623*Supuestos!$B$4,T623*Supuestos!$C$4)*100</f>
        <v>6.6756028454500376</v>
      </c>
      <c r="V623" s="20">
        <f t="shared" si="49"/>
        <v>14.979920512820513</v>
      </c>
      <c r="W623" s="2">
        <f t="shared" si="47"/>
        <v>187356</v>
      </c>
      <c r="X623" s="2">
        <f t="shared" si="48"/>
        <v>8017.3990173854954</v>
      </c>
    </row>
    <row r="624" spans="1:24" x14ac:dyDescent="0.25">
      <c r="A624" s="6" t="s">
        <v>19</v>
      </c>
      <c r="B624" s="6" t="s">
        <v>610</v>
      </c>
      <c r="C624" s="6" t="s">
        <v>410</v>
      </c>
      <c r="D624" s="6" t="s">
        <v>399</v>
      </c>
      <c r="E624" s="11" t="str">
        <f t="shared" si="45"/>
        <v>UTILITARIO</v>
      </c>
      <c r="F624" s="6" t="s">
        <v>21</v>
      </c>
      <c r="G624" s="11">
        <v>1200</v>
      </c>
      <c r="H624" s="6" t="s">
        <v>1050</v>
      </c>
      <c r="I624" s="6" t="str">
        <f t="shared" si="46"/>
        <v>N</v>
      </c>
      <c r="J624" s="17" t="s">
        <v>9</v>
      </c>
      <c r="K624" s="6">
        <v>130</v>
      </c>
      <c r="L624" s="9">
        <v>1001</v>
      </c>
      <c r="M624" s="2">
        <v>1001</v>
      </c>
      <c r="N624" s="2">
        <v>27590</v>
      </c>
      <c r="O624" s="2" t="s">
        <v>1060</v>
      </c>
      <c r="P624" s="2" t="s">
        <v>1231</v>
      </c>
      <c r="Q624" s="2" t="s">
        <v>424</v>
      </c>
      <c r="R624" s="2">
        <v>1910</v>
      </c>
      <c r="S624" s="2"/>
      <c r="T624" s="2">
        <v>172</v>
      </c>
      <c r="U624" s="39">
        <f>IF(I624="N",T624*Supuestos!$B$4,T624*Supuestos!$C$4)*100</f>
        <v>7.3602800603679892</v>
      </c>
      <c r="V624" s="20">
        <f t="shared" si="49"/>
        <v>13.586439534883722</v>
      </c>
      <c r="W624" s="2">
        <f t="shared" si="47"/>
        <v>172172</v>
      </c>
      <c r="X624" s="2">
        <f t="shared" si="48"/>
        <v>7367.6403404283574</v>
      </c>
    </row>
    <row r="625" spans="1:24" x14ac:dyDescent="0.25">
      <c r="A625" s="6" t="s">
        <v>29</v>
      </c>
      <c r="B625" s="6" t="s">
        <v>657</v>
      </c>
      <c r="C625" s="6" t="s">
        <v>410</v>
      </c>
      <c r="D625" s="6" t="s">
        <v>399</v>
      </c>
      <c r="E625" s="11" t="str">
        <f t="shared" si="45"/>
        <v>UTILITARIO</v>
      </c>
      <c r="F625" s="6"/>
      <c r="G625" s="11">
        <v>1300</v>
      </c>
      <c r="H625" s="6" t="s">
        <v>1050</v>
      </c>
      <c r="I625" s="6" t="str">
        <f t="shared" si="46"/>
        <v>N</v>
      </c>
      <c r="J625" s="17" t="s">
        <v>9</v>
      </c>
      <c r="K625" s="6">
        <v>99</v>
      </c>
      <c r="L625" s="9">
        <v>984</v>
      </c>
      <c r="M625" s="2">
        <v>984</v>
      </c>
      <c r="N625" s="2">
        <v>19290</v>
      </c>
      <c r="O625" s="2" t="s">
        <v>1053</v>
      </c>
      <c r="P625" s="2" t="s">
        <v>1229</v>
      </c>
      <c r="Q625" s="2" t="s">
        <v>429</v>
      </c>
      <c r="R625" s="2">
        <v>1588</v>
      </c>
      <c r="S625" s="2"/>
      <c r="T625" s="2">
        <v>156</v>
      </c>
      <c r="U625" s="39">
        <f>IF(I625="N",T625*Supuestos!$B$4,T625*Supuestos!$C$4)*100</f>
        <v>6.6756028454500376</v>
      </c>
      <c r="V625" s="20">
        <f t="shared" si="49"/>
        <v>14.979920512820513</v>
      </c>
      <c r="W625" s="2">
        <f t="shared" si="47"/>
        <v>153504</v>
      </c>
      <c r="X625" s="2">
        <f t="shared" si="48"/>
        <v>6568.7931999228367</v>
      </c>
    </row>
    <row r="626" spans="1:24" x14ac:dyDescent="0.25">
      <c r="A626" s="6" t="s">
        <v>53</v>
      </c>
      <c r="B626" s="6" t="s">
        <v>1020</v>
      </c>
      <c r="C626" s="6" t="s">
        <v>410</v>
      </c>
      <c r="D626" s="6" t="s">
        <v>399</v>
      </c>
      <c r="E626" s="11" t="str">
        <f t="shared" si="45"/>
        <v>UTILITARIO</v>
      </c>
      <c r="F626" s="6" t="s">
        <v>21</v>
      </c>
      <c r="G626" s="11">
        <v>1600</v>
      </c>
      <c r="H626" s="6" t="s">
        <v>1050</v>
      </c>
      <c r="I626" s="6" t="str">
        <f t="shared" si="46"/>
        <v>N</v>
      </c>
      <c r="J626" s="17" t="s">
        <v>9</v>
      </c>
      <c r="K626" s="6">
        <v>110</v>
      </c>
      <c r="L626" s="9">
        <v>886</v>
      </c>
      <c r="M626" s="2">
        <v>886</v>
      </c>
      <c r="N626" s="2">
        <v>18290</v>
      </c>
      <c r="O626" s="2" t="s">
        <v>1053</v>
      </c>
      <c r="P626" s="2" t="s">
        <v>1233</v>
      </c>
      <c r="Q626" s="2" t="s">
        <v>422</v>
      </c>
      <c r="R626" s="2">
        <v>1740</v>
      </c>
      <c r="S626" s="2"/>
      <c r="T626" s="2">
        <v>175</v>
      </c>
      <c r="U626" s="39">
        <f>IF(I626="N",T626*Supuestos!$B$4,T626*Supuestos!$C$4)*100</f>
        <v>7.4886570381651056</v>
      </c>
      <c r="V626" s="20">
        <f t="shared" si="49"/>
        <v>13.353529142857143</v>
      </c>
      <c r="W626" s="2">
        <f t="shared" si="47"/>
        <v>155050</v>
      </c>
      <c r="X626" s="2">
        <f t="shared" si="48"/>
        <v>6634.9501358142834</v>
      </c>
    </row>
    <row r="627" spans="1:24" x14ac:dyDescent="0.25">
      <c r="A627" s="6" t="s">
        <v>19</v>
      </c>
      <c r="B627" s="6" t="s">
        <v>609</v>
      </c>
      <c r="C627" s="6" t="s">
        <v>410</v>
      </c>
      <c r="D627" s="6" t="s">
        <v>399</v>
      </c>
      <c r="E627" s="11" t="str">
        <f t="shared" si="45"/>
        <v>UTILITARIO</v>
      </c>
      <c r="F627" s="6" t="s">
        <v>21</v>
      </c>
      <c r="G627" s="11">
        <v>1200</v>
      </c>
      <c r="H627" s="6" t="s">
        <v>1050</v>
      </c>
      <c r="I627" s="6" t="str">
        <f t="shared" si="46"/>
        <v>N</v>
      </c>
      <c r="J627" s="17" t="s">
        <v>9</v>
      </c>
      <c r="K627" s="6">
        <v>130</v>
      </c>
      <c r="L627" s="9">
        <v>802</v>
      </c>
      <c r="M627" s="2">
        <v>802</v>
      </c>
      <c r="N627" s="2">
        <v>25590</v>
      </c>
      <c r="O627" s="2" t="s">
        <v>1060</v>
      </c>
      <c r="P627" s="2" t="s">
        <v>1232</v>
      </c>
      <c r="Q627" s="2" t="s">
        <v>424</v>
      </c>
      <c r="R627" s="2">
        <v>1910</v>
      </c>
      <c r="S627" s="2"/>
      <c r="T627" s="2">
        <v>162</v>
      </c>
      <c r="U627" s="39">
        <f>IF(I627="N",T627*Supuestos!$B$4,T627*Supuestos!$C$4)*100</f>
        <v>6.9323568010442687</v>
      </c>
      <c r="V627" s="20">
        <f t="shared" si="49"/>
        <v>14.42510864197531</v>
      </c>
      <c r="W627" s="2">
        <f t="shared" si="47"/>
        <v>129924</v>
      </c>
      <c r="X627" s="2">
        <f t="shared" si="48"/>
        <v>5559.7501544375036</v>
      </c>
    </row>
    <row r="628" spans="1:24" x14ac:dyDescent="0.25">
      <c r="A628" s="6" t="s">
        <v>29</v>
      </c>
      <c r="B628" s="6" t="s">
        <v>658</v>
      </c>
      <c r="C628" s="6" t="s">
        <v>410</v>
      </c>
      <c r="D628" s="6" t="s">
        <v>399</v>
      </c>
      <c r="E628" s="11" t="str">
        <f t="shared" si="45"/>
        <v>UTILITARIO</v>
      </c>
      <c r="F628" s="6"/>
      <c r="G628" s="11">
        <v>1300</v>
      </c>
      <c r="H628" s="6" t="s">
        <v>1050</v>
      </c>
      <c r="I628" s="6" t="str">
        <f t="shared" si="46"/>
        <v>N</v>
      </c>
      <c r="J628" s="17" t="s">
        <v>9</v>
      </c>
      <c r="K628" s="6">
        <v>99</v>
      </c>
      <c r="L628" s="9">
        <v>592</v>
      </c>
      <c r="M628" s="2">
        <v>592</v>
      </c>
      <c r="N628" s="2">
        <v>22490</v>
      </c>
      <c r="O628" s="2" t="s">
        <v>1053</v>
      </c>
      <c r="P628" s="2" t="s">
        <v>1230</v>
      </c>
      <c r="Q628" s="2" t="s">
        <v>429</v>
      </c>
      <c r="R628" s="2">
        <v>1632</v>
      </c>
      <c r="S628" s="2"/>
      <c r="T628" s="2">
        <v>145</v>
      </c>
      <c r="U628" s="39">
        <f>IF(I628="N",T628*Supuestos!$B$4,T628*Supuestos!$C$4)*100</f>
        <v>6.2048872601939449</v>
      </c>
      <c r="V628" s="20">
        <f t="shared" si="49"/>
        <v>16.11632827586207</v>
      </c>
      <c r="W628" s="2">
        <f t="shared" si="47"/>
        <v>85840</v>
      </c>
      <c r="X628" s="2">
        <f t="shared" si="48"/>
        <v>3673.2932580348152</v>
      </c>
    </row>
    <row r="629" spans="1:24" x14ac:dyDescent="0.25">
      <c r="A629" s="6" t="s">
        <v>19</v>
      </c>
      <c r="B629" s="6" t="s">
        <v>608</v>
      </c>
      <c r="C629" s="6" t="s">
        <v>410</v>
      </c>
      <c r="D629" s="6" t="s">
        <v>399</v>
      </c>
      <c r="E629" s="11" t="str">
        <f t="shared" si="45"/>
        <v>UTILITARIO</v>
      </c>
      <c r="F629" s="6" t="s">
        <v>21</v>
      </c>
      <c r="G629" s="11">
        <v>1200</v>
      </c>
      <c r="H629" s="6" t="s">
        <v>1050</v>
      </c>
      <c r="I629" s="6" t="str">
        <f t="shared" si="46"/>
        <v>N</v>
      </c>
      <c r="J629" s="17" t="s">
        <v>9</v>
      </c>
      <c r="K629" s="6">
        <v>130</v>
      </c>
      <c r="L629" s="9">
        <v>576</v>
      </c>
      <c r="M629" s="2">
        <v>576</v>
      </c>
      <c r="N629" s="2">
        <v>22590</v>
      </c>
      <c r="O629" s="2" t="s">
        <v>1060</v>
      </c>
      <c r="P629" s="2" t="s">
        <v>1232</v>
      </c>
      <c r="Q629" s="2" t="s">
        <v>424</v>
      </c>
      <c r="R629" s="2">
        <v>1910</v>
      </c>
      <c r="S629" s="2"/>
      <c r="T629" s="2">
        <v>162</v>
      </c>
      <c r="U629" s="39">
        <f>IF(I629="N",T629*Supuestos!$B$4,T629*Supuestos!$C$4)*100</f>
        <v>6.9323568010442687</v>
      </c>
      <c r="V629" s="20">
        <f t="shared" si="49"/>
        <v>14.42510864197531</v>
      </c>
      <c r="W629" s="2">
        <f t="shared" si="47"/>
        <v>93312</v>
      </c>
      <c r="X629" s="2">
        <f t="shared" si="48"/>
        <v>3993.0375174014989</v>
      </c>
    </row>
    <row r="630" spans="1:24" x14ac:dyDescent="0.25">
      <c r="A630" s="6" t="s">
        <v>53</v>
      </c>
      <c r="B630" s="6" t="s">
        <v>392</v>
      </c>
      <c r="C630" s="6" t="s">
        <v>410</v>
      </c>
      <c r="D630" s="6" t="s">
        <v>399</v>
      </c>
      <c r="E630" s="11" t="str">
        <f t="shared" si="45"/>
        <v>UTILITARIO</v>
      </c>
      <c r="F630" s="6" t="s">
        <v>21</v>
      </c>
      <c r="G630" s="11">
        <v>1600</v>
      </c>
      <c r="H630" s="6" t="s">
        <v>1050</v>
      </c>
      <c r="I630" s="6" t="str">
        <f t="shared" si="46"/>
        <v>N</v>
      </c>
      <c r="J630" s="17" t="s">
        <v>9</v>
      </c>
      <c r="K630" s="6">
        <v>110</v>
      </c>
      <c r="L630" s="9">
        <v>536</v>
      </c>
      <c r="M630" s="2">
        <v>536</v>
      </c>
      <c r="N630" s="2">
        <v>21890</v>
      </c>
      <c r="O630" s="2" t="s">
        <v>1053</v>
      </c>
      <c r="P630" s="2" t="s">
        <v>1233</v>
      </c>
      <c r="Q630" s="2" t="s">
        <v>422</v>
      </c>
      <c r="R630" s="2">
        <v>1740</v>
      </c>
      <c r="S630" s="2"/>
      <c r="T630" s="2">
        <v>175</v>
      </c>
      <c r="U630" s="39">
        <f>IF(I630="N",T630*Supuestos!$B$4,T630*Supuestos!$C$4)*100</f>
        <v>7.4886570381651056</v>
      </c>
      <c r="V630" s="20">
        <f t="shared" si="49"/>
        <v>13.353529142857143</v>
      </c>
      <c r="W630" s="2">
        <f t="shared" si="47"/>
        <v>93800</v>
      </c>
      <c r="X630" s="2">
        <f t="shared" si="48"/>
        <v>4013.9201724564964</v>
      </c>
    </row>
    <row r="631" spans="1:24" x14ac:dyDescent="0.25">
      <c r="A631" s="6" t="s">
        <v>19</v>
      </c>
      <c r="B631" s="6" t="s">
        <v>607</v>
      </c>
      <c r="C631" s="6" t="s">
        <v>410</v>
      </c>
      <c r="D631" s="6" t="s">
        <v>399</v>
      </c>
      <c r="E631" s="11" t="str">
        <f t="shared" si="45"/>
        <v>UTILITARIO</v>
      </c>
      <c r="F631" s="6" t="s">
        <v>21</v>
      </c>
      <c r="G631" s="11">
        <v>1200</v>
      </c>
      <c r="H631" s="6" t="s">
        <v>1050</v>
      </c>
      <c r="I631" s="6" t="str">
        <f t="shared" si="46"/>
        <v>N</v>
      </c>
      <c r="J631" s="17" t="s">
        <v>9</v>
      </c>
      <c r="K631" s="6">
        <v>130</v>
      </c>
      <c r="L631" s="9">
        <v>514</v>
      </c>
      <c r="M631" s="2">
        <v>514</v>
      </c>
      <c r="N631" s="2">
        <v>21290</v>
      </c>
      <c r="O631" s="2" t="s">
        <v>1060</v>
      </c>
      <c r="P631" s="2" t="s">
        <v>1232</v>
      </c>
      <c r="Q631" s="2" t="s">
        <v>424</v>
      </c>
      <c r="R631" s="2">
        <v>1910</v>
      </c>
      <c r="S631" s="2"/>
      <c r="T631" s="2">
        <v>162</v>
      </c>
      <c r="U631" s="39">
        <f>IF(I631="N",T631*Supuestos!$B$4,T631*Supuestos!$C$4)*100</f>
        <v>6.9323568010442687</v>
      </c>
      <c r="V631" s="20">
        <f t="shared" si="49"/>
        <v>14.42510864197531</v>
      </c>
      <c r="W631" s="2">
        <f t="shared" si="47"/>
        <v>83268</v>
      </c>
      <c r="X631" s="2">
        <f t="shared" si="48"/>
        <v>3563.2313957367542</v>
      </c>
    </row>
    <row r="632" spans="1:24" x14ac:dyDescent="0.25">
      <c r="A632" s="6" t="s">
        <v>48</v>
      </c>
      <c r="B632" s="6" t="s">
        <v>935</v>
      </c>
      <c r="C632" s="6" t="s">
        <v>410</v>
      </c>
      <c r="D632" s="6" t="s">
        <v>399</v>
      </c>
      <c r="E632" s="11" t="str">
        <f t="shared" si="45"/>
        <v>UTILITARIO</v>
      </c>
      <c r="F632" s="6" t="s">
        <v>21</v>
      </c>
      <c r="G632" s="11">
        <v>1600</v>
      </c>
      <c r="H632" s="6" t="s">
        <v>1050</v>
      </c>
      <c r="I632" s="6" t="str">
        <f t="shared" si="46"/>
        <v>N</v>
      </c>
      <c r="J632" s="17" t="s">
        <v>9</v>
      </c>
      <c r="K632" s="6">
        <v>118</v>
      </c>
      <c r="L632" s="9">
        <v>443</v>
      </c>
      <c r="M632" s="2">
        <v>443</v>
      </c>
      <c r="N632" s="2">
        <v>22490</v>
      </c>
      <c r="O632" s="2" t="s">
        <v>1053</v>
      </c>
      <c r="P632" s="2" t="s">
        <v>1234</v>
      </c>
      <c r="Q632" s="2" t="s">
        <v>429</v>
      </c>
      <c r="R632" s="2">
        <v>2019</v>
      </c>
      <c r="S632" s="2"/>
      <c r="T632" s="2">
        <v>170</v>
      </c>
      <c r="U632" s="39">
        <f>IF(I632="N",T632*Supuestos!$B$4,T632*Supuestos!$C$4)*100</f>
        <v>7.2746954085032458</v>
      </c>
      <c r="V632" s="20">
        <f t="shared" si="49"/>
        <v>13.74628</v>
      </c>
      <c r="W632" s="2">
        <f t="shared" si="47"/>
        <v>75310</v>
      </c>
      <c r="X632" s="2">
        <f t="shared" si="48"/>
        <v>3222.6900659669377</v>
      </c>
    </row>
    <row r="633" spans="1:24" x14ac:dyDescent="0.25">
      <c r="A633" s="6" t="s">
        <v>48</v>
      </c>
      <c r="B633" s="6" t="s">
        <v>931</v>
      </c>
      <c r="C633" s="6" t="s">
        <v>410</v>
      </c>
      <c r="D633" s="6" t="s">
        <v>399</v>
      </c>
      <c r="E633" s="11" t="str">
        <f t="shared" si="45"/>
        <v>UTILITARIO</v>
      </c>
      <c r="F633" s="6" t="s">
        <v>21</v>
      </c>
      <c r="G633" s="11">
        <v>1300</v>
      </c>
      <c r="H633" s="6" t="s">
        <v>1050</v>
      </c>
      <c r="I633" s="6" t="str">
        <f t="shared" si="46"/>
        <v>N</v>
      </c>
      <c r="J633" s="17" t="s">
        <v>9</v>
      </c>
      <c r="K633" s="6">
        <v>156</v>
      </c>
      <c r="L633" s="9">
        <v>391</v>
      </c>
      <c r="M633" s="2">
        <v>391</v>
      </c>
      <c r="N633" s="2">
        <v>25490</v>
      </c>
      <c r="O633" s="2" t="s">
        <v>1053</v>
      </c>
      <c r="P633" s="2" t="s">
        <v>1235</v>
      </c>
      <c r="Q633" s="2" t="s">
        <v>424</v>
      </c>
      <c r="R633" s="2">
        <v>2037</v>
      </c>
      <c r="S633" s="2"/>
      <c r="T633" s="2">
        <v>169</v>
      </c>
      <c r="U633" s="39">
        <f>IF(I633="N",T633*Supuestos!$B$4,T633*Supuestos!$C$4)*100</f>
        <v>7.2319030825708746</v>
      </c>
      <c r="V633" s="20">
        <f t="shared" si="49"/>
        <v>13.827618934911241</v>
      </c>
      <c r="W633" s="2">
        <f t="shared" si="47"/>
        <v>66079</v>
      </c>
      <c r="X633" s="2">
        <f t="shared" si="48"/>
        <v>2827.6741052852121</v>
      </c>
    </row>
    <row r="634" spans="1:24" x14ac:dyDescent="0.25">
      <c r="A634" s="6" t="s">
        <v>29</v>
      </c>
      <c r="B634" s="6" t="s">
        <v>656</v>
      </c>
      <c r="C634" s="6" t="s">
        <v>66</v>
      </c>
      <c r="D634" s="6" t="s">
        <v>399</v>
      </c>
      <c r="E634" s="11" t="str">
        <f t="shared" si="45"/>
        <v>UTILITARIO</v>
      </c>
      <c r="F634" s="6" t="s">
        <v>21</v>
      </c>
      <c r="G634" s="11">
        <v>1400</v>
      </c>
      <c r="H634" s="6" t="s">
        <v>1050</v>
      </c>
      <c r="I634" s="6" t="str">
        <f t="shared" si="46"/>
        <v>N</v>
      </c>
      <c r="J634" s="17" t="s">
        <v>9</v>
      </c>
      <c r="K634" s="6">
        <v>87</v>
      </c>
      <c r="L634" s="9">
        <v>355</v>
      </c>
      <c r="M634" s="2">
        <v>355</v>
      </c>
      <c r="N634" s="2">
        <v>16990</v>
      </c>
      <c r="O634" s="2" t="s">
        <v>1053</v>
      </c>
      <c r="P634" s="2" t="s">
        <v>1237</v>
      </c>
      <c r="Q634" s="2" t="s">
        <v>424</v>
      </c>
      <c r="R634" s="2">
        <v>1788</v>
      </c>
      <c r="S634" s="2"/>
      <c r="T634" s="2">
        <v>170</v>
      </c>
      <c r="U634" s="39">
        <f>IF(I634="N",T634*Supuestos!$B$4,T634*Supuestos!$C$4)*100</f>
        <v>7.2746954085032458</v>
      </c>
      <c r="V634" s="20">
        <f t="shared" si="49"/>
        <v>13.74628</v>
      </c>
      <c r="W634" s="2">
        <f t="shared" si="47"/>
        <v>60350</v>
      </c>
      <c r="X634" s="2">
        <f t="shared" si="48"/>
        <v>2582.5168700186523</v>
      </c>
    </row>
    <row r="635" spans="1:24" x14ac:dyDescent="0.25">
      <c r="A635" s="6" t="s">
        <v>46</v>
      </c>
      <c r="B635" s="6" t="s">
        <v>269</v>
      </c>
      <c r="C635" s="6" t="s">
        <v>409</v>
      </c>
      <c r="D635" s="6" t="s">
        <v>399</v>
      </c>
      <c r="E635" s="11" t="str">
        <f t="shared" si="45"/>
        <v>UTILITARIO</v>
      </c>
      <c r="F635" s="6" t="s">
        <v>24</v>
      </c>
      <c r="G635" s="11">
        <v>2500</v>
      </c>
      <c r="H635" s="6" t="s">
        <v>1052</v>
      </c>
      <c r="I635" s="6" t="str">
        <f t="shared" si="46"/>
        <v>D</v>
      </c>
      <c r="J635" s="17" t="s">
        <v>22</v>
      </c>
      <c r="K635" s="6">
        <v>160</v>
      </c>
      <c r="L635" s="9">
        <v>330</v>
      </c>
      <c r="M635" s="2">
        <v>330</v>
      </c>
      <c r="N635" s="2">
        <v>42088</v>
      </c>
      <c r="O635" s="2" t="s">
        <v>1053</v>
      </c>
      <c r="P635" s="2" t="s">
        <v>1239</v>
      </c>
      <c r="Q635" s="2" t="s">
        <v>428</v>
      </c>
      <c r="R635" s="2">
        <v>3020</v>
      </c>
      <c r="S635" s="2"/>
      <c r="T635" s="2">
        <v>199</v>
      </c>
      <c r="U635" s="39">
        <f>IF(I635="N",T635*Supuestos!$B$4,T635*Supuestos!$C$4)*100</f>
        <v>7.4131972344825572</v>
      </c>
      <c r="V635" s="20">
        <f t="shared" si="49"/>
        <v>13.489456281407037</v>
      </c>
      <c r="W635" s="2">
        <f t="shared" si="47"/>
        <v>65670</v>
      </c>
      <c r="X635" s="2">
        <f t="shared" si="48"/>
        <v>2446.3550873792437</v>
      </c>
    </row>
    <row r="636" spans="1:24" x14ac:dyDescent="0.25">
      <c r="A636" s="6" t="s">
        <v>29</v>
      </c>
      <c r="B636" s="6" t="s">
        <v>181</v>
      </c>
      <c r="C636" s="6" t="s">
        <v>409</v>
      </c>
      <c r="D636" s="6" t="s">
        <v>399</v>
      </c>
      <c r="E636" s="11" t="str">
        <f t="shared" si="45"/>
        <v>UTILITARIO</v>
      </c>
      <c r="F636" s="6" t="s">
        <v>21</v>
      </c>
      <c r="G636" s="11">
        <v>1300</v>
      </c>
      <c r="H636" s="6" t="s">
        <v>1050</v>
      </c>
      <c r="I636" s="6" t="str">
        <f t="shared" si="46"/>
        <v>N</v>
      </c>
      <c r="J636" s="17" t="s">
        <v>9</v>
      </c>
      <c r="K636" s="6">
        <v>180</v>
      </c>
      <c r="L636" s="9">
        <v>319</v>
      </c>
      <c r="M636" s="2">
        <v>319</v>
      </c>
      <c r="N636" s="2">
        <v>34990</v>
      </c>
      <c r="O636" s="2" t="s">
        <v>1240</v>
      </c>
      <c r="P636" s="2" t="s">
        <v>1243</v>
      </c>
      <c r="Q636" s="2" t="s">
        <v>429</v>
      </c>
      <c r="R636" s="2">
        <v>2420</v>
      </c>
      <c r="S636" s="2"/>
      <c r="T636" s="2">
        <v>188</v>
      </c>
      <c r="U636" s="39">
        <f>IF(I636="N",T636*Supuestos!$B$4,T636*Supuestos!$C$4)*100</f>
        <v>8.0449572752859417</v>
      </c>
      <c r="V636" s="20">
        <f t="shared" si="49"/>
        <v>12.43014680851064</v>
      </c>
      <c r="W636" s="2">
        <f t="shared" si="47"/>
        <v>59972</v>
      </c>
      <c r="X636" s="2">
        <f t="shared" si="48"/>
        <v>2566.3413708162152</v>
      </c>
    </row>
    <row r="637" spans="1:24" x14ac:dyDescent="0.25">
      <c r="A637" s="6" t="s">
        <v>53</v>
      </c>
      <c r="B637" s="6" t="s">
        <v>1021</v>
      </c>
      <c r="C637" s="6" t="s">
        <v>410</v>
      </c>
      <c r="D637" s="6" t="s">
        <v>399</v>
      </c>
      <c r="E637" s="11" t="str">
        <f t="shared" si="45"/>
        <v>UTILITARIO</v>
      </c>
      <c r="F637" s="6" t="s">
        <v>21</v>
      </c>
      <c r="G637" s="11">
        <v>1600</v>
      </c>
      <c r="H637" s="6" t="s">
        <v>1050</v>
      </c>
      <c r="I637" s="6" t="str">
        <f t="shared" si="46"/>
        <v>N</v>
      </c>
      <c r="J637" s="17" t="s">
        <v>9</v>
      </c>
      <c r="K637" s="6">
        <v>110</v>
      </c>
      <c r="L637" s="9">
        <v>310</v>
      </c>
      <c r="M637" s="2">
        <v>310</v>
      </c>
      <c r="N637" s="2">
        <v>16690</v>
      </c>
      <c r="O637" s="2" t="s">
        <v>1053</v>
      </c>
      <c r="P637" s="2" t="s">
        <v>1233</v>
      </c>
      <c r="Q637" s="2" t="s">
        <v>422</v>
      </c>
      <c r="R637" s="2">
        <v>1740</v>
      </c>
      <c r="S637" s="2"/>
      <c r="T637" s="2">
        <v>175</v>
      </c>
      <c r="U637" s="39">
        <f>IF(I637="N",T637*Supuestos!$B$4,T637*Supuestos!$C$4)*100</f>
        <v>7.4886570381651056</v>
      </c>
      <c r="V637" s="20">
        <f t="shared" si="49"/>
        <v>13.353529142857143</v>
      </c>
      <c r="W637" s="2">
        <f t="shared" si="47"/>
        <v>54250</v>
      </c>
      <c r="X637" s="2">
        <f t="shared" si="48"/>
        <v>2321.4836818311828</v>
      </c>
    </row>
    <row r="638" spans="1:24" x14ac:dyDescent="0.25">
      <c r="A638" s="6" t="s">
        <v>19</v>
      </c>
      <c r="B638" s="6" t="s">
        <v>155</v>
      </c>
      <c r="C638" s="6" t="s">
        <v>409</v>
      </c>
      <c r="D638" s="6" t="s">
        <v>399</v>
      </c>
      <c r="E638" s="11" t="str">
        <f t="shared" si="45"/>
        <v>UTILITARIO</v>
      </c>
      <c r="F638" s="6" t="s">
        <v>21</v>
      </c>
      <c r="G638" s="11">
        <v>2800</v>
      </c>
      <c r="H638" s="6" t="s">
        <v>1052</v>
      </c>
      <c r="I638" s="6" t="str">
        <f t="shared" si="46"/>
        <v>D</v>
      </c>
      <c r="J638" s="17" t="s">
        <v>22</v>
      </c>
      <c r="K638" s="6">
        <v>200</v>
      </c>
      <c r="L638" s="9">
        <v>296</v>
      </c>
      <c r="M638" s="2">
        <v>296</v>
      </c>
      <c r="N638" s="2">
        <v>50690</v>
      </c>
      <c r="O638" s="2" t="s">
        <v>1055</v>
      </c>
      <c r="P638" s="2" t="s">
        <v>1246</v>
      </c>
      <c r="Q638" s="2" t="s">
        <v>429</v>
      </c>
      <c r="R638" s="2">
        <v>3100</v>
      </c>
      <c r="S638" s="2"/>
      <c r="T638" s="2">
        <v>215</v>
      </c>
      <c r="U638" s="39">
        <f>IF(I638="N",T638*Supuestos!$B$4,T638*Supuestos!$C$4)*100</f>
        <v>8.0092331930339196</v>
      </c>
      <c r="V638" s="20">
        <f t="shared" si="49"/>
        <v>12.48558976744186</v>
      </c>
      <c r="W638" s="2">
        <f t="shared" si="47"/>
        <v>63640</v>
      </c>
      <c r="X638" s="2">
        <f t="shared" si="48"/>
        <v>2370.7330251380404</v>
      </c>
    </row>
    <row r="639" spans="1:24" x14ac:dyDescent="0.25">
      <c r="A639" s="6" t="s">
        <v>48</v>
      </c>
      <c r="B639" s="6" t="s">
        <v>930</v>
      </c>
      <c r="C639" s="6" t="s">
        <v>410</v>
      </c>
      <c r="D639" s="6" t="s">
        <v>399</v>
      </c>
      <c r="E639" s="11" t="str">
        <f t="shared" si="45"/>
        <v>UTILITARIO</v>
      </c>
      <c r="F639" s="6" t="s">
        <v>21</v>
      </c>
      <c r="G639" s="11">
        <v>1600</v>
      </c>
      <c r="H639" s="6" t="s">
        <v>1050</v>
      </c>
      <c r="I639" s="6" t="str">
        <f t="shared" si="46"/>
        <v>N</v>
      </c>
      <c r="J639" s="17" t="s">
        <v>9</v>
      </c>
      <c r="K639" s="6">
        <v>118</v>
      </c>
      <c r="L639" s="9">
        <v>291</v>
      </c>
      <c r="M639" s="2">
        <v>291</v>
      </c>
      <c r="N639" s="2">
        <v>20990</v>
      </c>
      <c r="O639" s="2" t="s">
        <v>1053</v>
      </c>
      <c r="P639" s="2" t="s">
        <v>1234</v>
      </c>
      <c r="Q639" s="2" t="s">
        <v>429</v>
      </c>
      <c r="R639" s="2">
        <v>2019</v>
      </c>
      <c r="S639" s="2"/>
      <c r="T639" s="2">
        <v>170</v>
      </c>
      <c r="U639" s="39">
        <f>IF(I639="N",T639*Supuestos!$B$4,T639*Supuestos!$C$4)*100</f>
        <v>7.2746954085032458</v>
      </c>
      <c r="V639" s="20">
        <f t="shared" si="49"/>
        <v>13.74628</v>
      </c>
      <c r="W639" s="2">
        <f t="shared" si="47"/>
        <v>49470</v>
      </c>
      <c r="X639" s="2">
        <f t="shared" si="48"/>
        <v>2116.9363638744444</v>
      </c>
    </row>
    <row r="640" spans="1:24" x14ac:dyDescent="0.25">
      <c r="A640" s="6" t="s">
        <v>48</v>
      </c>
      <c r="B640" s="6" t="s">
        <v>933</v>
      </c>
      <c r="C640" s="6" t="s">
        <v>410</v>
      </c>
      <c r="D640" s="6" t="s">
        <v>399</v>
      </c>
      <c r="E640" s="11" t="str">
        <f t="shared" si="45"/>
        <v>UTILITARIO</v>
      </c>
      <c r="F640" s="6" t="s">
        <v>21</v>
      </c>
      <c r="G640" s="11">
        <v>1300</v>
      </c>
      <c r="H640" s="6" t="s">
        <v>1050</v>
      </c>
      <c r="I640" s="6" t="str">
        <f t="shared" si="46"/>
        <v>N</v>
      </c>
      <c r="J640" s="17" t="s">
        <v>9</v>
      </c>
      <c r="K640" s="6">
        <v>156</v>
      </c>
      <c r="L640" s="9">
        <v>241</v>
      </c>
      <c r="M640" s="2">
        <v>241</v>
      </c>
      <c r="N640" s="2">
        <v>27490</v>
      </c>
      <c r="O640" s="2" t="s">
        <v>1053</v>
      </c>
      <c r="P640" s="2" t="s">
        <v>1235</v>
      </c>
      <c r="Q640" s="2" t="s">
        <v>424</v>
      </c>
      <c r="R640" s="2">
        <v>2037</v>
      </c>
      <c r="S640" s="2"/>
      <c r="T640" s="2">
        <v>169</v>
      </c>
      <c r="U640" s="39">
        <f>IF(I640="N",T640*Supuestos!$B$4,T640*Supuestos!$C$4)*100</f>
        <v>7.2319030825708746</v>
      </c>
      <c r="V640" s="20">
        <f t="shared" si="49"/>
        <v>13.827618934911241</v>
      </c>
      <c r="W640" s="2">
        <f t="shared" si="47"/>
        <v>40729</v>
      </c>
      <c r="X640" s="2">
        <f t="shared" si="48"/>
        <v>1742.8886428995809</v>
      </c>
    </row>
    <row r="641" spans="1:24" x14ac:dyDescent="0.25">
      <c r="A641" s="6" t="s">
        <v>94</v>
      </c>
      <c r="B641" s="6" t="s">
        <v>376</v>
      </c>
      <c r="C641" s="6" t="s">
        <v>406</v>
      </c>
      <c r="D641" s="6" t="s">
        <v>399</v>
      </c>
      <c r="E641" s="11" t="str">
        <f t="shared" si="45"/>
        <v>UTILITARIO</v>
      </c>
      <c r="F641" s="6" t="s">
        <v>14</v>
      </c>
      <c r="G641" s="11">
        <v>1200</v>
      </c>
      <c r="H641" s="6" t="s">
        <v>1050</v>
      </c>
      <c r="I641" s="6" t="str">
        <f t="shared" si="46"/>
        <v>N</v>
      </c>
      <c r="J641" s="17" t="s">
        <v>9</v>
      </c>
      <c r="K641" s="6">
        <v>86</v>
      </c>
      <c r="L641" s="9">
        <v>235</v>
      </c>
      <c r="M641" s="2">
        <v>235</v>
      </c>
      <c r="N641" s="2">
        <v>13490</v>
      </c>
      <c r="O641" s="2" t="s">
        <v>1053</v>
      </c>
      <c r="P641" s="2" t="s">
        <v>1248</v>
      </c>
      <c r="Q641" s="2" t="s">
        <v>422</v>
      </c>
      <c r="R641" s="2">
        <v>2400</v>
      </c>
      <c r="S641" s="2"/>
      <c r="T641" s="2">
        <v>177</v>
      </c>
      <c r="U641" s="39">
        <f>IF(I641="N",T641*Supuestos!$B$4,T641*Supuestos!$C$4)*100</f>
        <v>7.5742416900298499</v>
      </c>
      <c r="V641" s="20">
        <f t="shared" si="49"/>
        <v>13.202641807909606</v>
      </c>
      <c r="W641" s="2">
        <f t="shared" si="47"/>
        <v>41595</v>
      </c>
      <c r="X641" s="2">
        <f t="shared" si="48"/>
        <v>1779.9467971570148</v>
      </c>
    </row>
    <row r="642" spans="1:24" x14ac:dyDescent="0.25">
      <c r="A642" s="6" t="s">
        <v>81</v>
      </c>
      <c r="B642" s="6" t="s">
        <v>163</v>
      </c>
      <c r="C642" s="6" t="s">
        <v>66</v>
      </c>
      <c r="D642" s="6" t="s">
        <v>399</v>
      </c>
      <c r="E642" s="11" t="str">
        <f t="shared" ref="E642:E705" si="50">IF(D642="COMERCIAL","UTILITARIO",IF(C642="SUV Y CROSSOVER","SUV","AUTOMOVIL"))</f>
        <v>UTILITARIO</v>
      </c>
      <c r="F642" s="6" t="s">
        <v>23</v>
      </c>
      <c r="G642" s="11">
        <v>1600</v>
      </c>
      <c r="H642" s="6" t="s">
        <v>1050</v>
      </c>
      <c r="I642" s="6" t="str">
        <f t="shared" ref="I642:I705" si="51">IF(H642="NAFTA","N",IF(H642="DIESEL","D",IF(H642="ELÉCTRICO","E","")))</f>
        <v>N</v>
      </c>
      <c r="J642" s="17" t="s">
        <v>9</v>
      </c>
      <c r="K642" s="6">
        <v>115</v>
      </c>
      <c r="L642" s="9">
        <v>230</v>
      </c>
      <c r="M642" s="2">
        <v>230</v>
      </c>
      <c r="N642" s="2">
        <v>15990</v>
      </c>
      <c r="O642" s="2" t="s">
        <v>1055</v>
      </c>
      <c r="P642" s="2" t="s">
        <v>1249</v>
      </c>
      <c r="Q642" s="2" t="s">
        <v>429</v>
      </c>
      <c r="R642" s="2">
        <v>1660</v>
      </c>
      <c r="S642" s="2"/>
      <c r="T642" s="2">
        <v>205.58</v>
      </c>
      <c r="U642" s="39">
        <f>IF(I642="N",T642*Supuestos!$B$4,T642*Supuestos!$C$4)*100</f>
        <v>8.7972463651770436</v>
      </c>
      <c r="V642" s="20">
        <f t="shared" si="49"/>
        <v>11.3671933067419</v>
      </c>
      <c r="W642" s="2">
        <f t="shared" ref="W642:W705" si="52">T642*M642</f>
        <v>47283.4</v>
      </c>
      <c r="X642" s="2">
        <f t="shared" ref="X642:X705" si="53">+U642*M642</f>
        <v>2023.3666639907201</v>
      </c>
    </row>
    <row r="643" spans="1:24" x14ac:dyDescent="0.25">
      <c r="A643" s="6" t="s">
        <v>17</v>
      </c>
      <c r="B643" s="6" t="s">
        <v>126</v>
      </c>
      <c r="C643" s="6" t="s">
        <v>66</v>
      </c>
      <c r="D643" s="6" t="s">
        <v>399</v>
      </c>
      <c r="E643" s="11" t="str">
        <f t="shared" si="50"/>
        <v>UTILITARIO</v>
      </c>
      <c r="F643" s="6" t="s">
        <v>14</v>
      </c>
      <c r="G643" s="11"/>
      <c r="H643" s="6" t="s">
        <v>1051</v>
      </c>
      <c r="I643" s="6" t="str">
        <f t="shared" si="51"/>
        <v>E</v>
      </c>
      <c r="J643" s="17" t="s">
        <v>418</v>
      </c>
      <c r="K643" s="6">
        <v>134</v>
      </c>
      <c r="L643" s="9">
        <v>218</v>
      </c>
      <c r="M643" s="21">
        <v>218</v>
      </c>
      <c r="N643" s="2">
        <v>42990</v>
      </c>
      <c r="O643" s="2" t="s">
        <v>1060</v>
      </c>
      <c r="P643" s="2" t="s">
        <v>1338</v>
      </c>
      <c r="Q643" s="2"/>
      <c r="R643" s="2">
        <v>2420</v>
      </c>
      <c r="S643" s="2">
        <v>4.5999999999999996</v>
      </c>
      <c r="T643" s="2"/>
      <c r="U643" s="39">
        <f>IF(I643="N",T643*Supuestos!$B$4,T643*Supuestos!$C$4)*100</f>
        <v>0</v>
      </c>
      <c r="V643" s="20">
        <f t="shared" ref="V643:V706" si="54">IF(U643&gt;0,100/U643,0)</f>
        <v>0</v>
      </c>
      <c r="W643" s="2">
        <f t="shared" si="52"/>
        <v>0</v>
      </c>
      <c r="X643" s="2">
        <f t="shared" si="53"/>
        <v>0</v>
      </c>
    </row>
    <row r="644" spans="1:24" x14ac:dyDescent="0.25">
      <c r="A644" s="6" t="s">
        <v>19</v>
      </c>
      <c r="B644" s="6" t="s">
        <v>611</v>
      </c>
      <c r="C644" s="6" t="s">
        <v>410</v>
      </c>
      <c r="D644" s="6" t="s">
        <v>399</v>
      </c>
      <c r="E644" s="11" t="str">
        <f t="shared" si="50"/>
        <v>UTILITARIO</v>
      </c>
      <c r="F644" s="6" t="s">
        <v>21</v>
      </c>
      <c r="G644" s="11">
        <v>1200</v>
      </c>
      <c r="H644" s="6" t="s">
        <v>1050</v>
      </c>
      <c r="I644" s="6" t="str">
        <f t="shared" si="51"/>
        <v>N</v>
      </c>
      <c r="J644" s="17" t="s">
        <v>9</v>
      </c>
      <c r="K644" s="6">
        <v>130</v>
      </c>
      <c r="L644" s="9">
        <v>191</v>
      </c>
      <c r="M644" s="2">
        <v>191</v>
      </c>
      <c r="N644" s="2">
        <v>27990</v>
      </c>
      <c r="O644" s="2" t="s">
        <v>1060</v>
      </c>
      <c r="P644" s="2" t="s">
        <v>1231</v>
      </c>
      <c r="Q644" s="2" t="s">
        <v>424</v>
      </c>
      <c r="R644" s="2">
        <v>1910</v>
      </c>
      <c r="S644" s="2"/>
      <c r="T644" s="2">
        <v>172</v>
      </c>
      <c r="U644" s="39">
        <f>IF(I644="N",T644*Supuestos!$B$4,T644*Supuestos!$C$4)*100</f>
        <v>7.3602800603679892</v>
      </c>
      <c r="V644" s="20">
        <f t="shared" si="54"/>
        <v>13.586439534883722</v>
      </c>
      <c r="W644" s="2">
        <f t="shared" si="52"/>
        <v>32852</v>
      </c>
      <c r="X644" s="2">
        <f t="shared" si="53"/>
        <v>1405.813491530286</v>
      </c>
    </row>
    <row r="645" spans="1:24" x14ac:dyDescent="0.25">
      <c r="A645" s="6" t="s">
        <v>62</v>
      </c>
      <c r="B645" s="6" t="s">
        <v>309</v>
      </c>
      <c r="C645" s="6" t="s">
        <v>66</v>
      </c>
      <c r="D645" s="6" t="s">
        <v>399</v>
      </c>
      <c r="E645" s="11" t="str">
        <f t="shared" si="50"/>
        <v>UTILITARIO</v>
      </c>
      <c r="F645" s="6" t="s">
        <v>23</v>
      </c>
      <c r="G645" s="11">
        <v>1600</v>
      </c>
      <c r="H645" s="6" t="s">
        <v>1050</v>
      </c>
      <c r="I645" s="6" t="str">
        <f t="shared" si="51"/>
        <v>N</v>
      </c>
      <c r="J645" s="17" t="s">
        <v>9</v>
      </c>
      <c r="K645" s="6">
        <v>115</v>
      </c>
      <c r="L645" s="9">
        <v>187</v>
      </c>
      <c r="M645" s="2">
        <v>187</v>
      </c>
      <c r="N645" s="2">
        <v>15990</v>
      </c>
      <c r="O645" s="2" t="s">
        <v>1055</v>
      </c>
      <c r="P645" s="2" t="s">
        <v>1249</v>
      </c>
      <c r="Q645" s="2" t="s">
        <v>429</v>
      </c>
      <c r="R645" s="2">
        <v>1660</v>
      </c>
      <c r="S645" s="2"/>
      <c r="T645" s="2">
        <v>205.58</v>
      </c>
      <c r="U645" s="39">
        <f>IF(I645="N",T645*Supuestos!$B$4,T645*Supuestos!$C$4)*100</f>
        <v>8.7972463651770436</v>
      </c>
      <c r="V645" s="20">
        <f t="shared" si="54"/>
        <v>11.3671933067419</v>
      </c>
      <c r="W645" s="2">
        <f t="shared" si="52"/>
        <v>38443.46</v>
      </c>
      <c r="X645" s="2">
        <f t="shared" si="53"/>
        <v>1645.0850702881071</v>
      </c>
    </row>
    <row r="646" spans="1:24" x14ac:dyDescent="0.25">
      <c r="A646" s="6" t="s">
        <v>29</v>
      </c>
      <c r="B646" s="6" t="s">
        <v>180</v>
      </c>
      <c r="C646" s="6" t="s">
        <v>410</v>
      </c>
      <c r="D646" s="6" t="s">
        <v>399</v>
      </c>
      <c r="E646" s="11" t="str">
        <f t="shared" si="50"/>
        <v>UTILITARIO</v>
      </c>
      <c r="F646" s="6" t="s">
        <v>21</v>
      </c>
      <c r="G646" s="11">
        <v>1400</v>
      </c>
      <c r="H646" s="6" t="s">
        <v>1050</v>
      </c>
      <c r="I646" s="6" t="str">
        <f t="shared" si="51"/>
        <v>N</v>
      </c>
      <c r="J646" s="17" t="s">
        <v>9</v>
      </c>
      <c r="K646" s="6">
        <v>85</v>
      </c>
      <c r="L646" s="9">
        <v>185</v>
      </c>
      <c r="M646" s="2">
        <v>185</v>
      </c>
      <c r="N646" s="2">
        <v>16690</v>
      </c>
      <c r="O646" s="2" t="s">
        <v>1055</v>
      </c>
      <c r="P646" s="2">
        <v>2220574</v>
      </c>
      <c r="Q646" s="2" t="s">
        <v>429</v>
      </c>
      <c r="R646" s="2">
        <v>1801</v>
      </c>
      <c r="S646" s="2"/>
      <c r="T646" s="2">
        <v>167.5</v>
      </c>
      <c r="U646" s="39">
        <f>IF(I646="N",T646*Supuestos!$B$4,T646*Supuestos!$C$4)*100</f>
        <v>7.1677145936723159</v>
      </c>
      <c r="V646" s="20">
        <f t="shared" si="54"/>
        <v>13.951448358208955</v>
      </c>
      <c r="W646" s="2">
        <f t="shared" si="52"/>
        <v>30987.5</v>
      </c>
      <c r="X646" s="2">
        <f t="shared" si="53"/>
        <v>1326.0271998293783</v>
      </c>
    </row>
    <row r="647" spans="1:24" x14ac:dyDescent="0.25">
      <c r="A647" s="6" t="s">
        <v>48</v>
      </c>
      <c r="B647" s="6" t="s">
        <v>934</v>
      </c>
      <c r="C647" s="6" t="s">
        <v>410</v>
      </c>
      <c r="D647" s="6" t="s">
        <v>399</v>
      </c>
      <c r="E647" s="11" t="str">
        <f t="shared" si="50"/>
        <v>UTILITARIO</v>
      </c>
      <c r="F647" s="6" t="s">
        <v>21</v>
      </c>
      <c r="G647" s="11">
        <v>1600</v>
      </c>
      <c r="H647" s="6" t="s">
        <v>1050</v>
      </c>
      <c r="I647" s="6" t="str">
        <f t="shared" si="51"/>
        <v>N</v>
      </c>
      <c r="J647" s="17" t="s">
        <v>9</v>
      </c>
      <c r="K647" s="6">
        <v>118</v>
      </c>
      <c r="L647" s="9">
        <v>181</v>
      </c>
      <c r="M647" s="2">
        <v>181</v>
      </c>
      <c r="N647" s="2">
        <v>23990</v>
      </c>
      <c r="O647" s="2" t="s">
        <v>1053</v>
      </c>
      <c r="P647" s="2" t="s">
        <v>1234</v>
      </c>
      <c r="Q647" s="2" t="s">
        <v>429</v>
      </c>
      <c r="R647" s="2">
        <v>2019</v>
      </c>
      <c r="S647" s="2"/>
      <c r="T647" s="2">
        <v>170</v>
      </c>
      <c r="U647" s="39">
        <f>IF(I647="N",T647*Supuestos!$B$4,T647*Supuestos!$C$4)*100</f>
        <v>7.2746954085032458</v>
      </c>
      <c r="V647" s="20">
        <f t="shared" si="54"/>
        <v>13.74628</v>
      </c>
      <c r="W647" s="2">
        <f t="shared" si="52"/>
        <v>30770</v>
      </c>
      <c r="X647" s="2">
        <f t="shared" si="53"/>
        <v>1316.7198689390875</v>
      </c>
    </row>
    <row r="648" spans="1:24" x14ac:dyDescent="0.25">
      <c r="A648" s="6" t="s">
        <v>48</v>
      </c>
      <c r="B648" s="6" t="s">
        <v>313</v>
      </c>
      <c r="C648" s="6" t="s">
        <v>66</v>
      </c>
      <c r="D648" s="6" t="s">
        <v>399</v>
      </c>
      <c r="E648" s="11" t="str">
        <f t="shared" si="50"/>
        <v>UTILITARIO</v>
      </c>
      <c r="F648" s="6" t="s">
        <v>23</v>
      </c>
      <c r="G648" s="11">
        <v>1600</v>
      </c>
      <c r="H648" s="6" t="s">
        <v>1050</v>
      </c>
      <c r="I648" s="6" t="str">
        <f t="shared" si="51"/>
        <v>N</v>
      </c>
      <c r="J648" s="17" t="s">
        <v>9</v>
      </c>
      <c r="K648" s="6">
        <v>114</v>
      </c>
      <c r="L648" s="9">
        <v>176</v>
      </c>
      <c r="M648" s="2">
        <v>176</v>
      </c>
      <c r="N648" s="2">
        <v>20728</v>
      </c>
      <c r="O648" s="2" t="s">
        <v>1055</v>
      </c>
      <c r="P648" s="2" t="s">
        <v>1253</v>
      </c>
      <c r="Q648" s="2" t="s">
        <v>429</v>
      </c>
      <c r="R648" s="2">
        <v>1784</v>
      </c>
      <c r="S648" s="2"/>
      <c r="T648" s="2">
        <v>179.5</v>
      </c>
      <c r="U648" s="39">
        <f>IF(I648="N",T648*Supuestos!$B$4,T648*Supuestos!$C$4)*100</f>
        <v>7.6812225048607798</v>
      </c>
      <c r="V648" s="20">
        <f t="shared" si="54"/>
        <v>13.018761002785515</v>
      </c>
      <c r="W648" s="2">
        <f t="shared" si="52"/>
        <v>31592</v>
      </c>
      <c r="X648" s="2">
        <f t="shared" si="53"/>
        <v>1351.8951608554974</v>
      </c>
    </row>
    <row r="649" spans="1:24" x14ac:dyDescent="0.25">
      <c r="A649" s="6" t="s">
        <v>53</v>
      </c>
      <c r="B649" s="6" t="s">
        <v>1023</v>
      </c>
      <c r="C649" s="6" t="s">
        <v>410</v>
      </c>
      <c r="D649" s="6" t="s">
        <v>399</v>
      </c>
      <c r="E649" s="11" t="str">
        <f t="shared" si="50"/>
        <v>UTILITARIO</v>
      </c>
      <c r="F649" s="6"/>
      <c r="G649" s="11">
        <v>1600</v>
      </c>
      <c r="H649" s="6" t="s">
        <v>1050</v>
      </c>
      <c r="I649" s="6" t="str">
        <f t="shared" si="51"/>
        <v>N</v>
      </c>
      <c r="J649" s="17" t="s">
        <v>9</v>
      </c>
      <c r="K649" s="6">
        <v>110</v>
      </c>
      <c r="L649" s="9">
        <v>173</v>
      </c>
      <c r="M649" s="2">
        <v>173</v>
      </c>
      <c r="N649" s="2">
        <v>19290</v>
      </c>
      <c r="O649" s="2" t="s">
        <v>1053</v>
      </c>
      <c r="P649" s="2" t="s">
        <v>1233</v>
      </c>
      <c r="Q649" s="2" t="s">
        <v>422</v>
      </c>
      <c r="R649" s="2">
        <v>1740</v>
      </c>
      <c r="S649" s="2"/>
      <c r="T649" s="2">
        <v>175</v>
      </c>
      <c r="U649" s="39">
        <f>IF(I649="N",T649*Supuestos!$B$4,T649*Supuestos!$C$4)*100</f>
        <v>7.4886570381651056</v>
      </c>
      <c r="V649" s="20">
        <f t="shared" si="54"/>
        <v>13.353529142857143</v>
      </c>
      <c r="W649" s="2">
        <f t="shared" si="52"/>
        <v>30275</v>
      </c>
      <c r="X649" s="2">
        <f t="shared" si="53"/>
        <v>1295.5376676025633</v>
      </c>
    </row>
    <row r="650" spans="1:24" x14ac:dyDescent="0.25">
      <c r="A650" s="6" t="s">
        <v>46</v>
      </c>
      <c r="B650" s="6" t="s">
        <v>266</v>
      </c>
      <c r="C650" s="6" t="s">
        <v>409</v>
      </c>
      <c r="D650" s="6" t="s">
        <v>399</v>
      </c>
      <c r="E650" s="11" t="str">
        <f t="shared" si="50"/>
        <v>UTILITARIO</v>
      </c>
      <c r="F650" s="6" t="s">
        <v>24</v>
      </c>
      <c r="G650" s="11">
        <v>2500</v>
      </c>
      <c r="H650" s="6" t="s">
        <v>1050</v>
      </c>
      <c r="I650" s="6" t="str">
        <f t="shared" si="51"/>
        <v>N</v>
      </c>
      <c r="J650" s="17" t="s">
        <v>9</v>
      </c>
      <c r="K650" s="6">
        <v>160</v>
      </c>
      <c r="L650" s="9">
        <v>172</v>
      </c>
      <c r="M650" s="2">
        <v>172</v>
      </c>
      <c r="N650" s="2">
        <v>46968</v>
      </c>
      <c r="O650" s="2" t="s">
        <v>1240</v>
      </c>
      <c r="P650" s="2" t="s">
        <v>1242</v>
      </c>
      <c r="Q650" s="2" t="s">
        <v>1080</v>
      </c>
      <c r="R650" s="2">
        <v>2910</v>
      </c>
      <c r="S650" s="2"/>
      <c r="T650" s="2">
        <v>254</v>
      </c>
      <c r="U650" s="39">
        <f>IF(I650="N",T650*Supuestos!$B$4,T650*Supuestos!$C$4)*100</f>
        <v>10.869250786822498</v>
      </c>
      <c r="V650" s="20">
        <f t="shared" si="54"/>
        <v>9.200266141732282</v>
      </c>
      <c r="W650" s="2">
        <f t="shared" si="52"/>
        <v>43688</v>
      </c>
      <c r="X650" s="2">
        <f t="shared" si="53"/>
        <v>1869.5111353334696</v>
      </c>
    </row>
    <row r="651" spans="1:24" x14ac:dyDescent="0.25">
      <c r="A651" s="6" t="s">
        <v>19</v>
      </c>
      <c r="B651" s="6" t="s">
        <v>623</v>
      </c>
      <c r="C651" s="6" t="s">
        <v>409</v>
      </c>
      <c r="D651" s="6" t="s">
        <v>399</v>
      </c>
      <c r="E651" s="11" t="str">
        <f t="shared" si="50"/>
        <v>UTILITARIO</v>
      </c>
      <c r="F651" s="6" t="s">
        <v>21</v>
      </c>
      <c r="G651" s="11">
        <v>2800</v>
      </c>
      <c r="H651" s="6" t="s">
        <v>1052</v>
      </c>
      <c r="I651" s="6" t="str">
        <f t="shared" si="51"/>
        <v>D</v>
      </c>
      <c r="J651" s="17" t="s">
        <v>22</v>
      </c>
      <c r="K651" s="6">
        <v>200</v>
      </c>
      <c r="L651" s="9">
        <v>168</v>
      </c>
      <c r="M651" s="2">
        <v>168</v>
      </c>
      <c r="N651" s="2">
        <v>55690</v>
      </c>
      <c r="O651" s="2" t="s">
        <v>1055</v>
      </c>
      <c r="P651" s="2" t="s">
        <v>1247</v>
      </c>
      <c r="Q651" s="2" t="s">
        <v>429</v>
      </c>
      <c r="R651" s="2">
        <v>3100</v>
      </c>
      <c r="S651" s="2"/>
      <c r="T651" s="2">
        <v>230</v>
      </c>
      <c r="U651" s="39">
        <f>IF(I651="N",T651*Supuestos!$B$4,T651*Supuestos!$C$4)*100</f>
        <v>8.5680169041758205</v>
      </c>
      <c r="V651" s="20">
        <f t="shared" si="54"/>
        <v>11.671312173913043</v>
      </c>
      <c r="W651" s="2">
        <f t="shared" si="52"/>
        <v>38640</v>
      </c>
      <c r="X651" s="2">
        <f t="shared" si="53"/>
        <v>1439.4268399015377</v>
      </c>
    </row>
    <row r="652" spans="1:24" x14ac:dyDescent="0.25">
      <c r="A652" s="6" t="s">
        <v>48</v>
      </c>
      <c r="B652" s="6" t="s">
        <v>932</v>
      </c>
      <c r="C652" s="6" t="s">
        <v>410</v>
      </c>
      <c r="D652" s="6" t="s">
        <v>399</v>
      </c>
      <c r="E652" s="11" t="str">
        <f t="shared" si="50"/>
        <v>UTILITARIO</v>
      </c>
      <c r="F652" s="6" t="s">
        <v>21</v>
      </c>
      <c r="G652" s="11">
        <v>1300</v>
      </c>
      <c r="H652" s="6" t="s">
        <v>1050</v>
      </c>
      <c r="I652" s="6" t="str">
        <f t="shared" si="51"/>
        <v>N</v>
      </c>
      <c r="J652" s="17" t="s">
        <v>9</v>
      </c>
      <c r="K652" s="6">
        <v>156</v>
      </c>
      <c r="L652" s="9">
        <v>158</v>
      </c>
      <c r="M652" s="2">
        <v>158</v>
      </c>
      <c r="N652" s="2">
        <v>28990</v>
      </c>
      <c r="O652" s="2" t="s">
        <v>1053</v>
      </c>
      <c r="P652" s="2" t="s">
        <v>1236</v>
      </c>
      <c r="Q652" s="2" t="s">
        <v>424</v>
      </c>
      <c r="R652" s="2">
        <v>2028</v>
      </c>
      <c r="S652" s="2"/>
      <c r="T652" s="2">
        <v>199</v>
      </c>
      <c r="U652" s="39">
        <f>IF(I652="N",T652*Supuestos!$B$4,T652*Supuestos!$C$4)*100</f>
        <v>8.5156728605420362</v>
      </c>
      <c r="V652" s="20">
        <f t="shared" si="54"/>
        <v>11.743053266331657</v>
      </c>
      <c r="W652" s="2">
        <f t="shared" si="52"/>
        <v>31442</v>
      </c>
      <c r="X652" s="2">
        <f t="shared" si="53"/>
        <v>1345.4763119656418</v>
      </c>
    </row>
    <row r="653" spans="1:24" x14ac:dyDescent="0.25">
      <c r="A653" s="6" t="s">
        <v>19</v>
      </c>
      <c r="B653" s="6" t="s">
        <v>154</v>
      </c>
      <c r="C653" s="6" t="s">
        <v>409</v>
      </c>
      <c r="D653" s="6" t="s">
        <v>399</v>
      </c>
      <c r="E653" s="11" t="str">
        <f t="shared" si="50"/>
        <v>UTILITARIO</v>
      </c>
      <c r="F653" s="6" t="s">
        <v>21</v>
      </c>
      <c r="G653" s="11">
        <v>2800</v>
      </c>
      <c r="H653" s="6" t="s">
        <v>1052</v>
      </c>
      <c r="I653" s="6" t="str">
        <f t="shared" si="51"/>
        <v>D</v>
      </c>
      <c r="J653" s="17" t="s">
        <v>22</v>
      </c>
      <c r="K653" s="6">
        <v>200</v>
      </c>
      <c r="L653" s="9">
        <v>138</v>
      </c>
      <c r="M653" s="2">
        <v>138</v>
      </c>
      <c r="N653" s="2">
        <v>52690</v>
      </c>
      <c r="O653" s="2" t="s">
        <v>1055</v>
      </c>
      <c r="P653" s="2" t="s">
        <v>1247</v>
      </c>
      <c r="Q653" s="2" t="s">
        <v>429</v>
      </c>
      <c r="R653" s="2">
        <v>3100</v>
      </c>
      <c r="S653" s="2"/>
      <c r="T653" s="2">
        <v>230</v>
      </c>
      <c r="U653" s="39">
        <f>IF(I653="N",T653*Supuestos!$B$4,T653*Supuestos!$C$4)*100</f>
        <v>8.5680169041758205</v>
      </c>
      <c r="V653" s="20">
        <f t="shared" si="54"/>
        <v>11.671312173913043</v>
      </c>
      <c r="W653" s="2">
        <f t="shared" si="52"/>
        <v>31740</v>
      </c>
      <c r="X653" s="2">
        <f t="shared" si="53"/>
        <v>1182.3863327762633</v>
      </c>
    </row>
    <row r="654" spans="1:24" x14ac:dyDescent="0.25">
      <c r="A654" s="6" t="s">
        <v>86</v>
      </c>
      <c r="B654" s="6" t="s">
        <v>241</v>
      </c>
      <c r="C654" s="6" t="s">
        <v>405</v>
      </c>
      <c r="D654" s="6" t="s">
        <v>399</v>
      </c>
      <c r="E654" s="11" t="str">
        <f t="shared" si="50"/>
        <v>UTILITARIO</v>
      </c>
      <c r="F654" s="6" t="s">
        <v>14</v>
      </c>
      <c r="G654" s="11">
        <v>1200</v>
      </c>
      <c r="H654" s="6" t="s">
        <v>1050</v>
      </c>
      <c r="I654" s="6" t="str">
        <f t="shared" si="51"/>
        <v>N</v>
      </c>
      <c r="J654" s="17" t="s">
        <v>9</v>
      </c>
      <c r="K654" s="6">
        <v>80</v>
      </c>
      <c r="L654" s="9">
        <v>136</v>
      </c>
      <c r="M654" s="22"/>
      <c r="N654" s="2"/>
      <c r="O654" s="2"/>
      <c r="P654" s="2"/>
      <c r="Q654" s="2"/>
      <c r="R654" s="2"/>
      <c r="S654" s="2"/>
      <c r="T654" s="2"/>
      <c r="U654" s="39">
        <f>IF(I654="N",T654*Supuestos!$B$4,T654*Supuestos!$C$4)*100</f>
        <v>0</v>
      </c>
      <c r="V654" s="20">
        <f t="shared" si="54"/>
        <v>0</v>
      </c>
      <c r="W654" s="2">
        <f t="shared" si="52"/>
        <v>0</v>
      </c>
      <c r="X654" s="2">
        <f t="shared" si="53"/>
        <v>0</v>
      </c>
    </row>
    <row r="655" spans="1:24" x14ac:dyDescent="0.25">
      <c r="A655" s="6" t="s">
        <v>46</v>
      </c>
      <c r="B655" s="6" t="s">
        <v>274</v>
      </c>
      <c r="C655" s="6" t="s">
        <v>409</v>
      </c>
      <c r="D655" s="6" t="s">
        <v>399</v>
      </c>
      <c r="E655" s="11" t="str">
        <f t="shared" si="50"/>
        <v>UTILITARIO</v>
      </c>
      <c r="F655" s="6" t="s">
        <v>24</v>
      </c>
      <c r="G655" s="11">
        <v>2500</v>
      </c>
      <c r="H655" s="6" t="s">
        <v>1050</v>
      </c>
      <c r="I655" s="6" t="str">
        <f t="shared" si="51"/>
        <v>N</v>
      </c>
      <c r="J655" s="17" t="s">
        <v>9</v>
      </c>
      <c r="K655" s="6">
        <v>158</v>
      </c>
      <c r="L655" s="9">
        <v>136</v>
      </c>
      <c r="M655" s="2">
        <v>136</v>
      </c>
      <c r="N655" s="2">
        <v>32328</v>
      </c>
      <c r="O655" s="2" t="s">
        <v>1240</v>
      </c>
      <c r="P655" s="2" t="s">
        <v>1241</v>
      </c>
      <c r="Q655" s="2" t="s">
        <v>1080</v>
      </c>
      <c r="R655" s="2">
        <v>2550</v>
      </c>
      <c r="S655" s="2"/>
      <c r="T655" s="2">
        <v>271</v>
      </c>
      <c r="U655" s="39">
        <f>IF(I655="N",T655*Supuestos!$B$4,T655*Supuestos!$C$4)*100</f>
        <v>11.596720327672822</v>
      </c>
      <c r="V655" s="20">
        <f t="shared" si="54"/>
        <v>8.6231276752767521</v>
      </c>
      <c r="W655" s="2">
        <f t="shared" si="52"/>
        <v>36856</v>
      </c>
      <c r="X655" s="2">
        <f t="shared" si="53"/>
        <v>1577.1539645635037</v>
      </c>
    </row>
    <row r="656" spans="1:24" x14ac:dyDescent="0.25">
      <c r="A656" s="6" t="s">
        <v>94</v>
      </c>
      <c r="B656" s="6" t="s">
        <v>1004</v>
      </c>
      <c r="C656" s="6" t="s">
        <v>405</v>
      </c>
      <c r="D656" s="6" t="s">
        <v>399</v>
      </c>
      <c r="E656" s="11" t="str">
        <f t="shared" si="50"/>
        <v>UTILITARIO</v>
      </c>
      <c r="F656" s="6" t="s">
        <v>14</v>
      </c>
      <c r="G656" s="11">
        <v>1200</v>
      </c>
      <c r="H656" s="6" t="s">
        <v>1050</v>
      </c>
      <c r="I656" s="6" t="str">
        <f t="shared" si="51"/>
        <v>N</v>
      </c>
      <c r="J656" s="17" t="s">
        <v>9</v>
      </c>
      <c r="K656" s="6">
        <v>86</v>
      </c>
      <c r="L656" s="9">
        <v>133</v>
      </c>
      <c r="M656" s="2">
        <v>133</v>
      </c>
      <c r="N656" s="2">
        <v>18890</v>
      </c>
      <c r="O656" s="2" t="s">
        <v>1053</v>
      </c>
      <c r="P656" s="2" t="s">
        <v>1248</v>
      </c>
      <c r="Q656" s="2" t="s">
        <v>422</v>
      </c>
      <c r="R656" s="2">
        <v>2400</v>
      </c>
      <c r="S656" s="2"/>
      <c r="T656" s="2">
        <v>177</v>
      </c>
      <c r="U656" s="39">
        <f>IF(I656="N",T656*Supuestos!$B$4,T656*Supuestos!$C$4)*100</f>
        <v>7.5742416900298499</v>
      </c>
      <c r="V656" s="20">
        <f t="shared" si="54"/>
        <v>13.202641807909606</v>
      </c>
      <c r="W656" s="2">
        <f t="shared" si="52"/>
        <v>23541</v>
      </c>
      <c r="X656" s="2">
        <f t="shared" si="53"/>
        <v>1007.37414477397</v>
      </c>
    </row>
    <row r="657" spans="1:24" x14ac:dyDescent="0.25">
      <c r="A657" s="6" t="s">
        <v>62</v>
      </c>
      <c r="B657" s="6" t="s">
        <v>310</v>
      </c>
      <c r="C657" s="6" t="s">
        <v>66</v>
      </c>
      <c r="D657" s="6" t="s">
        <v>399</v>
      </c>
      <c r="E657" s="11" t="str">
        <f t="shared" si="50"/>
        <v>UTILITARIO</v>
      </c>
      <c r="F657" s="6" t="s">
        <v>23</v>
      </c>
      <c r="G657" s="11">
        <v>1600</v>
      </c>
      <c r="H657" s="6" t="s">
        <v>1052</v>
      </c>
      <c r="I657" s="6" t="str">
        <f t="shared" si="51"/>
        <v>D</v>
      </c>
      <c r="J657" s="17" t="s">
        <v>22</v>
      </c>
      <c r="K657" s="6">
        <v>92</v>
      </c>
      <c r="L657" s="9">
        <v>124</v>
      </c>
      <c r="M657" s="2">
        <v>124</v>
      </c>
      <c r="N657" s="2">
        <v>22490</v>
      </c>
      <c r="O657" s="2" t="s">
        <v>1053</v>
      </c>
      <c r="P657" s="2" t="s">
        <v>1252</v>
      </c>
      <c r="Q657" s="2" t="s">
        <v>422</v>
      </c>
      <c r="R657" s="2">
        <v>1990</v>
      </c>
      <c r="S657" s="2"/>
      <c r="T657" s="2">
        <v>153</v>
      </c>
      <c r="U657" s="39">
        <f>IF(I657="N",T657*Supuestos!$B$4,T657*Supuestos!$C$4)*100</f>
        <v>5.6995938536473938</v>
      </c>
      <c r="V657" s="20">
        <f t="shared" si="54"/>
        <v>17.545109803921569</v>
      </c>
      <c r="W657" s="2">
        <f t="shared" si="52"/>
        <v>18972</v>
      </c>
      <c r="X657" s="2">
        <f t="shared" si="53"/>
        <v>706.74963785227681</v>
      </c>
    </row>
    <row r="658" spans="1:24" x14ac:dyDescent="0.25">
      <c r="A658" s="6" t="s">
        <v>30</v>
      </c>
      <c r="B658" s="6" t="s">
        <v>187</v>
      </c>
      <c r="C658" s="6" t="s">
        <v>409</v>
      </c>
      <c r="D658" s="6" t="s">
        <v>399</v>
      </c>
      <c r="E658" s="11" t="str">
        <f t="shared" si="50"/>
        <v>UTILITARIO</v>
      </c>
      <c r="F658" s="6" t="s">
        <v>23</v>
      </c>
      <c r="G658" s="11">
        <v>2500</v>
      </c>
      <c r="H658" s="6" t="s">
        <v>1050</v>
      </c>
      <c r="I658" s="6" t="str">
        <f t="shared" si="51"/>
        <v>N</v>
      </c>
      <c r="J658" s="17" t="s">
        <v>9</v>
      </c>
      <c r="K658" s="6">
        <v>166</v>
      </c>
      <c r="L658" s="9">
        <v>123</v>
      </c>
      <c r="M658" s="2">
        <v>123</v>
      </c>
      <c r="N658" s="2">
        <v>29990</v>
      </c>
      <c r="O658" s="2" t="s">
        <v>1060</v>
      </c>
      <c r="P658" s="2" t="s">
        <v>1259</v>
      </c>
      <c r="Q658" s="2" t="s">
        <v>424</v>
      </c>
      <c r="R658" s="2">
        <v>3200</v>
      </c>
      <c r="S658" s="2"/>
      <c r="T658" s="2">
        <v>264</v>
      </c>
      <c r="U658" s="39">
        <f>IF(I658="N",T658*Supuestos!$B$4,T658*Supuestos!$C$4)*100</f>
        <v>11.297174046146218</v>
      </c>
      <c r="V658" s="20">
        <f t="shared" si="54"/>
        <v>8.8517712121212124</v>
      </c>
      <c r="W658" s="2">
        <f t="shared" si="52"/>
        <v>32472</v>
      </c>
      <c r="X658" s="2">
        <f t="shared" si="53"/>
        <v>1389.5524076759848</v>
      </c>
    </row>
    <row r="659" spans="1:24" x14ac:dyDescent="0.25">
      <c r="A659" s="6" t="s">
        <v>67</v>
      </c>
      <c r="B659" s="6" t="s">
        <v>685</v>
      </c>
      <c r="C659" s="6" t="s">
        <v>409</v>
      </c>
      <c r="D659" s="6" t="s">
        <v>399</v>
      </c>
      <c r="E659" s="11" t="str">
        <f t="shared" si="50"/>
        <v>UTILITARIO</v>
      </c>
      <c r="F659" s="6" t="s">
        <v>14</v>
      </c>
      <c r="G659" s="11">
        <v>2400</v>
      </c>
      <c r="H659" s="6" t="s">
        <v>1050</v>
      </c>
      <c r="I659" s="6" t="str">
        <f t="shared" si="51"/>
        <v>N</v>
      </c>
      <c r="J659" s="17" t="s">
        <v>9</v>
      </c>
      <c r="K659" s="6">
        <v>120</v>
      </c>
      <c r="L659" s="9">
        <v>118</v>
      </c>
      <c r="M659" s="2">
        <v>118</v>
      </c>
      <c r="N659" s="2">
        <v>22990</v>
      </c>
      <c r="O659" s="2" t="s">
        <v>1053</v>
      </c>
      <c r="P659" s="2" t="s">
        <v>1265</v>
      </c>
      <c r="Q659" s="2" t="s">
        <v>429</v>
      </c>
      <c r="R659" s="2">
        <v>2710</v>
      </c>
      <c r="S659" s="2"/>
      <c r="T659" s="2">
        <v>272</v>
      </c>
      <c r="U659" s="39">
        <f>IF(I659="N",T659*Supuestos!$B$4,T659*Supuestos!$C$4)*100</f>
        <v>11.639512653605195</v>
      </c>
      <c r="V659" s="20">
        <f t="shared" si="54"/>
        <v>8.5914249999999992</v>
      </c>
      <c r="W659" s="2">
        <f t="shared" si="52"/>
        <v>32096</v>
      </c>
      <c r="X659" s="2">
        <f t="shared" si="53"/>
        <v>1373.4624931254129</v>
      </c>
    </row>
    <row r="660" spans="1:24" x14ac:dyDescent="0.25">
      <c r="A660" s="6" t="s">
        <v>46</v>
      </c>
      <c r="B660" s="6" t="s">
        <v>271</v>
      </c>
      <c r="C660" s="6" t="s">
        <v>409</v>
      </c>
      <c r="D660" s="6" t="s">
        <v>399</v>
      </c>
      <c r="E660" s="11" t="str">
        <f t="shared" si="50"/>
        <v>UTILITARIO</v>
      </c>
      <c r="F660" s="6" t="s">
        <v>24</v>
      </c>
      <c r="G660" s="11">
        <v>2500</v>
      </c>
      <c r="H660" s="6" t="s">
        <v>1050</v>
      </c>
      <c r="I660" s="6" t="str">
        <f t="shared" si="51"/>
        <v>N</v>
      </c>
      <c r="J660" s="17" t="s">
        <v>9</v>
      </c>
      <c r="K660" s="6">
        <v>158</v>
      </c>
      <c r="L660" s="9">
        <v>108</v>
      </c>
      <c r="M660" s="2">
        <v>108</v>
      </c>
      <c r="N660" s="2">
        <v>29888</v>
      </c>
      <c r="O660" s="2" t="s">
        <v>1240</v>
      </c>
      <c r="P660" s="2" t="s">
        <v>1241</v>
      </c>
      <c r="Q660" s="2" t="s">
        <v>1080</v>
      </c>
      <c r="R660" s="2">
        <v>2550</v>
      </c>
      <c r="S660" s="2"/>
      <c r="T660" s="2">
        <v>271</v>
      </c>
      <c r="U660" s="39">
        <f>IF(I660="N",T660*Supuestos!$B$4,T660*Supuestos!$C$4)*100</f>
        <v>11.596720327672822</v>
      </c>
      <c r="V660" s="20">
        <f t="shared" si="54"/>
        <v>8.6231276752767521</v>
      </c>
      <c r="W660" s="2">
        <f t="shared" si="52"/>
        <v>29268</v>
      </c>
      <c r="X660" s="2">
        <f t="shared" si="53"/>
        <v>1252.4457953886647</v>
      </c>
    </row>
    <row r="661" spans="1:24" x14ac:dyDescent="0.25">
      <c r="A661" s="6" t="s">
        <v>67</v>
      </c>
      <c r="B661" s="6" t="s">
        <v>203</v>
      </c>
      <c r="C661" s="6" t="s">
        <v>409</v>
      </c>
      <c r="D661" s="6" t="s">
        <v>399</v>
      </c>
      <c r="E661" s="11" t="str">
        <f t="shared" si="50"/>
        <v>UTILITARIO</v>
      </c>
      <c r="F661" s="6" t="s">
        <v>14</v>
      </c>
      <c r="G661" s="11">
        <v>2000</v>
      </c>
      <c r="H661" s="6" t="s">
        <v>1052</v>
      </c>
      <c r="I661" s="6" t="str">
        <f t="shared" si="51"/>
        <v>D</v>
      </c>
      <c r="J661" s="17" t="s">
        <v>22</v>
      </c>
      <c r="K661" s="6">
        <v>140</v>
      </c>
      <c r="L661" s="9">
        <v>100</v>
      </c>
      <c r="M661" s="2">
        <v>100</v>
      </c>
      <c r="N661" s="2">
        <v>36990</v>
      </c>
      <c r="O661" s="2" t="s">
        <v>1053</v>
      </c>
      <c r="P661" s="2" t="s">
        <v>1264</v>
      </c>
      <c r="Q661" s="2" t="s">
        <v>1054</v>
      </c>
      <c r="R661" s="2">
        <v>3000</v>
      </c>
      <c r="S661" s="2"/>
      <c r="T661" s="2">
        <v>221</v>
      </c>
      <c r="U661" s="39">
        <f>IF(I661="N",T661*Supuestos!$B$4,T661*Supuestos!$C$4)*100</f>
        <v>8.2327466774906792</v>
      </c>
      <c r="V661" s="20">
        <f t="shared" si="54"/>
        <v>12.146614479638009</v>
      </c>
      <c r="W661" s="2">
        <f t="shared" si="52"/>
        <v>22100</v>
      </c>
      <c r="X661" s="2">
        <f t="shared" si="53"/>
        <v>823.27466774906793</v>
      </c>
    </row>
    <row r="662" spans="1:24" x14ac:dyDescent="0.25">
      <c r="A662" s="6" t="s">
        <v>86</v>
      </c>
      <c r="B662" s="6" t="s">
        <v>242</v>
      </c>
      <c r="C662" s="6" t="s">
        <v>406</v>
      </c>
      <c r="D662" s="6" t="s">
        <v>399</v>
      </c>
      <c r="E662" s="11" t="str">
        <f t="shared" si="50"/>
        <v>UTILITARIO</v>
      </c>
      <c r="F662" s="6" t="s">
        <v>14</v>
      </c>
      <c r="G662" s="11">
        <v>1300</v>
      </c>
      <c r="H662" s="6" t="s">
        <v>1050</v>
      </c>
      <c r="I662" s="6" t="str">
        <f t="shared" si="51"/>
        <v>N</v>
      </c>
      <c r="J662" s="17" t="s">
        <v>9</v>
      </c>
      <c r="K662" s="6">
        <v>82</v>
      </c>
      <c r="L662" s="9">
        <v>100</v>
      </c>
      <c r="M662" s="2">
        <v>100</v>
      </c>
      <c r="N662" s="2">
        <v>12890</v>
      </c>
      <c r="O662" s="2" t="s">
        <v>1060</v>
      </c>
      <c r="P662" s="2" t="s">
        <v>1254</v>
      </c>
      <c r="Q662" s="2" t="s">
        <v>424</v>
      </c>
      <c r="R662" s="2">
        <v>2160</v>
      </c>
      <c r="S662" s="2"/>
      <c r="T662" s="2">
        <v>182</v>
      </c>
      <c r="U662" s="39">
        <f>IF(I662="N",T662*Supuestos!$B$4,T662*Supuestos!$C$4)*100</f>
        <v>7.7882033196917098</v>
      </c>
      <c r="V662" s="20">
        <f t="shared" si="54"/>
        <v>12.839931868131869</v>
      </c>
      <c r="W662" s="2">
        <f t="shared" si="52"/>
        <v>18200</v>
      </c>
      <c r="X662" s="2">
        <f t="shared" si="53"/>
        <v>778.82033196917098</v>
      </c>
    </row>
    <row r="663" spans="1:24" x14ac:dyDescent="0.25">
      <c r="A663" s="6" t="s">
        <v>19</v>
      </c>
      <c r="B663" s="6" t="s">
        <v>621</v>
      </c>
      <c r="C663" s="6" t="s">
        <v>409</v>
      </c>
      <c r="D663" s="6" t="s">
        <v>399</v>
      </c>
      <c r="E663" s="11" t="str">
        <f t="shared" si="50"/>
        <v>UTILITARIO</v>
      </c>
      <c r="F663" s="6" t="s">
        <v>21</v>
      </c>
      <c r="G663" s="11">
        <v>2800</v>
      </c>
      <c r="H663" s="6" t="s">
        <v>1052</v>
      </c>
      <c r="I663" s="6" t="str">
        <f t="shared" si="51"/>
        <v>D</v>
      </c>
      <c r="J663" s="17" t="s">
        <v>22</v>
      </c>
      <c r="K663" s="6">
        <v>200</v>
      </c>
      <c r="L663" s="9">
        <v>92</v>
      </c>
      <c r="M663" s="2">
        <v>92</v>
      </c>
      <c r="N663" s="2">
        <v>41448</v>
      </c>
      <c r="O663" s="2" t="s">
        <v>1055</v>
      </c>
      <c r="P663" s="2" t="s">
        <v>1246</v>
      </c>
      <c r="Q663" s="2" t="s">
        <v>429</v>
      </c>
      <c r="R663" s="2">
        <v>3100</v>
      </c>
      <c r="S663" s="2"/>
      <c r="T663" s="2">
        <v>215</v>
      </c>
      <c r="U663" s="39">
        <f>IF(I663="N",T663*Supuestos!$B$4,T663*Supuestos!$C$4)*100</f>
        <v>8.0092331930339196</v>
      </c>
      <c r="V663" s="20">
        <f t="shared" si="54"/>
        <v>12.48558976744186</v>
      </c>
      <c r="W663" s="2">
        <f t="shared" si="52"/>
        <v>19780</v>
      </c>
      <c r="X663" s="2">
        <f t="shared" si="53"/>
        <v>736.84945375912059</v>
      </c>
    </row>
    <row r="664" spans="1:24" x14ac:dyDescent="0.25">
      <c r="A664" s="6" t="s">
        <v>52</v>
      </c>
      <c r="B664" s="6" t="s">
        <v>348</v>
      </c>
      <c r="C664" s="6" t="s">
        <v>409</v>
      </c>
      <c r="D664" s="6" t="s">
        <v>399</v>
      </c>
      <c r="E664" s="11" t="str">
        <f t="shared" si="50"/>
        <v>UTILITARIO</v>
      </c>
      <c r="F664" s="6" t="s">
        <v>23</v>
      </c>
      <c r="G664" s="11">
        <v>2800</v>
      </c>
      <c r="H664" s="6" t="s">
        <v>1052</v>
      </c>
      <c r="I664" s="6" t="str">
        <f t="shared" si="51"/>
        <v>D</v>
      </c>
      <c r="J664" s="17" t="s">
        <v>22</v>
      </c>
      <c r="K664" s="6">
        <v>204</v>
      </c>
      <c r="L664" s="9">
        <v>92</v>
      </c>
      <c r="M664" s="2">
        <v>92</v>
      </c>
      <c r="N664" s="2">
        <v>61490</v>
      </c>
      <c r="O664" s="2" t="s">
        <v>1053</v>
      </c>
      <c r="P664" s="2" t="s">
        <v>1269</v>
      </c>
      <c r="Q664" s="2" t="s">
        <v>1054</v>
      </c>
      <c r="R664" s="2">
        <v>3140</v>
      </c>
      <c r="S664" s="2"/>
      <c r="T664" s="2">
        <v>227</v>
      </c>
      <c r="U664" s="39">
        <f>IF(I664="N",T664*Supuestos!$B$4,T664*Supuestos!$C$4)*100</f>
        <v>8.4562601619474407</v>
      </c>
      <c r="V664" s="20">
        <f t="shared" si="54"/>
        <v>11.82555859030837</v>
      </c>
      <c r="W664" s="2">
        <f t="shared" si="52"/>
        <v>20884</v>
      </c>
      <c r="X664" s="2">
        <f t="shared" si="53"/>
        <v>777.97593489916449</v>
      </c>
    </row>
    <row r="665" spans="1:24" x14ac:dyDescent="0.25">
      <c r="A665" s="6" t="s">
        <v>53</v>
      </c>
      <c r="B665" s="6" t="s">
        <v>1024</v>
      </c>
      <c r="C665" s="6" t="s">
        <v>410</v>
      </c>
      <c r="D665" s="6" t="s">
        <v>399</v>
      </c>
      <c r="E665" s="11" t="str">
        <f t="shared" si="50"/>
        <v>UTILITARIO</v>
      </c>
      <c r="F665" s="6"/>
      <c r="G665" s="11">
        <v>1600</v>
      </c>
      <c r="H665" s="6" t="s">
        <v>1050</v>
      </c>
      <c r="I665" s="6" t="str">
        <f t="shared" si="51"/>
        <v>N</v>
      </c>
      <c r="J665" s="17" t="s">
        <v>9</v>
      </c>
      <c r="K665" s="6">
        <v>110</v>
      </c>
      <c r="L665" s="9">
        <v>92</v>
      </c>
      <c r="M665" s="2">
        <v>92</v>
      </c>
      <c r="N665" s="2">
        <v>17590</v>
      </c>
      <c r="O665" s="2" t="s">
        <v>1053</v>
      </c>
      <c r="P665" s="2" t="s">
        <v>1233</v>
      </c>
      <c r="Q665" s="2" t="s">
        <v>422</v>
      </c>
      <c r="R665" s="2">
        <v>1740</v>
      </c>
      <c r="S665" s="2"/>
      <c r="T665" s="2">
        <v>175</v>
      </c>
      <c r="U665" s="39">
        <f>IF(I665="N",T665*Supuestos!$B$4,T665*Supuestos!$C$4)*100</f>
        <v>7.4886570381651056</v>
      </c>
      <c r="V665" s="20">
        <f t="shared" si="54"/>
        <v>13.353529142857143</v>
      </c>
      <c r="W665" s="2">
        <f t="shared" si="52"/>
        <v>16100</v>
      </c>
      <c r="X665" s="2">
        <f t="shared" si="53"/>
        <v>688.95644751118971</v>
      </c>
    </row>
    <row r="666" spans="1:24" x14ac:dyDescent="0.25">
      <c r="A666" s="6" t="s">
        <v>27</v>
      </c>
      <c r="B666" s="6" t="s">
        <v>643</v>
      </c>
      <c r="C666" s="6" t="s">
        <v>405</v>
      </c>
      <c r="D666" s="6" t="s">
        <v>399</v>
      </c>
      <c r="E666" s="11" t="str">
        <f t="shared" si="50"/>
        <v>UTILITARIO</v>
      </c>
      <c r="F666" s="6" t="s">
        <v>14</v>
      </c>
      <c r="G666" s="11">
        <v>1100</v>
      </c>
      <c r="H666" s="6" t="s">
        <v>1050</v>
      </c>
      <c r="I666" s="6" t="str">
        <f t="shared" si="51"/>
        <v>N</v>
      </c>
      <c r="J666" s="17" t="s">
        <v>9</v>
      </c>
      <c r="K666" s="6">
        <v>0</v>
      </c>
      <c r="L666" s="9">
        <v>88</v>
      </c>
      <c r="M666" s="2">
        <v>88</v>
      </c>
      <c r="N666" s="2">
        <v>14850</v>
      </c>
      <c r="O666" s="2" t="s">
        <v>1060</v>
      </c>
      <c r="P666" s="2" t="s">
        <v>79</v>
      </c>
      <c r="Q666" s="2" t="s">
        <v>429</v>
      </c>
      <c r="R666" s="2">
        <v>1920</v>
      </c>
      <c r="S666" s="2"/>
      <c r="T666" s="2">
        <v>174</v>
      </c>
      <c r="U666" s="39">
        <f>IF(I666="N",T666*Supuestos!$B$4,T666*Supuestos!$C$4)*100</f>
        <v>7.4458647122327344</v>
      </c>
      <c r="V666" s="20">
        <f t="shared" si="54"/>
        <v>13.430273563218391</v>
      </c>
      <c r="W666" s="2">
        <f t="shared" si="52"/>
        <v>15312</v>
      </c>
      <c r="X666" s="2">
        <f t="shared" si="53"/>
        <v>655.23609467648066</v>
      </c>
    </row>
    <row r="667" spans="1:24" x14ac:dyDescent="0.25">
      <c r="A667" s="6" t="s">
        <v>19</v>
      </c>
      <c r="B667" s="6" t="s">
        <v>616</v>
      </c>
      <c r="C667" s="6" t="s">
        <v>409</v>
      </c>
      <c r="D667" s="6" t="s">
        <v>399</v>
      </c>
      <c r="E667" s="11" t="str">
        <f t="shared" si="50"/>
        <v>UTILITARIO</v>
      </c>
      <c r="F667" s="6" t="s">
        <v>24</v>
      </c>
      <c r="G667" s="11">
        <v>3000</v>
      </c>
      <c r="H667" s="6" t="s">
        <v>1052</v>
      </c>
      <c r="I667" s="6" t="str">
        <f t="shared" si="51"/>
        <v>D</v>
      </c>
      <c r="J667" s="17" t="s">
        <v>22</v>
      </c>
      <c r="K667" s="6">
        <v>277</v>
      </c>
      <c r="L667" s="9">
        <v>87</v>
      </c>
      <c r="M667" s="2">
        <v>87</v>
      </c>
      <c r="N667" s="2">
        <v>92990</v>
      </c>
      <c r="O667" s="2" t="s">
        <v>1060</v>
      </c>
      <c r="P667" s="2" t="s">
        <v>1273</v>
      </c>
      <c r="Q667" s="2" t="s">
        <v>1104</v>
      </c>
      <c r="R667" s="2">
        <v>3266</v>
      </c>
      <c r="S667" s="2"/>
      <c r="T667" s="2">
        <v>226</v>
      </c>
      <c r="U667" s="39">
        <f>IF(I667="N",T667*Supuestos!$B$4,T667*Supuestos!$C$4)*100</f>
        <v>8.4190079145379801</v>
      </c>
      <c r="V667" s="20">
        <f t="shared" si="54"/>
        <v>11.87788407079646</v>
      </c>
      <c r="W667" s="2">
        <f t="shared" si="52"/>
        <v>19662</v>
      </c>
      <c r="X667" s="2">
        <f t="shared" si="53"/>
        <v>732.45368856480422</v>
      </c>
    </row>
    <row r="668" spans="1:24" x14ac:dyDescent="0.25">
      <c r="A668" s="6" t="s">
        <v>27</v>
      </c>
      <c r="B668" s="6" t="s">
        <v>175</v>
      </c>
      <c r="C668" s="6" t="s">
        <v>406</v>
      </c>
      <c r="D668" s="6" t="s">
        <v>399</v>
      </c>
      <c r="E668" s="11" t="str">
        <f t="shared" si="50"/>
        <v>UTILITARIO</v>
      </c>
      <c r="F668" s="6" t="s">
        <v>14</v>
      </c>
      <c r="G668" s="11">
        <v>1100</v>
      </c>
      <c r="H668" s="6" t="s">
        <v>1050</v>
      </c>
      <c r="I668" s="6" t="str">
        <f t="shared" si="51"/>
        <v>N</v>
      </c>
      <c r="J668" s="17" t="s">
        <v>9</v>
      </c>
      <c r="K668" s="6">
        <v>63</v>
      </c>
      <c r="L668" s="9">
        <v>87</v>
      </c>
      <c r="M668" s="2">
        <v>87</v>
      </c>
      <c r="N668" s="2">
        <v>11490</v>
      </c>
      <c r="O668" s="2" t="s">
        <v>1060</v>
      </c>
      <c r="P668" s="2" t="s">
        <v>79</v>
      </c>
      <c r="Q668" s="2" t="s">
        <v>429</v>
      </c>
      <c r="R668" s="2">
        <v>1920</v>
      </c>
      <c r="S668" s="2"/>
      <c r="T668" s="2">
        <v>174</v>
      </c>
      <c r="U668" s="39">
        <f>IF(I668="N",T668*Supuestos!$B$4,T668*Supuestos!$C$4)*100</f>
        <v>7.4458647122327344</v>
      </c>
      <c r="V668" s="20">
        <f t="shared" si="54"/>
        <v>13.430273563218391</v>
      </c>
      <c r="W668" s="2">
        <f t="shared" si="52"/>
        <v>15138</v>
      </c>
      <c r="X668" s="2">
        <f t="shared" si="53"/>
        <v>647.79022996424794</v>
      </c>
    </row>
    <row r="669" spans="1:24" x14ac:dyDescent="0.25">
      <c r="A669" s="6" t="s">
        <v>52</v>
      </c>
      <c r="B669" s="6" t="s">
        <v>349</v>
      </c>
      <c r="C669" s="6" t="s">
        <v>409</v>
      </c>
      <c r="D669" s="6" t="s">
        <v>399</v>
      </c>
      <c r="E669" s="11" t="str">
        <f t="shared" si="50"/>
        <v>UTILITARIO</v>
      </c>
      <c r="F669" s="6" t="s">
        <v>23</v>
      </c>
      <c r="G669" s="11">
        <v>2800</v>
      </c>
      <c r="H669" s="6" t="s">
        <v>1052</v>
      </c>
      <c r="I669" s="6" t="str">
        <f t="shared" si="51"/>
        <v>D</v>
      </c>
      <c r="J669" s="17" t="s">
        <v>22</v>
      </c>
      <c r="K669" s="6">
        <v>204</v>
      </c>
      <c r="L669" s="9">
        <v>87</v>
      </c>
      <c r="M669" s="2">
        <v>87</v>
      </c>
      <c r="N669" s="2">
        <v>71490</v>
      </c>
      <c r="O669" s="2" t="s">
        <v>1053</v>
      </c>
      <c r="P669" s="2" t="s">
        <v>1269</v>
      </c>
      <c r="Q669" s="2" t="s">
        <v>1054</v>
      </c>
      <c r="R669" s="2">
        <v>3140</v>
      </c>
      <c r="S669" s="2"/>
      <c r="T669" s="2">
        <v>227</v>
      </c>
      <c r="U669" s="39">
        <f>IF(I669="N",T669*Supuestos!$B$4,T669*Supuestos!$C$4)*100</f>
        <v>8.4562601619474407</v>
      </c>
      <c r="V669" s="20">
        <f t="shared" si="54"/>
        <v>11.82555859030837</v>
      </c>
      <c r="W669" s="2">
        <f t="shared" si="52"/>
        <v>19749</v>
      </c>
      <c r="X669" s="2">
        <f t="shared" si="53"/>
        <v>735.69463408942738</v>
      </c>
    </row>
    <row r="670" spans="1:24" x14ac:dyDescent="0.25">
      <c r="A670" s="6" t="s">
        <v>52</v>
      </c>
      <c r="B670" s="6" t="s">
        <v>356</v>
      </c>
      <c r="C670" s="6" t="s">
        <v>409</v>
      </c>
      <c r="D670" s="6" t="s">
        <v>399</v>
      </c>
      <c r="E670" s="11" t="str">
        <f t="shared" si="50"/>
        <v>UTILITARIO</v>
      </c>
      <c r="F670" s="6" t="s">
        <v>23</v>
      </c>
      <c r="G670" s="11">
        <v>2700</v>
      </c>
      <c r="H670" s="6" t="s">
        <v>1050</v>
      </c>
      <c r="I670" s="6" t="str">
        <f t="shared" si="51"/>
        <v>N</v>
      </c>
      <c r="J670" s="17" t="s">
        <v>9</v>
      </c>
      <c r="K670" s="6">
        <v>167</v>
      </c>
      <c r="L670" s="9">
        <v>85</v>
      </c>
      <c r="M670" s="2">
        <v>85</v>
      </c>
      <c r="N670" s="2">
        <v>37990</v>
      </c>
      <c r="O670" s="2" t="s">
        <v>1053</v>
      </c>
      <c r="P670" s="2" t="s">
        <v>1268</v>
      </c>
      <c r="Q670" s="2" t="s">
        <v>1054</v>
      </c>
      <c r="R670" s="2">
        <v>2710</v>
      </c>
      <c r="S670" s="2"/>
      <c r="T670" s="2">
        <v>260</v>
      </c>
      <c r="U670" s="39">
        <f>IF(I670="N",T670*Supuestos!$B$4,T670*Supuestos!$C$4)*100</f>
        <v>11.126004742416729</v>
      </c>
      <c r="V670" s="20">
        <f t="shared" si="54"/>
        <v>8.9879523076923071</v>
      </c>
      <c r="W670" s="2">
        <f t="shared" si="52"/>
        <v>22100</v>
      </c>
      <c r="X670" s="2">
        <f t="shared" si="53"/>
        <v>945.71040310542196</v>
      </c>
    </row>
    <row r="671" spans="1:24" x14ac:dyDescent="0.25">
      <c r="A671" s="6" t="s">
        <v>19</v>
      </c>
      <c r="B671" s="6" t="s">
        <v>153</v>
      </c>
      <c r="C671" s="6" t="s">
        <v>409</v>
      </c>
      <c r="D671" s="6" t="s">
        <v>399</v>
      </c>
      <c r="E671" s="11" t="str">
        <f t="shared" si="50"/>
        <v>UTILITARIO</v>
      </c>
      <c r="F671" s="6" t="s">
        <v>21</v>
      </c>
      <c r="G671" s="11">
        <v>2800</v>
      </c>
      <c r="H671" s="6" t="s">
        <v>1052</v>
      </c>
      <c r="I671" s="6" t="str">
        <f t="shared" si="51"/>
        <v>D</v>
      </c>
      <c r="J671" s="17" t="s">
        <v>22</v>
      </c>
      <c r="K671" s="6">
        <v>200</v>
      </c>
      <c r="L671" s="9">
        <v>83</v>
      </c>
      <c r="M671" s="2">
        <v>83</v>
      </c>
      <c r="N671" s="2">
        <v>45690</v>
      </c>
      <c r="O671" s="2" t="s">
        <v>1055</v>
      </c>
      <c r="P671" s="2" t="s">
        <v>1246</v>
      </c>
      <c r="Q671" s="2" t="s">
        <v>429</v>
      </c>
      <c r="R671" s="2">
        <v>3100</v>
      </c>
      <c r="S671" s="2"/>
      <c r="T671" s="2">
        <v>215</v>
      </c>
      <c r="U671" s="39">
        <f>IF(I671="N",T671*Supuestos!$B$4,T671*Supuestos!$C$4)*100</f>
        <v>8.0092331930339196</v>
      </c>
      <c r="V671" s="20">
        <f t="shared" si="54"/>
        <v>12.48558976744186</v>
      </c>
      <c r="W671" s="2">
        <f t="shared" si="52"/>
        <v>17845</v>
      </c>
      <c r="X671" s="2">
        <f t="shared" si="53"/>
        <v>664.76635502181534</v>
      </c>
    </row>
    <row r="672" spans="1:24" x14ac:dyDescent="0.25">
      <c r="A672" s="6" t="s">
        <v>48</v>
      </c>
      <c r="B672" s="6" t="s">
        <v>939</v>
      </c>
      <c r="C672" s="6" t="s">
        <v>402</v>
      </c>
      <c r="D672" s="6" t="s">
        <v>399</v>
      </c>
      <c r="E672" s="11" t="str">
        <f t="shared" si="50"/>
        <v>UTILITARIO</v>
      </c>
      <c r="F672" s="6" t="s">
        <v>21</v>
      </c>
      <c r="G672" s="11">
        <v>2300</v>
      </c>
      <c r="H672" s="6" t="s">
        <v>1052</v>
      </c>
      <c r="I672" s="6" t="str">
        <f t="shared" si="51"/>
        <v>D</v>
      </c>
      <c r="J672" s="17" t="s">
        <v>22</v>
      </c>
      <c r="K672" s="6">
        <v>136</v>
      </c>
      <c r="L672" s="9">
        <v>83</v>
      </c>
      <c r="M672" s="2">
        <v>83</v>
      </c>
      <c r="N672" s="2">
        <v>50008</v>
      </c>
      <c r="O672" s="2" t="s">
        <v>1053</v>
      </c>
      <c r="P672" s="2" t="s">
        <v>1270</v>
      </c>
      <c r="Q672" s="2" t="s">
        <v>422</v>
      </c>
      <c r="R672" s="2">
        <v>3750</v>
      </c>
      <c r="S672" s="2"/>
      <c r="T672" s="2">
        <v>202</v>
      </c>
      <c r="U672" s="39">
        <f>IF(I672="N",T672*Supuestos!$B$4,T672*Supuestos!$C$4)*100</f>
        <v>7.5249539767109379</v>
      </c>
      <c r="V672" s="20">
        <f t="shared" si="54"/>
        <v>13.289117821782177</v>
      </c>
      <c r="W672" s="2">
        <f t="shared" si="52"/>
        <v>16766</v>
      </c>
      <c r="X672" s="2">
        <f t="shared" si="53"/>
        <v>624.57118006700784</v>
      </c>
    </row>
    <row r="673" spans="1:24" x14ac:dyDescent="0.25">
      <c r="A673" s="6" t="s">
        <v>52</v>
      </c>
      <c r="B673" s="6" t="s">
        <v>359</v>
      </c>
      <c r="C673" s="6" t="s">
        <v>409</v>
      </c>
      <c r="D673" s="6" t="s">
        <v>399</v>
      </c>
      <c r="E673" s="11" t="str">
        <f t="shared" si="50"/>
        <v>UTILITARIO</v>
      </c>
      <c r="F673" s="6" t="s">
        <v>23</v>
      </c>
      <c r="G673" s="11">
        <v>2400</v>
      </c>
      <c r="H673" s="6" t="s">
        <v>1052</v>
      </c>
      <c r="I673" s="6" t="str">
        <f t="shared" si="51"/>
        <v>D</v>
      </c>
      <c r="J673" s="17" t="s">
        <v>22</v>
      </c>
      <c r="K673" s="6">
        <v>150</v>
      </c>
      <c r="L673" s="9">
        <v>80</v>
      </c>
      <c r="M673" s="2">
        <v>80</v>
      </c>
      <c r="N673" s="2">
        <v>52490</v>
      </c>
      <c r="O673" s="2" t="s">
        <v>1053</v>
      </c>
      <c r="P673" s="2" t="s">
        <v>1267</v>
      </c>
      <c r="Q673" s="2" t="s">
        <v>1054</v>
      </c>
      <c r="R673" s="2">
        <v>2910</v>
      </c>
      <c r="S673" s="2"/>
      <c r="T673" s="2">
        <v>182</v>
      </c>
      <c r="U673" s="39">
        <f>IF(I673="N",T673*Supuestos!$B$4,T673*Supuestos!$C$4)*100</f>
        <v>6.779909028521736</v>
      </c>
      <c r="V673" s="20">
        <f t="shared" si="54"/>
        <v>14.749460439560441</v>
      </c>
      <c r="W673" s="2">
        <f t="shared" si="52"/>
        <v>14560</v>
      </c>
      <c r="X673" s="2">
        <f t="shared" si="53"/>
        <v>542.39272228173888</v>
      </c>
    </row>
    <row r="674" spans="1:24" x14ac:dyDescent="0.25">
      <c r="A674" s="6" t="s">
        <v>33</v>
      </c>
      <c r="B674" s="6" t="s">
        <v>699</v>
      </c>
      <c r="C674" s="6" t="s">
        <v>409</v>
      </c>
      <c r="D674" s="6" t="s">
        <v>399</v>
      </c>
      <c r="E674" s="11" t="str">
        <f t="shared" si="50"/>
        <v>UTILITARIO</v>
      </c>
      <c r="F674" s="6" t="s">
        <v>16</v>
      </c>
      <c r="G674" s="11">
        <v>3500</v>
      </c>
      <c r="H674" s="6" t="s">
        <v>1050</v>
      </c>
      <c r="I674" s="6" t="str">
        <f t="shared" si="51"/>
        <v>N</v>
      </c>
      <c r="J674" s="17" t="s">
        <v>9</v>
      </c>
      <c r="K674" s="6">
        <v>280</v>
      </c>
      <c r="L674" s="9">
        <v>79</v>
      </c>
      <c r="M674" s="2">
        <v>79</v>
      </c>
      <c r="N674" s="2">
        <v>75518</v>
      </c>
      <c r="O674" s="2" t="s">
        <v>1060</v>
      </c>
      <c r="P674" s="2" t="s">
        <v>1109</v>
      </c>
      <c r="Q674" s="2" t="s">
        <v>1107</v>
      </c>
      <c r="R674" s="2">
        <v>2730</v>
      </c>
      <c r="S674" s="2"/>
      <c r="T674" s="2">
        <v>288</v>
      </c>
      <c r="U674" s="39">
        <f>IF(I674="N",T674*Supuestos!$B$4,T674*Supuestos!$C$4)*100</f>
        <v>12.324189868523145</v>
      </c>
      <c r="V674" s="20">
        <f t="shared" si="54"/>
        <v>8.1141236111111112</v>
      </c>
      <c r="W674" s="2">
        <f t="shared" si="52"/>
        <v>22752</v>
      </c>
      <c r="X674" s="2">
        <f t="shared" si="53"/>
        <v>973.61099961332854</v>
      </c>
    </row>
    <row r="675" spans="1:24" x14ac:dyDescent="0.25">
      <c r="A675" s="6" t="s">
        <v>48</v>
      </c>
      <c r="B675" s="6" t="s">
        <v>942</v>
      </c>
      <c r="C675" s="6" t="s">
        <v>402</v>
      </c>
      <c r="D675" s="6" t="s">
        <v>399</v>
      </c>
      <c r="E675" s="11" t="str">
        <f t="shared" si="50"/>
        <v>UTILITARIO</v>
      </c>
      <c r="F675" s="6" t="s">
        <v>21</v>
      </c>
      <c r="G675" s="11">
        <v>2300</v>
      </c>
      <c r="H675" s="6" t="s">
        <v>1052</v>
      </c>
      <c r="I675" s="6" t="str">
        <f t="shared" si="51"/>
        <v>D</v>
      </c>
      <c r="J675" s="17" t="s">
        <v>22</v>
      </c>
      <c r="K675" s="6">
        <v>136</v>
      </c>
      <c r="L675" s="9">
        <v>79</v>
      </c>
      <c r="M675" s="2">
        <v>79</v>
      </c>
      <c r="N675" s="2">
        <v>41468</v>
      </c>
      <c r="O675" s="2" t="s">
        <v>1053</v>
      </c>
      <c r="P675" s="2" t="s">
        <v>1271</v>
      </c>
      <c r="Q675" s="2" t="s">
        <v>422</v>
      </c>
      <c r="R675" s="2">
        <v>3500</v>
      </c>
      <c r="S675" s="2"/>
      <c r="T675" s="2">
        <v>220</v>
      </c>
      <c r="U675" s="39">
        <f>IF(I675="N",T675*Supuestos!$B$4,T675*Supuestos!$C$4)*100</f>
        <v>8.1954944300812205</v>
      </c>
      <c r="V675" s="20">
        <f t="shared" si="54"/>
        <v>12.201826363636362</v>
      </c>
      <c r="W675" s="2">
        <f t="shared" si="52"/>
        <v>17380</v>
      </c>
      <c r="X675" s="2">
        <f t="shared" si="53"/>
        <v>647.44405997641638</v>
      </c>
    </row>
    <row r="676" spans="1:24" x14ac:dyDescent="0.25">
      <c r="A676" s="6" t="s">
        <v>94</v>
      </c>
      <c r="B676" s="6" t="s">
        <v>1005</v>
      </c>
      <c r="C676" s="6" t="s">
        <v>405</v>
      </c>
      <c r="D676" s="6" t="s">
        <v>399</v>
      </c>
      <c r="E676" s="11" t="str">
        <f t="shared" si="50"/>
        <v>UTILITARIO</v>
      </c>
      <c r="F676" s="6"/>
      <c r="G676" s="11">
        <v>1500</v>
      </c>
      <c r="H676" s="6" t="s">
        <v>1050</v>
      </c>
      <c r="I676" s="6" t="str">
        <f t="shared" si="51"/>
        <v>N</v>
      </c>
      <c r="J676" s="17" t="s">
        <v>9</v>
      </c>
      <c r="K676" s="6"/>
      <c r="L676" s="9">
        <v>77</v>
      </c>
      <c r="M676" s="2">
        <v>77</v>
      </c>
      <c r="N676" s="2">
        <v>19990</v>
      </c>
      <c r="O676" s="2" t="s">
        <v>1053</v>
      </c>
      <c r="P676" s="2" t="s">
        <v>1248</v>
      </c>
      <c r="Q676" s="2" t="s">
        <v>422</v>
      </c>
      <c r="R676" s="2">
        <v>2400</v>
      </c>
      <c r="S676" s="2"/>
      <c r="T676" s="2">
        <v>177</v>
      </c>
      <c r="U676" s="39">
        <f>IF(I676="N",T676*Supuestos!$B$4,T676*Supuestos!$C$4)*100</f>
        <v>7.5742416900298499</v>
      </c>
      <c r="V676" s="20">
        <f t="shared" si="54"/>
        <v>13.202641807909606</v>
      </c>
      <c r="W676" s="2">
        <f t="shared" si="52"/>
        <v>13629</v>
      </c>
      <c r="X676" s="2">
        <f t="shared" si="53"/>
        <v>583.21661013229846</v>
      </c>
    </row>
    <row r="677" spans="1:24" x14ac:dyDescent="0.25">
      <c r="A677" s="6" t="s">
        <v>27</v>
      </c>
      <c r="B677" s="6" t="s">
        <v>644</v>
      </c>
      <c r="C677" s="6" t="s">
        <v>406</v>
      </c>
      <c r="D677" s="6" t="s">
        <v>399</v>
      </c>
      <c r="E677" s="11" t="str">
        <f t="shared" si="50"/>
        <v>UTILITARIO</v>
      </c>
      <c r="F677" s="6" t="s">
        <v>14</v>
      </c>
      <c r="G677" s="11">
        <v>1100</v>
      </c>
      <c r="H677" s="6" t="s">
        <v>1050</v>
      </c>
      <c r="I677" s="6" t="str">
        <f t="shared" si="51"/>
        <v>N</v>
      </c>
      <c r="J677" s="17" t="s">
        <v>9</v>
      </c>
      <c r="K677" s="6">
        <v>63</v>
      </c>
      <c r="L677" s="9">
        <v>75</v>
      </c>
      <c r="M677" s="2">
        <v>75</v>
      </c>
      <c r="N677" s="2">
        <v>13990</v>
      </c>
      <c r="O677" s="2" t="s">
        <v>1053</v>
      </c>
      <c r="P677" s="2" t="s">
        <v>1274</v>
      </c>
      <c r="Q677" s="2" t="s">
        <v>424</v>
      </c>
      <c r="R677" s="2">
        <v>1800</v>
      </c>
      <c r="S677" s="2"/>
      <c r="T677" s="2">
        <v>163</v>
      </c>
      <c r="U677" s="39">
        <f>IF(I677="N",T677*Supuestos!$B$4,T677*Supuestos!$C$4)*100</f>
        <v>6.9751491269766417</v>
      </c>
      <c r="V677" s="20">
        <f t="shared" si="54"/>
        <v>14.336611042944785</v>
      </c>
      <c r="W677" s="2">
        <f t="shared" si="52"/>
        <v>12225</v>
      </c>
      <c r="X677" s="2">
        <f t="shared" si="53"/>
        <v>523.13618452324818</v>
      </c>
    </row>
    <row r="678" spans="1:24" x14ac:dyDescent="0.25">
      <c r="A678" s="6" t="s">
        <v>48</v>
      </c>
      <c r="B678" s="6" t="s">
        <v>941</v>
      </c>
      <c r="C678" s="6" t="s">
        <v>402</v>
      </c>
      <c r="D678" s="6" t="s">
        <v>399</v>
      </c>
      <c r="E678" s="11" t="str">
        <f t="shared" si="50"/>
        <v>UTILITARIO</v>
      </c>
      <c r="F678" s="6" t="s">
        <v>21</v>
      </c>
      <c r="G678" s="11">
        <v>2300</v>
      </c>
      <c r="H678" s="6" t="s">
        <v>1052</v>
      </c>
      <c r="I678" s="6" t="str">
        <f t="shared" si="51"/>
        <v>D</v>
      </c>
      <c r="J678" s="17" t="s">
        <v>22</v>
      </c>
      <c r="K678" s="6">
        <v>136</v>
      </c>
      <c r="L678" s="9">
        <v>75</v>
      </c>
      <c r="M678" s="2">
        <v>75</v>
      </c>
      <c r="N678" s="2">
        <v>36508</v>
      </c>
      <c r="O678" s="2" t="s">
        <v>1053</v>
      </c>
      <c r="P678" s="2" t="s">
        <v>1272</v>
      </c>
      <c r="Q678" s="2" t="s">
        <v>422</v>
      </c>
      <c r="R678" s="2">
        <v>3500</v>
      </c>
      <c r="S678" s="2"/>
      <c r="T678" s="2">
        <v>220</v>
      </c>
      <c r="U678" s="39">
        <f>IF(I678="N",T678*Supuestos!$B$4,T678*Supuestos!$C$4)*100</f>
        <v>8.1954944300812205</v>
      </c>
      <c r="V678" s="20">
        <f t="shared" si="54"/>
        <v>12.201826363636362</v>
      </c>
      <c r="W678" s="2">
        <f t="shared" si="52"/>
        <v>16500</v>
      </c>
      <c r="X678" s="2">
        <f t="shared" si="53"/>
        <v>614.66208225609148</v>
      </c>
    </row>
    <row r="679" spans="1:24" x14ac:dyDescent="0.25">
      <c r="A679" s="6" t="s">
        <v>52</v>
      </c>
      <c r="B679" s="6" t="s">
        <v>351</v>
      </c>
      <c r="C679" s="6" t="s">
        <v>409</v>
      </c>
      <c r="D679" s="6" t="s">
        <v>399</v>
      </c>
      <c r="E679" s="11" t="str">
        <f t="shared" si="50"/>
        <v>UTILITARIO</v>
      </c>
      <c r="F679" s="6" t="s">
        <v>23</v>
      </c>
      <c r="G679" s="11">
        <v>2800</v>
      </c>
      <c r="H679" s="6" t="s">
        <v>1052</v>
      </c>
      <c r="I679" s="6" t="str">
        <f t="shared" si="51"/>
        <v>D</v>
      </c>
      <c r="J679" s="17" t="s">
        <v>22</v>
      </c>
      <c r="K679" s="6">
        <v>204</v>
      </c>
      <c r="L679" s="9">
        <v>73</v>
      </c>
      <c r="M679" s="2">
        <v>73</v>
      </c>
      <c r="N679" s="2">
        <v>76490</v>
      </c>
      <c r="O679" s="2" t="s">
        <v>1053</v>
      </c>
      <c r="P679" s="2" t="s">
        <v>1269</v>
      </c>
      <c r="Q679" s="2" t="s">
        <v>1054</v>
      </c>
      <c r="R679" s="2">
        <v>3140</v>
      </c>
      <c r="S679" s="2"/>
      <c r="T679" s="2">
        <v>227</v>
      </c>
      <c r="U679" s="39">
        <f>IF(I679="N",T679*Supuestos!$B$4,T679*Supuestos!$C$4)*100</f>
        <v>8.4562601619474407</v>
      </c>
      <c r="V679" s="20">
        <f t="shared" si="54"/>
        <v>11.82555859030837</v>
      </c>
      <c r="W679" s="2">
        <f t="shared" si="52"/>
        <v>16571</v>
      </c>
      <c r="X679" s="2">
        <f t="shared" si="53"/>
        <v>617.30699182216313</v>
      </c>
    </row>
    <row r="680" spans="1:24" x14ac:dyDescent="0.25">
      <c r="A680" s="6" t="s">
        <v>53</v>
      </c>
      <c r="B680" s="6" t="s">
        <v>386</v>
      </c>
      <c r="C680" s="6" t="s">
        <v>409</v>
      </c>
      <c r="D680" s="6" t="s">
        <v>399</v>
      </c>
      <c r="E680" s="11" t="str">
        <f t="shared" si="50"/>
        <v>UTILITARIO</v>
      </c>
      <c r="F680" s="6" t="s">
        <v>23</v>
      </c>
      <c r="G680" s="11">
        <v>3000</v>
      </c>
      <c r="H680" s="6" t="s">
        <v>1052</v>
      </c>
      <c r="I680" s="6" t="str">
        <f t="shared" si="51"/>
        <v>D</v>
      </c>
      <c r="J680" s="17" t="s">
        <v>22</v>
      </c>
      <c r="K680" s="6">
        <v>224</v>
      </c>
      <c r="L680" s="9">
        <v>73</v>
      </c>
      <c r="M680" s="2">
        <v>73</v>
      </c>
      <c r="N680" s="2">
        <v>77990</v>
      </c>
      <c r="O680" s="2" t="s">
        <v>1053</v>
      </c>
      <c r="P680" s="2" t="s">
        <v>1275</v>
      </c>
      <c r="Q680" s="2" t="s">
        <v>422</v>
      </c>
      <c r="R680" s="2">
        <v>3080</v>
      </c>
      <c r="S680" s="2"/>
      <c r="T680" s="2">
        <v>250</v>
      </c>
      <c r="U680" s="39">
        <f>IF(I680="N",T680*Supuestos!$B$4,T680*Supuestos!$C$4)*100</f>
        <v>9.3130618523650224</v>
      </c>
      <c r="V680" s="20">
        <f t="shared" si="54"/>
        <v>10.737607199999999</v>
      </c>
      <c r="W680" s="2">
        <f t="shared" si="52"/>
        <v>18250</v>
      </c>
      <c r="X680" s="2">
        <f t="shared" si="53"/>
        <v>679.85351522264659</v>
      </c>
    </row>
    <row r="681" spans="1:24" x14ac:dyDescent="0.25">
      <c r="A681" s="6" t="s">
        <v>52</v>
      </c>
      <c r="B681" s="6" t="s">
        <v>352</v>
      </c>
      <c r="C681" s="6" t="s">
        <v>409</v>
      </c>
      <c r="D681" s="6" t="s">
        <v>399</v>
      </c>
      <c r="E681" s="11" t="str">
        <f t="shared" si="50"/>
        <v>UTILITARIO</v>
      </c>
      <c r="F681" s="6" t="s">
        <v>23</v>
      </c>
      <c r="G681" s="11">
        <v>2800</v>
      </c>
      <c r="H681" s="6" t="s">
        <v>1052</v>
      </c>
      <c r="I681" s="6" t="str">
        <f t="shared" si="51"/>
        <v>D</v>
      </c>
      <c r="J681" s="17" t="s">
        <v>22</v>
      </c>
      <c r="K681" s="6">
        <v>204</v>
      </c>
      <c r="L681" s="9">
        <v>71</v>
      </c>
      <c r="M681" s="2">
        <v>71</v>
      </c>
      <c r="N681" s="2">
        <v>79490</v>
      </c>
      <c r="O681" s="2" t="s">
        <v>1053</v>
      </c>
      <c r="P681" s="2" t="s">
        <v>1269</v>
      </c>
      <c r="Q681" s="2" t="s">
        <v>1054</v>
      </c>
      <c r="R681" s="2">
        <v>3140</v>
      </c>
      <c r="S681" s="2"/>
      <c r="T681" s="2">
        <v>227</v>
      </c>
      <c r="U681" s="39">
        <f>IF(I681="N",T681*Supuestos!$B$4,T681*Supuestos!$C$4)*100</f>
        <v>8.4562601619474407</v>
      </c>
      <c r="V681" s="20">
        <f t="shared" si="54"/>
        <v>11.82555859030837</v>
      </c>
      <c r="W681" s="2">
        <f t="shared" si="52"/>
        <v>16117</v>
      </c>
      <c r="X681" s="2">
        <f t="shared" si="53"/>
        <v>600.39447149826833</v>
      </c>
    </row>
    <row r="682" spans="1:24" x14ac:dyDescent="0.25">
      <c r="A682" s="6" t="s">
        <v>30</v>
      </c>
      <c r="B682" s="6" t="s">
        <v>670</v>
      </c>
      <c r="C682" s="6" t="s">
        <v>409</v>
      </c>
      <c r="D682" s="6" t="s">
        <v>399</v>
      </c>
      <c r="E682" s="11" t="str">
        <f t="shared" si="50"/>
        <v>UTILITARIO</v>
      </c>
      <c r="F682" s="6" t="s">
        <v>25</v>
      </c>
      <c r="G682" s="11">
        <v>3000</v>
      </c>
      <c r="H682" s="6" t="s">
        <v>1050</v>
      </c>
      <c r="I682" s="6" t="str">
        <f t="shared" si="51"/>
        <v>N</v>
      </c>
      <c r="J682" s="17" t="s">
        <v>9</v>
      </c>
      <c r="K682" s="6">
        <v>397</v>
      </c>
      <c r="L682" s="9">
        <v>68</v>
      </c>
      <c r="M682" s="2">
        <v>68</v>
      </c>
      <c r="N682" s="2">
        <v>99900</v>
      </c>
      <c r="O682" s="2" t="s">
        <v>1240</v>
      </c>
      <c r="P682" s="2" t="s">
        <v>1257</v>
      </c>
      <c r="Q682" s="2" t="s">
        <v>1054</v>
      </c>
      <c r="R682" s="2">
        <v>3130</v>
      </c>
      <c r="S682" s="2"/>
      <c r="T682" s="2">
        <v>264</v>
      </c>
      <c r="U682" s="39">
        <f>IF(I682="N",T682*Supuestos!$B$4,T682*Supuestos!$C$4)*100</f>
        <v>11.297174046146218</v>
      </c>
      <c r="V682" s="20">
        <f t="shared" si="54"/>
        <v>8.8517712121212124</v>
      </c>
      <c r="W682" s="2">
        <f t="shared" si="52"/>
        <v>17952</v>
      </c>
      <c r="X682" s="2">
        <f t="shared" si="53"/>
        <v>768.20783513794277</v>
      </c>
    </row>
    <row r="683" spans="1:24" x14ac:dyDescent="0.25">
      <c r="A683" s="6" t="s">
        <v>52</v>
      </c>
      <c r="B683" s="6" t="s">
        <v>347</v>
      </c>
      <c r="C683" s="6" t="s">
        <v>409</v>
      </c>
      <c r="D683" s="6" t="s">
        <v>399</v>
      </c>
      <c r="E683" s="11" t="str">
        <f t="shared" si="50"/>
        <v>UTILITARIO</v>
      </c>
      <c r="F683" s="6" t="s">
        <v>23</v>
      </c>
      <c r="G683" s="11">
        <v>2400</v>
      </c>
      <c r="H683" s="6" t="s">
        <v>1052</v>
      </c>
      <c r="I683" s="6" t="str">
        <f t="shared" si="51"/>
        <v>D</v>
      </c>
      <c r="J683" s="17" t="s">
        <v>22</v>
      </c>
      <c r="K683" s="6">
        <v>150</v>
      </c>
      <c r="L683" s="9">
        <v>64</v>
      </c>
      <c r="M683" s="2">
        <v>64</v>
      </c>
      <c r="N683" s="2">
        <v>65990</v>
      </c>
      <c r="O683" s="2" t="s">
        <v>1053</v>
      </c>
      <c r="P683" s="2" t="s">
        <v>1266</v>
      </c>
      <c r="Q683" s="2" t="s">
        <v>1054</v>
      </c>
      <c r="R683" s="2">
        <v>2910</v>
      </c>
      <c r="S683" s="2"/>
      <c r="T683" s="2">
        <v>196</v>
      </c>
      <c r="U683" s="39">
        <f>IF(I683="N",T683*Supuestos!$B$4,T683*Supuestos!$C$4)*100</f>
        <v>7.3014404922541774</v>
      </c>
      <c r="V683" s="20">
        <f t="shared" si="54"/>
        <v>13.695927551020409</v>
      </c>
      <c r="W683" s="2">
        <f t="shared" si="52"/>
        <v>12544</v>
      </c>
      <c r="X683" s="2">
        <f t="shared" si="53"/>
        <v>467.29219150426735</v>
      </c>
    </row>
    <row r="684" spans="1:24" x14ac:dyDescent="0.25">
      <c r="A684" s="6" t="s">
        <v>52</v>
      </c>
      <c r="B684" s="6" t="s">
        <v>360</v>
      </c>
      <c r="C684" s="6" t="s">
        <v>409</v>
      </c>
      <c r="D684" s="6" t="s">
        <v>399</v>
      </c>
      <c r="E684" s="11" t="str">
        <f t="shared" si="50"/>
        <v>UTILITARIO</v>
      </c>
      <c r="F684" s="6" t="s">
        <v>23</v>
      </c>
      <c r="G684" s="11">
        <v>2400</v>
      </c>
      <c r="H684" s="6" t="s">
        <v>1052</v>
      </c>
      <c r="I684" s="6" t="str">
        <f t="shared" si="51"/>
        <v>D</v>
      </c>
      <c r="J684" s="17" t="s">
        <v>22</v>
      </c>
      <c r="K684" s="6">
        <v>150</v>
      </c>
      <c r="L684" s="9">
        <v>62</v>
      </c>
      <c r="M684" s="2">
        <v>62</v>
      </c>
      <c r="N684" s="2">
        <v>58990</v>
      </c>
      <c r="O684" s="2" t="s">
        <v>1053</v>
      </c>
      <c r="P684" s="2" t="s">
        <v>1267</v>
      </c>
      <c r="Q684" s="2" t="s">
        <v>1054</v>
      </c>
      <c r="R684" s="2">
        <v>2910</v>
      </c>
      <c r="S684" s="2"/>
      <c r="T684" s="2">
        <v>191</v>
      </c>
      <c r="U684" s="39">
        <f>IF(I684="N",T684*Supuestos!$B$4,T684*Supuestos!$C$4)*100</f>
        <v>7.1151792552068773</v>
      </c>
      <c r="V684" s="20">
        <f t="shared" si="54"/>
        <v>14.054459685863874</v>
      </c>
      <c r="W684" s="2">
        <f t="shared" si="52"/>
        <v>11842</v>
      </c>
      <c r="X684" s="2">
        <f t="shared" si="53"/>
        <v>441.14111382282641</v>
      </c>
    </row>
    <row r="685" spans="1:24" x14ac:dyDescent="0.25">
      <c r="A685" s="6" t="s">
        <v>53</v>
      </c>
      <c r="B685" s="6" t="s">
        <v>385</v>
      </c>
      <c r="C685" s="6" t="s">
        <v>409</v>
      </c>
      <c r="D685" s="6" t="s">
        <v>399</v>
      </c>
      <c r="E685" s="11" t="str">
        <f t="shared" si="50"/>
        <v>UTILITARIO</v>
      </c>
      <c r="F685" s="6" t="s">
        <v>23</v>
      </c>
      <c r="G685" s="11">
        <v>2000</v>
      </c>
      <c r="H685" s="6" t="s">
        <v>1052</v>
      </c>
      <c r="I685" s="6" t="str">
        <f t="shared" si="51"/>
        <v>D</v>
      </c>
      <c r="J685" s="17" t="s">
        <v>22</v>
      </c>
      <c r="K685" s="6">
        <v>180</v>
      </c>
      <c r="L685" s="9">
        <v>61</v>
      </c>
      <c r="M685" s="2">
        <v>61</v>
      </c>
      <c r="N685" s="2">
        <v>58990</v>
      </c>
      <c r="O685" s="2" t="s">
        <v>1053</v>
      </c>
      <c r="P685" s="2" t="s">
        <v>1276</v>
      </c>
      <c r="Q685" s="2" t="s">
        <v>422</v>
      </c>
      <c r="R685" s="2">
        <v>3040</v>
      </c>
      <c r="S685" s="2"/>
      <c r="T685" s="2">
        <v>234</v>
      </c>
      <c r="U685" s="39">
        <f>IF(I685="N",T685*Supuestos!$B$4,T685*Supuestos!$C$4)*100</f>
        <v>8.7170258938136609</v>
      </c>
      <c r="V685" s="20">
        <f t="shared" si="54"/>
        <v>11.471802564102564</v>
      </c>
      <c r="W685" s="2">
        <f t="shared" si="52"/>
        <v>14274</v>
      </c>
      <c r="X685" s="2">
        <f t="shared" si="53"/>
        <v>531.73857952263336</v>
      </c>
    </row>
    <row r="686" spans="1:24" x14ac:dyDescent="0.25">
      <c r="A686" s="6" t="s">
        <v>48</v>
      </c>
      <c r="B686" s="6" t="s">
        <v>314</v>
      </c>
      <c r="C686" s="6" t="s">
        <v>66</v>
      </c>
      <c r="D686" s="6" t="s">
        <v>399</v>
      </c>
      <c r="E686" s="11" t="str">
        <f t="shared" si="50"/>
        <v>UTILITARIO</v>
      </c>
      <c r="F686" s="6" t="s">
        <v>23</v>
      </c>
      <c r="G686" s="11">
        <v>1600</v>
      </c>
      <c r="H686" s="6" t="s">
        <v>1050</v>
      </c>
      <c r="I686" s="6" t="str">
        <f t="shared" si="51"/>
        <v>N</v>
      </c>
      <c r="J686" s="17" t="s">
        <v>9</v>
      </c>
      <c r="K686" s="6">
        <v>114</v>
      </c>
      <c r="L686" s="9">
        <v>60</v>
      </c>
      <c r="M686" s="2">
        <v>60</v>
      </c>
      <c r="N686" s="2">
        <v>20240</v>
      </c>
      <c r="O686" s="2" t="s">
        <v>1055</v>
      </c>
      <c r="P686" s="2" t="s">
        <v>1253</v>
      </c>
      <c r="Q686" s="2" t="s">
        <v>429</v>
      </c>
      <c r="R686" s="2">
        <v>1784</v>
      </c>
      <c r="S686" s="2"/>
      <c r="T686" s="2">
        <v>179.5</v>
      </c>
      <c r="U686" s="39">
        <f>IF(I686="N",T686*Supuestos!$B$4,T686*Supuestos!$C$4)*100</f>
        <v>7.6812225048607798</v>
      </c>
      <c r="V686" s="20">
        <f t="shared" si="54"/>
        <v>13.018761002785515</v>
      </c>
      <c r="W686" s="2">
        <f t="shared" si="52"/>
        <v>10770</v>
      </c>
      <c r="X686" s="2">
        <f t="shared" si="53"/>
        <v>460.87335029164677</v>
      </c>
    </row>
    <row r="687" spans="1:24" x14ac:dyDescent="0.25">
      <c r="A687" s="6" t="s">
        <v>52</v>
      </c>
      <c r="B687" s="6" t="s">
        <v>989</v>
      </c>
      <c r="C687" s="6" t="s">
        <v>409</v>
      </c>
      <c r="D687" s="6" t="s">
        <v>399</v>
      </c>
      <c r="E687" s="11" t="str">
        <f t="shared" si="50"/>
        <v>UTILITARIO</v>
      </c>
      <c r="F687" s="6" t="s">
        <v>23</v>
      </c>
      <c r="G687" s="11">
        <v>2800</v>
      </c>
      <c r="H687" s="6" t="s">
        <v>1052</v>
      </c>
      <c r="I687" s="6" t="str">
        <f t="shared" si="51"/>
        <v>D</v>
      </c>
      <c r="J687" s="17" t="s">
        <v>22</v>
      </c>
      <c r="K687" s="6">
        <v>204</v>
      </c>
      <c r="L687" s="9">
        <v>60</v>
      </c>
      <c r="M687" s="2">
        <v>60</v>
      </c>
      <c r="N687" s="2">
        <v>81490</v>
      </c>
      <c r="O687" s="2" t="s">
        <v>1053</v>
      </c>
      <c r="P687" s="2" t="s">
        <v>1269</v>
      </c>
      <c r="Q687" s="2" t="s">
        <v>1054</v>
      </c>
      <c r="R687" s="2">
        <v>3140</v>
      </c>
      <c r="S687" s="2"/>
      <c r="T687" s="2">
        <v>227</v>
      </c>
      <c r="U687" s="39">
        <f>IF(I687="N",T687*Supuestos!$B$4,T687*Supuestos!$C$4)*100</f>
        <v>8.4562601619474407</v>
      </c>
      <c r="V687" s="20">
        <f t="shared" si="54"/>
        <v>11.82555859030837</v>
      </c>
      <c r="W687" s="2">
        <f t="shared" si="52"/>
        <v>13620</v>
      </c>
      <c r="X687" s="2">
        <f t="shared" si="53"/>
        <v>507.37560971684644</v>
      </c>
    </row>
    <row r="688" spans="1:24" x14ac:dyDescent="0.25">
      <c r="A688" s="6" t="s">
        <v>36</v>
      </c>
      <c r="B688" s="6" t="s">
        <v>231</v>
      </c>
      <c r="C688" s="6" t="s">
        <v>409</v>
      </c>
      <c r="D688" s="6" t="s">
        <v>399</v>
      </c>
      <c r="E688" s="11" t="str">
        <f t="shared" si="50"/>
        <v>UTILITARIO</v>
      </c>
      <c r="F688" s="6" t="s">
        <v>14</v>
      </c>
      <c r="G688" s="11">
        <v>2000</v>
      </c>
      <c r="H688" s="6" t="s">
        <v>1050</v>
      </c>
      <c r="I688" s="6" t="str">
        <f t="shared" si="51"/>
        <v>N</v>
      </c>
      <c r="J688" s="17" t="s">
        <v>9</v>
      </c>
      <c r="K688" s="6">
        <v>149</v>
      </c>
      <c r="L688" s="9">
        <v>59</v>
      </c>
      <c r="M688" s="2">
        <v>59</v>
      </c>
      <c r="N688" s="2">
        <v>23990</v>
      </c>
      <c r="O688" s="2" t="s">
        <v>1060</v>
      </c>
      <c r="P688" s="2" t="s">
        <v>1277</v>
      </c>
      <c r="Q688" s="2" t="s">
        <v>424</v>
      </c>
      <c r="R688" s="2">
        <v>2580</v>
      </c>
      <c r="S688" s="2"/>
      <c r="T688" s="2">
        <v>249</v>
      </c>
      <c r="U688" s="39">
        <f>IF(I688="N",T688*Supuestos!$B$4,T688*Supuestos!$C$4)*100</f>
        <v>10.655289157160636</v>
      </c>
      <c r="V688" s="20">
        <f t="shared" si="54"/>
        <v>9.3850104417670686</v>
      </c>
      <c r="W688" s="2">
        <f t="shared" si="52"/>
        <v>14691</v>
      </c>
      <c r="X688" s="2">
        <f t="shared" si="53"/>
        <v>628.66206027247756</v>
      </c>
    </row>
    <row r="689" spans="1:24" x14ac:dyDescent="0.25">
      <c r="A689" s="6" t="s">
        <v>46</v>
      </c>
      <c r="B689" s="6" t="s">
        <v>268</v>
      </c>
      <c r="C689" s="6" t="s">
        <v>409</v>
      </c>
      <c r="D689" s="6" t="s">
        <v>399</v>
      </c>
      <c r="E689" s="11" t="str">
        <f t="shared" si="50"/>
        <v>UTILITARIO</v>
      </c>
      <c r="F689" s="6" t="s">
        <v>24</v>
      </c>
      <c r="G689" s="11">
        <v>2500</v>
      </c>
      <c r="H689" s="6" t="s">
        <v>1052</v>
      </c>
      <c r="I689" s="6" t="str">
        <f t="shared" si="51"/>
        <v>D</v>
      </c>
      <c r="J689" s="17" t="s">
        <v>22</v>
      </c>
      <c r="K689" s="6">
        <v>160</v>
      </c>
      <c r="L689" s="9">
        <v>58</v>
      </c>
      <c r="M689" s="2">
        <v>58</v>
      </c>
      <c r="N689" s="2">
        <v>37818</v>
      </c>
      <c r="O689" s="2" t="s">
        <v>1053</v>
      </c>
      <c r="P689" s="2" t="s">
        <v>1239</v>
      </c>
      <c r="Q689" s="2" t="s">
        <v>428</v>
      </c>
      <c r="R689" s="2">
        <v>3020</v>
      </c>
      <c r="S689" s="2"/>
      <c r="T689" s="2">
        <v>199</v>
      </c>
      <c r="U689" s="39">
        <f>IF(I689="N",T689*Supuestos!$B$4,T689*Supuestos!$C$4)*100</f>
        <v>7.4131972344825572</v>
      </c>
      <c r="V689" s="20">
        <f t="shared" si="54"/>
        <v>13.489456281407037</v>
      </c>
      <c r="W689" s="2">
        <f t="shared" si="52"/>
        <v>11542</v>
      </c>
      <c r="X689" s="2">
        <f t="shared" si="53"/>
        <v>429.96543959998831</v>
      </c>
    </row>
    <row r="690" spans="1:24" x14ac:dyDescent="0.25">
      <c r="A690" s="6" t="s">
        <v>52</v>
      </c>
      <c r="B690" s="6" t="s">
        <v>362</v>
      </c>
      <c r="C690" s="6" t="s">
        <v>409</v>
      </c>
      <c r="D690" s="6" t="s">
        <v>399</v>
      </c>
      <c r="E690" s="11" t="str">
        <f t="shared" si="50"/>
        <v>UTILITARIO</v>
      </c>
      <c r="F690" s="6" t="s">
        <v>23</v>
      </c>
      <c r="G690" s="11">
        <v>2400</v>
      </c>
      <c r="H690" s="6" t="s">
        <v>1052</v>
      </c>
      <c r="I690" s="6" t="str">
        <f t="shared" si="51"/>
        <v>D</v>
      </c>
      <c r="J690" s="17" t="s">
        <v>22</v>
      </c>
      <c r="K690" s="6">
        <v>150</v>
      </c>
      <c r="L690" s="9">
        <v>58</v>
      </c>
      <c r="M690" s="2">
        <v>58</v>
      </c>
      <c r="N690" s="2">
        <v>62990</v>
      </c>
      <c r="O690" s="2" t="s">
        <v>1053</v>
      </c>
      <c r="P690" s="2" t="s">
        <v>1267</v>
      </c>
      <c r="Q690" s="2" t="s">
        <v>1054</v>
      </c>
      <c r="R690" s="2">
        <v>2910</v>
      </c>
      <c r="S690" s="2"/>
      <c r="T690" s="2">
        <v>191</v>
      </c>
      <c r="U690" s="39">
        <f>IF(I690="N",T690*Supuestos!$B$4,T690*Supuestos!$C$4)*100</f>
        <v>7.1151792552068773</v>
      </c>
      <c r="V690" s="20">
        <f t="shared" si="54"/>
        <v>14.054459685863874</v>
      </c>
      <c r="W690" s="2">
        <f t="shared" si="52"/>
        <v>11078</v>
      </c>
      <c r="X690" s="2">
        <f t="shared" si="53"/>
        <v>412.68039680199888</v>
      </c>
    </row>
    <row r="691" spans="1:24" x14ac:dyDescent="0.25">
      <c r="A691" s="6" t="s">
        <v>27</v>
      </c>
      <c r="B691" s="6" t="s">
        <v>176</v>
      </c>
      <c r="C691" s="6" t="s">
        <v>405</v>
      </c>
      <c r="D691" s="6" t="s">
        <v>399</v>
      </c>
      <c r="E691" s="11" t="str">
        <f t="shared" si="50"/>
        <v>UTILITARIO</v>
      </c>
      <c r="F691" s="6" t="s">
        <v>14</v>
      </c>
      <c r="G691" s="11">
        <v>1100</v>
      </c>
      <c r="H691" s="6" t="s">
        <v>1050</v>
      </c>
      <c r="I691" s="6" t="str">
        <f t="shared" si="51"/>
        <v>N</v>
      </c>
      <c r="J691" s="17" t="s">
        <v>9</v>
      </c>
      <c r="K691" s="6">
        <v>63</v>
      </c>
      <c r="L691" s="9">
        <v>57</v>
      </c>
      <c r="M691" s="2">
        <v>57</v>
      </c>
      <c r="N691" s="2">
        <v>13250</v>
      </c>
      <c r="O691" s="2" t="s">
        <v>1053</v>
      </c>
      <c r="P691" s="2" t="s">
        <v>1274</v>
      </c>
      <c r="Q691" s="2" t="s">
        <v>424</v>
      </c>
      <c r="R691" s="2">
        <v>1800</v>
      </c>
      <c r="S691" s="2"/>
      <c r="T691" s="2">
        <v>163</v>
      </c>
      <c r="U691" s="39">
        <f>IF(I691="N",T691*Supuestos!$B$4,T691*Supuestos!$C$4)*100</f>
        <v>6.9751491269766417</v>
      </c>
      <c r="V691" s="20">
        <f t="shared" si="54"/>
        <v>14.336611042944785</v>
      </c>
      <c r="W691" s="2">
        <f t="shared" si="52"/>
        <v>9291</v>
      </c>
      <c r="X691" s="2">
        <f t="shared" si="53"/>
        <v>397.5835002376686</v>
      </c>
    </row>
    <row r="692" spans="1:24" x14ac:dyDescent="0.25">
      <c r="A692" s="6" t="s">
        <v>52</v>
      </c>
      <c r="B692" s="6" t="s">
        <v>357</v>
      </c>
      <c r="C692" s="6" t="s">
        <v>409</v>
      </c>
      <c r="D692" s="6" t="s">
        <v>399</v>
      </c>
      <c r="E692" s="11" t="str">
        <f t="shared" si="50"/>
        <v>UTILITARIO</v>
      </c>
      <c r="F692" s="6" t="s">
        <v>23</v>
      </c>
      <c r="G692" s="11">
        <v>2700</v>
      </c>
      <c r="H692" s="6" t="s">
        <v>1050</v>
      </c>
      <c r="I692" s="6" t="str">
        <f t="shared" si="51"/>
        <v>N</v>
      </c>
      <c r="J692" s="17" t="s">
        <v>9</v>
      </c>
      <c r="K692" s="6">
        <v>167</v>
      </c>
      <c r="L692" s="9">
        <v>57</v>
      </c>
      <c r="M692" s="2">
        <v>57</v>
      </c>
      <c r="N692" s="2">
        <v>41990</v>
      </c>
      <c r="O692" s="2" t="s">
        <v>1053</v>
      </c>
      <c r="P692" s="2" t="s">
        <v>1268</v>
      </c>
      <c r="Q692" s="2" t="s">
        <v>1054</v>
      </c>
      <c r="R692" s="2">
        <v>2710</v>
      </c>
      <c r="S692" s="2"/>
      <c r="T692" s="2">
        <v>260</v>
      </c>
      <c r="U692" s="39">
        <f>IF(I692="N",T692*Supuestos!$B$4,T692*Supuestos!$C$4)*100</f>
        <v>11.126004742416729</v>
      </c>
      <c r="V692" s="20">
        <f t="shared" si="54"/>
        <v>8.9879523076923071</v>
      </c>
      <c r="W692" s="2">
        <f t="shared" si="52"/>
        <v>14820</v>
      </c>
      <c r="X692" s="2">
        <f t="shared" si="53"/>
        <v>634.18227031775359</v>
      </c>
    </row>
    <row r="693" spans="1:24" x14ac:dyDescent="0.25">
      <c r="A693" s="6" t="s">
        <v>52</v>
      </c>
      <c r="B693" s="6" t="s">
        <v>358</v>
      </c>
      <c r="C693" s="6" t="s">
        <v>409</v>
      </c>
      <c r="D693" s="6" t="s">
        <v>399</v>
      </c>
      <c r="E693" s="11" t="str">
        <f t="shared" si="50"/>
        <v>UTILITARIO</v>
      </c>
      <c r="F693" s="6" t="s">
        <v>23</v>
      </c>
      <c r="G693" s="11">
        <v>2700</v>
      </c>
      <c r="H693" s="6" t="s">
        <v>1050</v>
      </c>
      <c r="I693" s="6" t="str">
        <f t="shared" si="51"/>
        <v>N</v>
      </c>
      <c r="J693" s="17" t="s">
        <v>9</v>
      </c>
      <c r="K693" s="6">
        <v>167</v>
      </c>
      <c r="L693" s="9">
        <v>56</v>
      </c>
      <c r="M693" s="2">
        <v>56</v>
      </c>
      <c r="N693" s="2">
        <v>46990</v>
      </c>
      <c r="O693" s="2" t="s">
        <v>1053</v>
      </c>
      <c r="P693" s="2" t="s">
        <v>1268</v>
      </c>
      <c r="Q693" s="2" t="s">
        <v>1054</v>
      </c>
      <c r="R693" s="2">
        <v>2710</v>
      </c>
      <c r="S693" s="2"/>
      <c r="T693" s="2">
        <v>260</v>
      </c>
      <c r="U693" s="39">
        <f>IF(I693="N",T693*Supuestos!$B$4,T693*Supuestos!$C$4)*100</f>
        <v>11.126004742416729</v>
      </c>
      <c r="V693" s="20">
        <f t="shared" si="54"/>
        <v>8.9879523076923071</v>
      </c>
      <c r="W693" s="2">
        <f t="shared" si="52"/>
        <v>14560</v>
      </c>
      <c r="X693" s="2">
        <f t="shared" si="53"/>
        <v>623.05626557533685</v>
      </c>
    </row>
    <row r="694" spans="1:24" x14ac:dyDescent="0.25">
      <c r="A694" s="6" t="s">
        <v>67</v>
      </c>
      <c r="B694" s="6" t="s">
        <v>198</v>
      </c>
      <c r="C694" s="6" t="s">
        <v>409</v>
      </c>
      <c r="D694" s="6" t="s">
        <v>399</v>
      </c>
      <c r="E694" s="11" t="str">
        <f t="shared" si="50"/>
        <v>UTILITARIO</v>
      </c>
      <c r="F694" s="6" t="s">
        <v>14</v>
      </c>
      <c r="G694" s="11">
        <v>2400</v>
      </c>
      <c r="H694" s="6" t="s">
        <v>1050</v>
      </c>
      <c r="I694" s="6" t="str">
        <f t="shared" si="51"/>
        <v>N</v>
      </c>
      <c r="J694" s="17" t="s">
        <v>9</v>
      </c>
      <c r="K694" s="6">
        <v>120</v>
      </c>
      <c r="L694" s="9">
        <v>54</v>
      </c>
      <c r="M694" s="2">
        <v>54</v>
      </c>
      <c r="N694" s="2">
        <v>38990</v>
      </c>
      <c r="O694" s="2" t="s">
        <v>1240</v>
      </c>
      <c r="P694" s="2" t="s">
        <v>1265</v>
      </c>
      <c r="Q694" s="2" t="s">
        <v>429</v>
      </c>
      <c r="R694" s="2">
        <v>2710</v>
      </c>
      <c r="S694" s="2"/>
      <c r="T694" s="2">
        <v>282</v>
      </c>
      <c r="U694" s="39">
        <f>IF(I694="N",T694*Supuestos!$B$4,T694*Supuestos!$C$4)*100</f>
        <v>12.067435912928914</v>
      </c>
      <c r="V694" s="20">
        <f t="shared" si="54"/>
        <v>8.2867645390070912</v>
      </c>
      <c r="W694" s="2">
        <f t="shared" si="52"/>
        <v>15228</v>
      </c>
      <c r="X694" s="2">
        <f t="shared" si="53"/>
        <v>651.64153929816143</v>
      </c>
    </row>
    <row r="695" spans="1:24" x14ac:dyDescent="0.25">
      <c r="A695" s="6" t="s">
        <v>30</v>
      </c>
      <c r="B695" s="6" t="s">
        <v>188</v>
      </c>
      <c r="C695" s="6" t="s">
        <v>409</v>
      </c>
      <c r="D695" s="6" t="s">
        <v>399</v>
      </c>
      <c r="E695" s="11" t="str">
        <f t="shared" si="50"/>
        <v>UTILITARIO</v>
      </c>
      <c r="F695" s="6" t="s">
        <v>23</v>
      </c>
      <c r="G695" s="11">
        <v>2200</v>
      </c>
      <c r="H695" s="6" t="s">
        <v>1052</v>
      </c>
      <c r="I695" s="6" t="str">
        <f t="shared" si="51"/>
        <v>D</v>
      </c>
      <c r="J695" s="17" t="s">
        <v>22</v>
      </c>
      <c r="K695" s="6">
        <v>160</v>
      </c>
      <c r="L695" s="9">
        <v>52</v>
      </c>
      <c r="M695" s="2">
        <v>52</v>
      </c>
      <c r="N695" s="2">
        <v>49990</v>
      </c>
      <c r="O695" s="2" t="s">
        <v>1060</v>
      </c>
      <c r="P695" s="2" t="s">
        <v>1260</v>
      </c>
      <c r="Q695" s="2" t="s">
        <v>1261</v>
      </c>
      <c r="R695" s="2">
        <v>3200</v>
      </c>
      <c r="S695" s="2"/>
      <c r="T695" s="2">
        <v>187</v>
      </c>
      <c r="U695" s="39">
        <f>IF(I695="N",T695*Supuestos!$B$4,T695*Supuestos!$C$4)*100</f>
        <v>6.966170265569037</v>
      </c>
      <c r="V695" s="20">
        <f t="shared" si="54"/>
        <v>14.355089839572193</v>
      </c>
      <c r="W695" s="2">
        <f t="shared" si="52"/>
        <v>9724</v>
      </c>
      <c r="X695" s="2">
        <f t="shared" si="53"/>
        <v>362.24085380958991</v>
      </c>
    </row>
    <row r="696" spans="1:24" x14ac:dyDescent="0.25">
      <c r="A696" s="6" t="s">
        <v>30</v>
      </c>
      <c r="B696" s="6" t="s">
        <v>186</v>
      </c>
      <c r="C696" s="6" t="s">
        <v>409</v>
      </c>
      <c r="D696" s="6" t="s">
        <v>399</v>
      </c>
      <c r="E696" s="11" t="str">
        <f t="shared" si="50"/>
        <v>UTILITARIO</v>
      </c>
      <c r="F696" s="6" t="s">
        <v>23</v>
      </c>
      <c r="G696" s="11">
        <v>3200</v>
      </c>
      <c r="H696" s="6" t="s">
        <v>1052</v>
      </c>
      <c r="I696" s="6" t="str">
        <f t="shared" si="51"/>
        <v>D</v>
      </c>
      <c r="J696" s="17" t="s">
        <v>22</v>
      </c>
      <c r="K696" s="6">
        <v>200</v>
      </c>
      <c r="L696" s="9">
        <v>49</v>
      </c>
      <c r="M696" s="2">
        <v>49</v>
      </c>
      <c r="N696" s="2">
        <v>72990</v>
      </c>
      <c r="O696" s="2" t="s">
        <v>1060</v>
      </c>
      <c r="P696" s="2" t="s">
        <v>1262</v>
      </c>
      <c r="Q696" s="2" t="s">
        <v>444</v>
      </c>
      <c r="R696" s="2">
        <v>3200</v>
      </c>
      <c r="S696" s="2"/>
      <c r="T696" s="2">
        <v>237</v>
      </c>
      <c r="U696" s="39">
        <f>IF(I696="N",T696*Supuestos!$B$4,T696*Supuestos!$C$4)*100</f>
        <v>8.8287826360420407</v>
      </c>
      <c r="V696" s="20">
        <f t="shared" si="54"/>
        <v>11.326589873417722</v>
      </c>
      <c r="W696" s="2">
        <f t="shared" si="52"/>
        <v>11613</v>
      </c>
      <c r="X696" s="2">
        <f t="shared" si="53"/>
        <v>432.61034916606002</v>
      </c>
    </row>
    <row r="697" spans="1:24" x14ac:dyDescent="0.25">
      <c r="A697" s="6" t="s">
        <v>62</v>
      </c>
      <c r="B697" s="6" t="s">
        <v>295</v>
      </c>
      <c r="C697" s="6" t="s">
        <v>402</v>
      </c>
      <c r="D697" s="6" t="s">
        <v>399</v>
      </c>
      <c r="E697" s="11" t="str">
        <f t="shared" si="50"/>
        <v>UTILITARIO</v>
      </c>
      <c r="F697" s="6" t="s">
        <v>413</v>
      </c>
      <c r="G697" s="11">
        <v>1600</v>
      </c>
      <c r="H697" s="6" t="s">
        <v>1052</v>
      </c>
      <c r="I697" s="6" t="str">
        <f t="shared" si="51"/>
        <v>D</v>
      </c>
      <c r="J697" s="17" t="s">
        <v>22</v>
      </c>
      <c r="K697" s="6">
        <v>115</v>
      </c>
      <c r="L697" s="9">
        <v>48</v>
      </c>
      <c r="M697" s="2">
        <v>48</v>
      </c>
      <c r="N697" s="2">
        <v>31990</v>
      </c>
      <c r="O697" s="2" t="s">
        <v>1060</v>
      </c>
      <c r="P697" s="2" t="s">
        <v>1278</v>
      </c>
      <c r="Q697" s="2" t="s">
        <v>429</v>
      </c>
      <c r="R697" s="2">
        <v>2880</v>
      </c>
      <c r="S697" s="2"/>
      <c r="T697" s="2">
        <v>171</v>
      </c>
      <c r="U697" s="39">
        <f>IF(I697="N",T697*Supuestos!$B$4,T697*Supuestos!$C$4)*100</f>
        <v>6.3701343070176746</v>
      </c>
      <c r="V697" s="20">
        <f t="shared" si="54"/>
        <v>15.698256140350878</v>
      </c>
      <c r="W697" s="2">
        <f t="shared" si="52"/>
        <v>8208</v>
      </c>
      <c r="X697" s="2">
        <f t="shared" si="53"/>
        <v>305.76644673684837</v>
      </c>
    </row>
    <row r="698" spans="1:24" x14ac:dyDescent="0.25">
      <c r="A698" s="6" t="s">
        <v>62</v>
      </c>
      <c r="B698" s="6" t="s">
        <v>902</v>
      </c>
      <c r="C698" s="6" t="s">
        <v>66</v>
      </c>
      <c r="D698" s="6" t="s">
        <v>399</v>
      </c>
      <c r="E698" s="11" t="str">
        <f t="shared" si="50"/>
        <v>UTILITARIO</v>
      </c>
      <c r="F698" s="6" t="s">
        <v>57</v>
      </c>
      <c r="G698" s="11">
        <v>1600</v>
      </c>
      <c r="H698" s="6" t="s">
        <v>1050</v>
      </c>
      <c r="I698" s="6" t="str">
        <f t="shared" si="51"/>
        <v>N</v>
      </c>
      <c r="J698" s="17" t="s">
        <v>9</v>
      </c>
      <c r="K698" s="6">
        <v>115</v>
      </c>
      <c r="L698" s="9">
        <v>48</v>
      </c>
      <c r="M698" s="2">
        <v>48</v>
      </c>
      <c r="N698" s="2">
        <v>25790</v>
      </c>
      <c r="O698" s="2" t="s">
        <v>1055</v>
      </c>
      <c r="P698" s="2" t="s">
        <v>1249</v>
      </c>
      <c r="Q698" s="2" t="s">
        <v>429</v>
      </c>
      <c r="R698" s="2">
        <v>1660</v>
      </c>
      <c r="S698" s="2"/>
      <c r="T698" s="2">
        <v>205.58</v>
      </c>
      <c r="U698" s="39">
        <f>IF(I698="N",T698*Supuestos!$B$4,T698*Supuestos!$C$4)*100</f>
        <v>8.7972463651770436</v>
      </c>
      <c r="V698" s="20">
        <f t="shared" si="54"/>
        <v>11.3671933067419</v>
      </c>
      <c r="W698" s="2">
        <f t="shared" si="52"/>
        <v>9867.84</v>
      </c>
      <c r="X698" s="2">
        <f t="shared" si="53"/>
        <v>422.26782552849807</v>
      </c>
    </row>
    <row r="699" spans="1:24" x14ac:dyDescent="0.25">
      <c r="A699" s="6" t="s">
        <v>81</v>
      </c>
      <c r="B699" s="6" t="s">
        <v>164</v>
      </c>
      <c r="C699" s="6" t="s">
        <v>66</v>
      </c>
      <c r="D699" s="6" t="s">
        <v>399</v>
      </c>
      <c r="E699" s="11" t="str">
        <f t="shared" si="50"/>
        <v>UTILITARIO</v>
      </c>
      <c r="F699" s="6" t="s">
        <v>23</v>
      </c>
      <c r="G699" s="11">
        <v>1600</v>
      </c>
      <c r="H699" s="6" t="s">
        <v>1052</v>
      </c>
      <c r="I699" s="6" t="str">
        <f t="shared" si="51"/>
        <v>D</v>
      </c>
      <c r="J699" s="17" t="s">
        <v>22</v>
      </c>
      <c r="K699" s="6">
        <v>90</v>
      </c>
      <c r="L699" s="9">
        <v>47</v>
      </c>
      <c r="M699" s="2">
        <v>47</v>
      </c>
      <c r="N699" s="2">
        <v>22490</v>
      </c>
      <c r="O699" s="2" t="s">
        <v>1250</v>
      </c>
      <c r="P699" s="2" t="s">
        <v>1251</v>
      </c>
      <c r="Q699" s="2" t="s">
        <v>429</v>
      </c>
      <c r="R699" s="2">
        <v>2340</v>
      </c>
      <c r="S699" s="2"/>
      <c r="T699" s="2">
        <v>139</v>
      </c>
      <c r="U699" s="39">
        <f>IF(I699="N",T699*Supuestos!$B$4,T699*Supuestos!$C$4)*100</f>
        <v>5.1780623899149525</v>
      </c>
      <c r="V699" s="20">
        <f t="shared" si="54"/>
        <v>19.312243165467624</v>
      </c>
      <c r="W699" s="2">
        <f t="shared" si="52"/>
        <v>6533</v>
      </c>
      <c r="X699" s="2">
        <f t="shared" si="53"/>
        <v>243.36893232600278</v>
      </c>
    </row>
    <row r="700" spans="1:24" x14ac:dyDescent="0.25">
      <c r="A700" s="6" t="s">
        <v>81</v>
      </c>
      <c r="B700" s="6" t="s">
        <v>166</v>
      </c>
      <c r="C700" s="6" t="s">
        <v>66</v>
      </c>
      <c r="D700" s="6" t="s">
        <v>399</v>
      </c>
      <c r="E700" s="11" t="str">
        <f t="shared" si="50"/>
        <v>UTILITARIO</v>
      </c>
      <c r="F700" s="6" t="s">
        <v>57</v>
      </c>
      <c r="G700" s="11">
        <v>1600</v>
      </c>
      <c r="H700" s="6" t="s">
        <v>1052</v>
      </c>
      <c r="I700" s="6" t="str">
        <f t="shared" si="51"/>
        <v>D</v>
      </c>
      <c r="J700" s="17" t="s">
        <v>22</v>
      </c>
      <c r="K700" s="6">
        <v>90</v>
      </c>
      <c r="L700" s="9">
        <v>47</v>
      </c>
      <c r="M700" s="2">
        <v>47</v>
      </c>
      <c r="N700" s="2">
        <v>31800</v>
      </c>
      <c r="O700" s="2" t="s">
        <v>1250</v>
      </c>
      <c r="P700" s="2" t="s">
        <v>1251</v>
      </c>
      <c r="Q700" s="2" t="s">
        <v>429</v>
      </c>
      <c r="R700" s="2">
        <v>2340</v>
      </c>
      <c r="S700" s="2"/>
      <c r="T700" s="2">
        <v>139</v>
      </c>
      <c r="U700" s="39">
        <f>IF(I700="N",T700*Supuestos!$B$4,T700*Supuestos!$C$4)*100</f>
        <v>5.1780623899149525</v>
      </c>
      <c r="V700" s="20">
        <f t="shared" si="54"/>
        <v>19.312243165467624</v>
      </c>
      <c r="W700" s="2">
        <f t="shared" si="52"/>
        <v>6533</v>
      </c>
      <c r="X700" s="2">
        <f t="shared" si="53"/>
        <v>243.36893232600278</v>
      </c>
    </row>
    <row r="701" spans="1:24" x14ac:dyDescent="0.25">
      <c r="A701" s="6" t="s">
        <v>30</v>
      </c>
      <c r="B701" s="6" t="s">
        <v>192</v>
      </c>
      <c r="C701" s="6" t="s">
        <v>409</v>
      </c>
      <c r="D701" s="6" t="s">
        <v>399</v>
      </c>
      <c r="E701" s="11" t="str">
        <f t="shared" si="50"/>
        <v>UTILITARIO</v>
      </c>
      <c r="F701" s="6" t="s">
        <v>23</v>
      </c>
      <c r="G701" s="11">
        <v>2500</v>
      </c>
      <c r="H701" s="6" t="s">
        <v>1050</v>
      </c>
      <c r="I701" s="6" t="str">
        <f t="shared" si="51"/>
        <v>N</v>
      </c>
      <c r="J701" s="17" t="s">
        <v>9</v>
      </c>
      <c r="K701" s="6">
        <v>166</v>
      </c>
      <c r="L701" s="9">
        <v>47</v>
      </c>
      <c r="M701" s="2">
        <v>47</v>
      </c>
      <c r="N701" s="2">
        <v>37990</v>
      </c>
      <c r="O701" s="2" t="s">
        <v>1060</v>
      </c>
      <c r="P701" s="2" t="s">
        <v>1259</v>
      </c>
      <c r="Q701" s="2" t="s">
        <v>424</v>
      </c>
      <c r="R701" s="2">
        <v>3200</v>
      </c>
      <c r="S701" s="2"/>
      <c r="T701" s="2">
        <v>264</v>
      </c>
      <c r="U701" s="39">
        <f>IF(I701="N",T701*Supuestos!$B$4,T701*Supuestos!$C$4)*100</f>
        <v>11.297174046146218</v>
      </c>
      <c r="V701" s="20">
        <f t="shared" si="54"/>
        <v>8.8517712121212124</v>
      </c>
      <c r="W701" s="2">
        <f t="shared" si="52"/>
        <v>12408</v>
      </c>
      <c r="X701" s="2">
        <f t="shared" si="53"/>
        <v>530.96718016887223</v>
      </c>
    </row>
    <row r="702" spans="1:24" x14ac:dyDescent="0.25">
      <c r="A702" s="6" t="s">
        <v>34</v>
      </c>
      <c r="B702" s="6" t="s">
        <v>713</v>
      </c>
      <c r="C702" s="6" t="s">
        <v>402</v>
      </c>
      <c r="D702" s="6" t="s">
        <v>399</v>
      </c>
      <c r="E702" s="11" t="str">
        <f t="shared" si="50"/>
        <v>UTILITARIO</v>
      </c>
      <c r="F702" s="6" t="s">
        <v>20</v>
      </c>
      <c r="G702" s="11">
        <v>2200</v>
      </c>
      <c r="H702" s="6" t="s">
        <v>1052</v>
      </c>
      <c r="I702" s="6" t="str">
        <f t="shared" si="51"/>
        <v>D</v>
      </c>
      <c r="J702" s="17" t="s">
        <v>22</v>
      </c>
      <c r="K702" s="6">
        <v>175</v>
      </c>
      <c r="L702" s="9">
        <v>46</v>
      </c>
      <c r="M702" s="2">
        <v>46</v>
      </c>
      <c r="N702" s="2">
        <v>46900</v>
      </c>
      <c r="O702" s="2" t="s">
        <v>1053</v>
      </c>
      <c r="P702" s="2" t="s">
        <v>1280</v>
      </c>
      <c r="Q702" s="2" t="s">
        <v>429</v>
      </c>
      <c r="R702" s="2">
        <v>3080</v>
      </c>
      <c r="S702" s="2"/>
      <c r="T702" s="2">
        <v>187</v>
      </c>
      <c r="U702" s="39">
        <f>IF(I702="N",T702*Supuestos!$B$4,T702*Supuestos!$C$4)*100</f>
        <v>6.966170265569037</v>
      </c>
      <c r="V702" s="20">
        <f t="shared" si="54"/>
        <v>14.355089839572193</v>
      </c>
      <c r="W702" s="2">
        <f t="shared" si="52"/>
        <v>8602</v>
      </c>
      <c r="X702" s="2">
        <f t="shared" si="53"/>
        <v>320.44383221617568</v>
      </c>
    </row>
    <row r="703" spans="1:24" x14ac:dyDescent="0.25">
      <c r="A703" s="6" t="s">
        <v>52</v>
      </c>
      <c r="B703" s="6" t="s">
        <v>997</v>
      </c>
      <c r="C703" s="6" t="s">
        <v>409</v>
      </c>
      <c r="D703" s="6" t="s">
        <v>399</v>
      </c>
      <c r="E703" s="11" t="str">
        <f t="shared" si="50"/>
        <v>UTILITARIO</v>
      </c>
      <c r="F703" s="6" t="s">
        <v>23</v>
      </c>
      <c r="G703" s="11">
        <v>2800</v>
      </c>
      <c r="H703" s="6" t="s">
        <v>1052</v>
      </c>
      <c r="I703" s="6" t="str">
        <f t="shared" si="51"/>
        <v>D</v>
      </c>
      <c r="J703" s="17" t="s">
        <v>22</v>
      </c>
      <c r="K703" s="6">
        <v>204</v>
      </c>
      <c r="L703" s="9">
        <v>44</v>
      </c>
      <c r="M703" s="2">
        <v>44</v>
      </c>
      <c r="N703" s="2">
        <v>85990</v>
      </c>
      <c r="O703" s="2" t="s">
        <v>1053</v>
      </c>
      <c r="P703" s="2" t="s">
        <v>1269</v>
      </c>
      <c r="Q703" s="2" t="s">
        <v>1054</v>
      </c>
      <c r="R703" s="2">
        <v>3140</v>
      </c>
      <c r="S703" s="2"/>
      <c r="T703" s="2">
        <v>227</v>
      </c>
      <c r="U703" s="39">
        <f>IF(I703="N",T703*Supuestos!$B$4,T703*Supuestos!$C$4)*100</f>
        <v>8.4562601619474407</v>
      </c>
      <c r="V703" s="20">
        <f t="shared" si="54"/>
        <v>11.82555859030837</v>
      </c>
      <c r="W703" s="2">
        <f t="shared" si="52"/>
        <v>9988</v>
      </c>
      <c r="X703" s="2">
        <f t="shared" si="53"/>
        <v>372.07544712568739</v>
      </c>
    </row>
    <row r="704" spans="1:24" x14ac:dyDescent="0.25">
      <c r="A704" s="6" t="s">
        <v>19</v>
      </c>
      <c r="B704" s="6" t="s">
        <v>156</v>
      </c>
      <c r="C704" s="6" t="s">
        <v>409</v>
      </c>
      <c r="D704" s="6" t="s">
        <v>399</v>
      </c>
      <c r="E704" s="11" t="str">
        <f t="shared" si="50"/>
        <v>UTILITARIO</v>
      </c>
      <c r="F704" s="6" t="s">
        <v>21</v>
      </c>
      <c r="G704" s="11">
        <v>2800</v>
      </c>
      <c r="H704" s="6" t="s">
        <v>1052</v>
      </c>
      <c r="I704" s="6" t="str">
        <f t="shared" si="51"/>
        <v>D</v>
      </c>
      <c r="J704" s="17" t="s">
        <v>22</v>
      </c>
      <c r="K704" s="6">
        <v>200</v>
      </c>
      <c r="L704" s="9">
        <v>43</v>
      </c>
      <c r="M704" s="2">
        <v>43</v>
      </c>
      <c r="N704" s="2">
        <v>61190</v>
      </c>
      <c r="O704" s="2" t="s">
        <v>1055</v>
      </c>
      <c r="P704" s="2" t="s">
        <v>1247</v>
      </c>
      <c r="Q704" s="2" t="s">
        <v>429</v>
      </c>
      <c r="R704" s="2">
        <v>3100</v>
      </c>
      <c r="S704" s="2"/>
      <c r="T704" s="2">
        <v>230</v>
      </c>
      <c r="U704" s="39">
        <f>IF(I704="N",T704*Supuestos!$B$4,T704*Supuestos!$C$4)*100</f>
        <v>8.5680169041758205</v>
      </c>
      <c r="V704" s="20">
        <f t="shared" si="54"/>
        <v>11.671312173913043</v>
      </c>
      <c r="W704" s="2">
        <f t="shared" si="52"/>
        <v>9890</v>
      </c>
      <c r="X704" s="2">
        <f t="shared" si="53"/>
        <v>368.4247268795603</v>
      </c>
    </row>
    <row r="705" spans="1:24" x14ac:dyDescent="0.25">
      <c r="A705" s="6" t="s">
        <v>90</v>
      </c>
      <c r="B705" s="6" t="s">
        <v>880</v>
      </c>
      <c r="C705" s="6" t="s">
        <v>66</v>
      </c>
      <c r="D705" s="6" t="s">
        <v>399</v>
      </c>
      <c r="E705" s="11" t="str">
        <f t="shared" si="50"/>
        <v>UTILITARIO</v>
      </c>
      <c r="F705" s="6" t="s">
        <v>57</v>
      </c>
      <c r="G705" s="11">
        <v>1600</v>
      </c>
      <c r="H705" s="6" t="s">
        <v>1050</v>
      </c>
      <c r="I705" s="6" t="str">
        <f t="shared" si="51"/>
        <v>N</v>
      </c>
      <c r="J705" s="17" t="s">
        <v>9</v>
      </c>
      <c r="K705" s="6">
        <v>115</v>
      </c>
      <c r="L705" s="9">
        <v>43</v>
      </c>
      <c r="M705" s="22"/>
      <c r="N705" s="2"/>
      <c r="O705" s="2"/>
      <c r="P705" s="2"/>
      <c r="Q705" s="2"/>
      <c r="R705" s="2"/>
      <c r="S705" s="2"/>
      <c r="T705" s="2"/>
      <c r="U705" s="39">
        <f>IF(I705="N",T705*Supuestos!$B$4,T705*Supuestos!$C$4)*100</f>
        <v>0</v>
      </c>
      <c r="V705" s="20">
        <f t="shared" si="54"/>
        <v>0</v>
      </c>
      <c r="W705" s="2">
        <f t="shared" si="52"/>
        <v>0</v>
      </c>
      <c r="X705" s="2">
        <f t="shared" si="53"/>
        <v>0</v>
      </c>
    </row>
    <row r="706" spans="1:24" x14ac:dyDescent="0.25">
      <c r="A706" s="6" t="s">
        <v>52</v>
      </c>
      <c r="B706" s="6" t="s">
        <v>361</v>
      </c>
      <c r="C706" s="6" t="s">
        <v>409</v>
      </c>
      <c r="D706" s="6" t="s">
        <v>399</v>
      </c>
      <c r="E706" s="11" t="str">
        <f t="shared" ref="E706:E769" si="55">IF(D706="COMERCIAL","UTILITARIO",IF(C706="SUV Y CROSSOVER","SUV","AUTOMOVIL"))</f>
        <v>UTILITARIO</v>
      </c>
      <c r="F706" s="6" t="s">
        <v>23</v>
      </c>
      <c r="G706" s="11">
        <v>2400</v>
      </c>
      <c r="H706" s="6" t="s">
        <v>1052</v>
      </c>
      <c r="I706" s="6" t="str">
        <f t="shared" ref="I706:I769" si="56">IF(H706="NAFTA","N",IF(H706="DIESEL","D",IF(H706="ELÉCTRICO","E","")))</f>
        <v>D</v>
      </c>
      <c r="J706" s="17" t="s">
        <v>22</v>
      </c>
      <c r="K706" s="6">
        <v>150</v>
      </c>
      <c r="L706" s="9">
        <v>42</v>
      </c>
      <c r="M706" s="2">
        <v>42</v>
      </c>
      <c r="N706" s="2">
        <v>57490</v>
      </c>
      <c r="O706" s="2" t="s">
        <v>1053</v>
      </c>
      <c r="P706" s="2" t="s">
        <v>1267</v>
      </c>
      <c r="Q706" s="2" t="s">
        <v>1054</v>
      </c>
      <c r="R706" s="2">
        <v>2910</v>
      </c>
      <c r="S706" s="2"/>
      <c r="T706" s="2">
        <v>182</v>
      </c>
      <c r="U706" s="39">
        <f>IF(I706="N",T706*Supuestos!$B$4,T706*Supuestos!$C$4)*100</f>
        <v>6.779909028521736</v>
      </c>
      <c r="V706" s="20">
        <f t="shared" si="54"/>
        <v>14.749460439560441</v>
      </c>
      <c r="W706" s="2">
        <f t="shared" ref="W706:W769" si="57">T706*M706</f>
        <v>7644</v>
      </c>
      <c r="X706" s="2">
        <f t="shared" ref="X706:X769" si="58">+U706*M706</f>
        <v>284.7561791979129</v>
      </c>
    </row>
    <row r="707" spans="1:24" x14ac:dyDescent="0.25">
      <c r="A707" s="6" t="s">
        <v>71</v>
      </c>
      <c r="B707" s="6" t="s">
        <v>584</v>
      </c>
      <c r="C707" s="6" t="s">
        <v>406</v>
      </c>
      <c r="D707" s="6" t="s">
        <v>399</v>
      </c>
      <c r="E707" s="11" t="str">
        <f t="shared" si="55"/>
        <v>UTILITARIO</v>
      </c>
      <c r="F707" s="6" t="s">
        <v>14</v>
      </c>
      <c r="G707" s="11">
        <v>1200</v>
      </c>
      <c r="H707" s="6" t="s">
        <v>1050</v>
      </c>
      <c r="I707" s="6" t="str">
        <f t="shared" si="56"/>
        <v>N</v>
      </c>
      <c r="J707" s="17" t="s">
        <v>9</v>
      </c>
      <c r="K707" s="6">
        <v>97</v>
      </c>
      <c r="L707" s="9">
        <v>41</v>
      </c>
      <c r="M707" s="2">
        <v>41</v>
      </c>
      <c r="N707" s="2">
        <v>11990</v>
      </c>
      <c r="O707" s="2" t="s">
        <v>1053</v>
      </c>
      <c r="P707" s="2" t="s">
        <v>1284</v>
      </c>
      <c r="Q707" s="2" t="s">
        <v>428</v>
      </c>
      <c r="R707" s="2">
        <v>2210</v>
      </c>
      <c r="S707" s="2"/>
      <c r="T707" s="2">
        <v>178</v>
      </c>
      <c r="U707" s="39">
        <f>IF(I707="N",T707*Supuestos!$B$4,T707*Supuestos!$C$4)*100</f>
        <v>7.6170340159622221</v>
      </c>
      <c r="V707" s="20">
        <f t="shared" ref="V707:V770" si="59">IF(U707&gt;0,100/U707,0)</f>
        <v>13.128469662921349</v>
      </c>
      <c r="W707" s="2">
        <f t="shared" si="57"/>
        <v>7298</v>
      </c>
      <c r="X707" s="2">
        <f t="shared" si="58"/>
        <v>312.2983946544511</v>
      </c>
    </row>
    <row r="708" spans="1:24" x14ac:dyDescent="0.25">
      <c r="A708" s="6" t="s">
        <v>86</v>
      </c>
      <c r="B708" s="6" t="s">
        <v>240</v>
      </c>
      <c r="C708" s="6" t="s">
        <v>406</v>
      </c>
      <c r="D708" s="6" t="s">
        <v>399</v>
      </c>
      <c r="E708" s="11" t="str">
        <f t="shared" si="55"/>
        <v>UTILITARIO</v>
      </c>
      <c r="F708" s="6" t="s">
        <v>14</v>
      </c>
      <c r="G708" s="11">
        <v>1100</v>
      </c>
      <c r="H708" s="6" t="s">
        <v>1050</v>
      </c>
      <c r="I708" s="6" t="str">
        <f t="shared" si="56"/>
        <v>N</v>
      </c>
      <c r="J708" s="17" t="s">
        <v>9</v>
      </c>
      <c r="K708" s="6">
        <v>75</v>
      </c>
      <c r="L708" s="9">
        <v>41</v>
      </c>
      <c r="M708" s="2">
        <v>41</v>
      </c>
      <c r="N708" s="2">
        <v>11490</v>
      </c>
      <c r="O708" s="2" t="s">
        <v>1060</v>
      </c>
      <c r="P708" s="2" t="s">
        <v>1255</v>
      </c>
      <c r="Q708" s="2" t="s">
        <v>428</v>
      </c>
      <c r="R708" s="2">
        <v>1800</v>
      </c>
      <c r="S708" s="2"/>
      <c r="T708" s="2">
        <v>195</v>
      </c>
      <c r="U708" s="39">
        <f>IF(I708="N",T708*Supuestos!$B$4,T708*Supuestos!$C$4)*100</f>
        <v>8.3445035568125459</v>
      </c>
      <c r="V708" s="20">
        <f t="shared" si="59"/>
        <v>11.983936410256412</v>
      </c>
      <c r="W708" s="2">
        <f t="shared" si="57"/>
        <v>7995</v>
      </c>
      <c r="X708" s="2">
        <f t="shared" si="58"/>
        <v>342.12464582931437</v>
      </c>
    </row>
    <row r="709" spans="1:24" x14ac:dyDescent="0.25">
      <c r="A709" s="6" t="s">
        <v>62</v>
      </c>
      <c r="B709" s="6" t="s">
        <v>903</v>
      </c>
      <c r="C709" s="6" t="s">
        <v>66</v>
      </c>
      <c r="D709" s="6" t="s">
        <v>399</v>
      </c>
      <c r="E709" s="11" t="str">
        <f t="shared" si="55"/>
        <v>UTILITARIO</v>
      </c>
      <c r="F709" s="6" t="s">
        <v>57</v>
      </c>
      <c r="G709" s="11">
        <v>1600</v>
      </c>
      <c r="H709" s="6" t="s">
        <v>1052</v>
      </c>
      <c r="I709" s="6" t="str">
        <f t="shared" si="56"/>
        <v>D</v>
      </c>
      <c r="J709" s="17" t="s">
        <v>22</v>
      </c>
      <c r="K709" s="6">
        <v>92</v>
      </c>
      <c r="L709" s="9">
        <v>41</v>
      </c>
      <c r="M709" s="2">
        <v>41</v>
      </c>
      <c r="N709" s="2">
        <v>31800</v>
      </c>
      <c r="O709" s="2" t="s">
        <v>1053</v>
      </c>
      <c r="P709" s="2" t="s">
        <v>1252</v>
      </c>
      <c r="Q709" s="2" t="s">
        <v>422</v>
      </c>
      <c r="R709" s="2">
        <v>1990</v>
      </c>
      <c r="S709" s="2"/>
      <c r="T709" s="2">
        <v>153</v>
      </c>
      <c r="U709" s="39">
        <f>IF(I709="N",T709*Supuestos!$B$4,T709*Supuestos!$C$4)*100</f>
        <v>5.6995938536473938</v>
      </c>
      <c r="V709" s="20">
        <f t="shared" si="59"/>
        <v>17.545109803921569</v>
      </c>
      <c r="W709" s="2">
        <f t="shared" si="57"/>
        <v>6273</v>
      </c>
      <c r="X709" s="2">
        <f t="shared" si="58"/>
        <v>233.68334799954314</v>
      </c>
    </row>
    <row r="710" spans="1:24" x14ac:dyDescent="0.25">
      <c r="A710" s="6" t="s">
        <v>52</v>
      </c>
      <c r="B710" s="6" t="s">
        <v>350</v>
      </c>
      <c r="C710" s="6" t="s">
        <v>409</v>
      </c>
      <c r="D710" s="6" t="s">
        <v>399</v>
      </c>
      <c r="E710" s="11" t="str">
        <f t="shared" si="55"/>
        <v>UTILITARIO</v>
      </c>
      <c r="F710" s="6" t="s">
        <v>23</v>
      </c>
      <c r="G710" s="11">
        <v>2800</v>
      </c>
      <c r="H710" s="6" t="s">
        <v>1052</v>
      </c>
      <c r="I710" s="6" t="str">
        <f t="shared" si="56"/>
        <v>D</v>
      </c>
      <c r="J710" s="17" t="s">
        <v>22</v>
      </c>
      <c r="K710" s="6">
        <v>204</v>
      </c>
      <c r="L710" s="9">
        <v>41</v>
      </c>
      <c r="M710" s="2">
        <v>41</v>
      </c>
      <c r="N710" s="2">
        <v>68490</v>
      </c>
      <c r="O710" s="2" t="s">
        <v>1053</v>
      </c>
      <c r="P710" s="2" t="s">
        <v>1269</v>
      </c>
      <c r="Q710" s="2" t="s">
        <v>1054</v>
      </c>
      <c r="R710" s="2">
        <v>3140</v>
      </c>
      <c r="S710" s="2"/>
      <c r="T710" s="2">
        <v>227</v>
      </c>
      <c r="U710" s="39">
        <f>IF(I710="N",T710*Supuestos!$B$4,T710*Supuestos!$C$4)*100</f>
        <v>8.4562601619474407</v>
      </c>
      <c r="V710" s="20">
        <f t="shared" si="59"/>
        <v>11.82555859030837</v>
      </c>
      <c r="W710" s="2">
        <f t="shared" si="57"/>
        <v>9307</v>
      </c>
      <c r="X710" s="2">
        <f t="shared" si="58"/>
        <v>346.70666663984508</v>
      </c>
    </row>
    <row r="711" spans="1:24" x14ac:dyDescent="0.25">
      <c r="A711" s="6" t="s">
        <v>42</v>
      </c>
      <c r="B711" s="6" t="s">
        <v>839</v>
      </c>
      <c r="C711" s="6" t="s">
        <v>402</v>
      </c>
      <c r="D711" s="6" t="s">
        <v>399</v>
      </c>
      <c r="E711" s="11" t="str">
        <f t="shared" si="55"/>
        <v>UTILITARIO</v>
      </c>
      <c r="F711" s="6" t="s">
        <v>23</v>
      </c>
      <c r="G711" s="11">
        <v>2100</v>
      </c>
      <c r="H711" s="6" t="s">
        <v>1052</v>
      </c>
      <c r="I711" s="6" t="str">
        <f t="shared" si="56"/>
        <v>D</v>
      </c>
      <c r="J711" s="17" t="s">
        <v>22</v>
      </c>
      <c r="K711" s="6">
        <v>150</v>
      </c>
      <c r="L711" s="9">
        <v>40</v>
      </c>
      <c r="M711" s="2">
        <v>40</v>
      </c>
      <c r="N711" s="2">
        <v>60048</v>
      </c>
      <c r="O711" s="2" t="s">
        <v>1250</v>
      </c>
      <c r="P711" s="2" t="s">
        <v>1283</v>
      </c>
      <c r="Q711" s="2" t="s">
        <v>424</v>
      </c>
      <c r="R711" s="2">
        <v>3500</v>
      </c>
      <c r="S711" s="2"/>
      <c r="T711" s="2">
        <v>224.4</v>
      </c>
      <c r="U711" s="39">
        <f>IF(I711="N",T711*Supuestos!$B$4,T711*Supuestos!$C$4)*100</f>
        <v>8.3594043186828451</v>
      </c>
      <c r="V711" s="20">
        <f t="shared" si="59"/>
        <v>11.96257486631016</v>
      </c>
      <c r="W711" s="2">
        <f t="shared" si="57"/>
        <v>8976</v>
      </c>
      <c r="X711" s="2">
        <f t="shared" si="58"/>
        <v>334.37617274731383</v>
      </c>
    </row>
    <row r="712" spans="1:24" x14ac:dyDescent="0.25">
      <c r="A712" s="6" t="s">
        <v>30</v>
      </c>
      <c r="B712" s="6" t="s">
        <v>183</v>
      </c>
      <c r="C712" s="6" t="s">
        <v>409</v>
      </c>
      <c r="D712" s="6" t="s">
        <v>399</v>
      </c>
      <c r="E712" s="11" t="str">
        <f t="shared" si="55"/>
        <v>UTILITARIO</v>
      </c>
      <c r="F712" s="6" t="s">
        <v>16</v>
      </c>
      <c r="G712" s="11">
        <v>3500</v>
      </c>
      <c r="H712" s="6" t="s">
        <v>1050</v>
      </c>
      <c r="I712" s="6" t="str">
        <f t="shared" si="56"/>
        <v>N</v>
      </c>
      <c r="J712" s="17" t="s">
        <v>9</v>
      </c>
      <c r="K712" s="6">
        <v>400</v>
      </c>
      <c r="L712" s="9">
        <v>39</v>
      </c>
      <c r="M712" s="2">
        <v>39</v>
      </c>
      <c r="N712" s="2">
        <v>94900</v>
      </c>
      <c r="O712" s="2" t="s">
        <v>1060</v>
      </c>
      <c r="P712" s="2" t="s">
        <v>1285</v>
      </c>
      <c r="Q712" s="2" t="s">
        <v>1181</v>
      </c>
      <c r="R712" s="2">
        <v>3221</v>
      </c>
      <c r="S712" s="2"/>
      <c r="T712" s="2">
        <v>306</v>
      </c>
      <c r="U712" s="39">
        <f>IF(I712="N",T712*Supuestos!$B$4,T712*Supuestos!$C$4)*100</f>
        <v>13.094451735305842</v>
      </c>
      <c r="V712" s="20">
        <f t="shared" si="59"/>
        <v>7.6368222222222224</v>
      </c>
      <c r="W712" s="2">
        <f t="shared" si="57"/>
        <v>11934</v>
      </c>
      <c r="X712" s="2">
        <f t="shared" si="58"/>
        <v>510.68361767692784</v>
      </c>
    </row>
    <row r="713" spans="1:24" x14ac:dyDescent="0.25">
      <c r="A713" s="6" t="s">
        <v>71</v>
      </c>
      <c r="B713" s="6" t="s">
        <v>134</v>
      </c>
      <c r="C713" s="6" t="s">
        <v>406</v>
      </c>
      <c r="D713" s="6" t="s">
        <v>399</v>
      </c>
      <c r="E713" s="11" t="str">
        <f t="shared" si="55"/>
        <v>UTILITARIO</v>
      </c>
      <c r="F713" s="6" t="s">
        <v>14</v>
      </c>
      <c r="G713" s="11">
        <v>1200</v>
      </c>
      <c r="H713" s="6" t="s">
        <v>1050</v>
      </c>
      <c r="I713" s="6" t="str">
        <f t="shared" si="56"/>
        <v>N</v>
      </c>
      <c r="J713" s="17" t="s">
        <v>9</v>
      </c>
      <c r="K713" s="6">
        <v>97</v>
      </c>
      <c r="L713" s="9">
        <v>38</v>
      </c>
      <c r="M713" s="2">
        <v>38</v>
      </c>
      <c r="N713" s="2">
        <v>12990</v>
      </c>
      <c r="O713" s="2" t="s">
        <v>1053</v>
      </c>
      <c r="P713" s="2" t="s">
        <v>1284</v>
      </c>
      <c r="Q713" s="2" t="s">
        <v>428</v>
      </c>
      <c r="R713" s="2">
        <v>2210</v>
      </c>
      <c r="S713" s="2"/>
      <c r="T713" s="2">
        <v>178</v>
      </c>
      <c r="U713" s="39">
        <f>IF(I713="N",T713*Supuestos!$B$4,T713*Supuestos!$C$4)*100</f>
        <v>7.6170340159622221</v>
      </c>
      <c r="V713" s="20">
        <f t="shared" si="59"/>
        <v>13.128469662921349</v>
      </c>
      <c r="W713" s="2">
        <f t="shared" si="57"/>
        <v>6764</v>
      </c>
      <c r="X713" s="2">
        <f t="shared" si="58"/>
        <v>289.44729260656442</v>
      </c>
    </row>
    <row r="714" spans="1:24" x14ac:dyDescent="0.25">
      <c r="A714" s="6" t="s">
        <v>44</v>
      </c>
      <c r="B714" s="6" t="s">
        <v>259</v>
      </c>
      <c r="C714" s="6" t="s">
        <v>409</v>
      </c>
      <c r="D714" s="6" t="s">
        <v>399</v>
      </c>
      <c r="E714" s="11" t="str">
        <f t="shared" si="55"/>
        <v>UTILITARIO</v>
      </c>
      <c r="F714" s="6" t="s">
        <v>25</v>
      </c>
      <c r="G714" s="11">
        <v>2400</v>
      </c>
      <c r="H714" s="6" t="s">
        <v>1052</v>
      </c>
      <c r="I714" s="6" t="str">
        <f t="shared" si="56"/>
        <v>D</v>
      </c>
      <c r="J714" s="17" t="s">
        <v>22</v>
      </c>
      <c r="K714" s="6">
        <v>134</v>
      </c>
      <c r="L714" s="9">
        <v>38</v>
      </c>
      <c r="M714" s="2">
        <v>38</v>
      </c>
      <c r="N714" s="2">
        <v>56990</v>
      </c>
      <c r="O714" s="2" t="s">
        <v>1053</v>
      </c>
      <c r="P714" s="2" t="s">
        <v>1286</v>
      </c>
      <c r="Q714" s="2" t="s">
        <v>429</v>
      </c>
      <c r="R714" s="2">
        <v>3000</v>
      </c>
      <c r="S714" s="2"/>
      <c r="T714" s="2">
        <v>196</v>
      </c>
      <c r="U714" s="39">
        <f>IF(I714="N",T714*Supuestos!$B$4,T714*Supuestos!$C$4)*100</f>
        <v>7.3014404922541774</v>
      </c>
      <c r="V714" s="20">
        <f t="shared" si="59"/>
        <v>13.695927551020409</v>
      </c>
      <c r="W714" s="2">
        <f t="shared" si="57"/>
        <v>7448</v>
      </c>
      <c r="X714" s="2">
        <f t="shared" si="58"/>
        <v>277.45473870565871</v>
      </c>
    </row>
    <row r="715" spans="1:24" x14ac:dyDescent="0.25">
      <c r="A715" s="6" t="s">
        <v>46</v>
      </c>
      <c r="B715" s="6" t="s">
        <v>267</v>
      </c>
      <c r="C715" s="6" t="s">
        <v>409</v>
      </c>
      <c r="D715" s="6" t="s">
        <v>399</v>
      </c>
      <c r="E715" s="11" t="str">
        <f t="shared" si="55"/>
        <v>UTILITARIO</v>
      </c>
      <c r="F715" s="6" t="s">
        <v>24</v>
      </c>
      <c r="G715" s="11">
        <v>2500</v>
      </c>
      <c r="H715" s="6" t="s">
        <v>1052</v>
      </c>
      <c r="I715" s="6" t="str">
        <f t="shared" si="56"/>
        <v>D</v>
      </c>
      <c r="J715" s="17" t="s">
        <v>22</v>
      </c>
      <c r="K715" s="6">
        <v>187</v>
      </c>
      <c r="L715" s="9">
        <v>38</v>
      </c>
      <c r="M715" s="2">
        <v>38</v>
      </c>
      <c r="N715" s="2">
        <v>69538</v>
      </c>
      <c r="O715" s="2" t="s">
        <v>1053</v>
      </c>
      <c r="P715" s="2" t="s">
        <v>1238</v>
      </c>
      <c r="Q715" s="2" t="s">
        <v>428</v>
      </c>
      <c r="R715" s="2">
        <v>3020</v>
      </c>
      <c r="S715" s="2"/>
      <c r="T715" s="2">
        <v>221</v>
      </c>
      <c r="U715" s="39">
        <f>IF(I715="N",T715*Supuestos!$B$4,T715*Supuestos!$C$4)*100</f>
        <v>8.2327466774906792</v>
      </c>
      <c r="V715" s="20">
        <f t="shared" si="59"/>
        <v>12.146614479638009</v>
      </c>
      <c r="W715" s="2">
        <f t="shared" si="57"/>
        <v>8398</v>
      </c>
      <c r="X715" s="2">
        <f t="shared" si="58"/>
        <v>312.84437374464579</v>
      </c>
    </row>
    <row r="716" spans="1:24" x14ac:dyDescent="0.25">
      <c r="A716" s="6" t="s">
        <v>480</v>
      </c>
      <c r="B716" s="6" t="s">
        <v>801</v>
      </c>
      <c r="C716" s="6" t="s">
        <v>402</v>
      </c>
      <c r="D716" s="6" t="s">
        <v>399</v>
      </c>
      <c r="E716" s="11" t="str">
        <f t="shared" si="55"/>
        <v>UTILITARIO</v>
      </c>
      <c r="F716" s="6" t="s">
        <v>14</v>
      </c>
      <c r="G716" s="11"/>
      <c r="H716" s="6" t="s">
        <v>1051</v>
      </c>
      <c r="I716" s="6" t="str">
        <f t="shared" si="56"/>
        <v>E</v>
      </c>
      <c r="J716" s="17" t="s">
        <v>418</v>
      </c>
      <c r="K716" s="6">
        <v>121</v>
      </c>
      <c r="L716" s="9">
        <v>36</v>
      </c>
      <c r="M716" s="21">
        <v>36</v>
      </c>
      <c r="N716" s="2">
        <v>51228</v>
      </c>
      <c r="O716" s="2" t="s">
        <v>1060</v>
      </c>
      <c r="P716" s="2" t="s">
        <v>1375</v>
      </c>
      <c r="Q716" s="2"/>
      <c r="R716" s="2">
        <v>2310</v>
      </c>
      <c r="S716" s="2">
        <v>4.3</v>
      </c>
      <c r="T716" s="2"/>
      <c r="U716" s="39">
        <f>IF(I716="N",T716*Supuestos!$B$4,T716*Supuestos!$C$4)*100</f>
        <v>0</v>
      </c>
      <c r="V716" s="20">
        <f t="shared" si="59"/>
        <v>0</v>
      </c>
      <c r="W716" s="2">
        <f t="shared" si="57"/>
        <v>0</v>
      </c>
      <c r="X716" s="2">
        <f t="shared" si="58"/>
        <v>0</v>
      </c>
    </row>
    <row r="717" spans="1:24" x14ac:dyDescent="0.25">
      <c r="A717" s="6" t="s">
        <v>46</v>
      </c>
      <c r="B717" s="6" t="s">
        <v>265</v>
      </c>
      <c r="C717" s="6" t="s">
        <v>409</v>
      </c>
      <c r="D717" s="6" t="s">
        <v>399</v>
      </c>
      <c r="E717" s="11" t="str">
        <f t="shared" si="55"/>
        <v>UTILITARIO</v>
      </c>
      <c r="F717" s="6" t="s">
        <v>24</v>
      </c>
      <c r="G717" s="11">
        <v>2500</v>
      </c>
      <c r="H717" s="6" t="s">
        <v>1052</v>
      </c>
      <c r="I717" s="6" t="str">
        <f t="shared" si="56"/>
        <v>D</v>
      </c>
      <c r="J717" s="17" t="s">
        <v>22</v>
      </c>
      <c r="K717" s="6">
        <v>187</v>
      </c>
      <c r="L717" s="9">
        <v>36</v>
      </c>
      <c r="M717" s="2">
        <v>36</v>
      </c>
      <c r="N717" s="2">
        <v>66478</v>
      </c>
      <c r="O717" s="2" t="s">
        <v>1053</v>
      </c>
      <c r="P717" s="2" t="s">
        <v>1238</v>
      </c>
      <c r="Q717" s="2" t="s">
        <v>428</v>
      </c>
      <c r="R717" s="2">
        <v>3020</v>
      </c>
      <c r="S717" s="2"/>
      <c r="T717" s="2">
        <v>221</v>
      </c>
      <c r="U717" s="39">
        <f>IF(I717="N",T717*Supuestos!$B$4,T717*Supuestos!$C$4)*100</f>
        <v>8.2327466774906792</v>
      </c>
      <c r="V717" s="20">
        <f t="shared" si="59"/>
        <v>12.146614479638009</v>
      </c>
      <c r="W717" s="2">
        <f t="shared" si="57"/>
        <v>7956</v>
      </c>
      <c r="X717" s="2">
        <f t="shared" si="58"/>
        <v>296.37888038966446</v>
      </c>
    </row>
    <row r="718" spans="1:24" x14ac:dyDescent="0.25">
      <c r="A718" s="6" t="s">
        <v>30</v>
      </c>
      <c r="B718" s="6" t="s">
        <v>669</v>
      </c>
      <c r="C718" s="6" t="s">
        <v>409</v>
      </c>
      <c r="D718" s="6" t="s">
        <v>399</v>
      </c>
      <c r="E718" s="11" t="str">
        <f t="shared" si="55"/>
        <v>UTILITARIO</v>
      </c>
      <c r="F718" s="6"/>
      <c r="G718" s="11">
        <v>3000</v>
      </c>
      <c r="H718" s="6" t="s">
        <v>1052</v>
      </c>
      <c r="I718" s="6" t="str">
        <f t="shared" si="56"/>
        <v>D</v>
      </c>
      <c r="J718" s="17" t="s">
        <v>22</v>
      </c>
      <c r="K718" s="6">
        <v>250</v>
      </c>
      <c r="L718" s="9">
        <v>34</v>
      </c>
      <c r="M718" s="2">
        <v>34</v>
      </c>
      <c r="N718" s="2">
        <v>82900</v>
      </c>
      <c r="O718" s="2" t="s">
        <v>1240</v>
      </c>
      <c r="P718" s="2" t="s">
        <v>1258</v>
      </c>
      <c r="Q718" s="2" t="s">
        <v>1054</v>
      </c>
      <c r="R718" s="2">
        <v>3280</v>
      </c>
      <c r="S718" s="2"/>
      <c r="T718" s="2">
        <v>232</v>
      </c>
      <c r="U718" s="39">
        <f>IF(I718="N",T718*Supuestos!$B$4,T718*Supuestos!$C$4)*100</f>
        <v>8.6425213989947398</v>
      </c>
      <c r="V718" s="20">
        <f t="shared" si="59"/>
        <v>11.570697413793104</v>
      </c>
      <c r="W718" s="2">
        <f t="shared" si="57"/>
        <v>7888</v>
      </c>
      <c r="X718" s="2">
        <f t="shared" si="58"/>
        <v>293.84572756582116</v>
      </c>
    </row>
    <row r="719" spans="1:24" x14ac:dyDescent="0.25">
      <c r="A719" s="6" t="s">
        <v>71</v>
      </c>
      <c r="B719" s="6" t="s">
        <v>133</v>
      </c>
      <c r="C719" s="6" t="s">
        <v>406</v>
      </c>
      <c r="D719" s="6" t="s">
        <v>399</v>
      </c>
      <c r="E719" s="11" t="str">
        <f t="shared" si="55"/>
        <v>UTILITARIO</v>
      </c>
      <c r="F719" s="6" t="s">
        <v>14</v>
      </c>
      <c r="G719" s="11">
        <v>1200</v>
      </c>
      <c r="H719" s="6" t="s">
        <v>1050</v>
      </c>
      <c r="I719" s="6" t="str">
        <f t="shared" si="56"/>
        <v>N</v>
      </c>
      <c r="J719" s="17" t="s">
        <v>9</v>
      </c>
      <c r="K719" s="6">
        <v>97</v>
      </c>
      <c r="L719" s="9">
        <v>33</v>
      </c>
      <c r="M719" s="2">
        <v>33</v>
      </c>
      <c r="N719" s="2">
        <v>14490</v>
      </c>
      <c r="O719" s="2" t="s">
        <v>1053</v>
      </c>
      <c r="P719" s="2" t="s">
        <v>1284</v>
      </c>
      <c r="Q719" s="2" t="s">
        <v>428</v>
      </c>
      <c r="R719" s="2">
        <v>2135</v>
      </c>
      <c r="S719" s="2"/>
      <c r="T719" s="2">
        <v>178</v>
      </c>
      <c r="U719" s="39">
        <f>IF(I719="N",T719*Supuestos!$B$4,T719*Supuestos!$C$4)*100</f>
        <v>7.6170340159622221</v>
      </c>
      <c r="V719" s="20">
        <f t="shared" si="59"/>
        <v>13.128469662921349</v>
      </c>
      <c r="W719" s="2">
        <f t="shared" si="57"/>
        <v>5874</v>
      </c>
      <c r="X719" s="2">
        <f t="shared" si="58"/>
        <v>251.36212252675332</v>
      </c>
    </row>
    <row r="720" spans="1:24" x14ac:dyDescent="0.25">
      <c r="A720" s="6" t="s">
        <v>27</v>
      </c>
      <c r="B720" s="6" t="s">
        <v>174</v>
      </c>
      <c r="C720" s="6" t="s">
        <v>66</v>
      </c>
      <c r="D720" s="6" t="s">
        <v>399</v>
      </c>
      <c r="E720" s="11" t="str">
        <f t="shared" si="55"/>
        <v>UTILITARIO</v>
      </c>
      <c r="F720" s="6" t="s">
        <v>14</v>
      </c>
      <c r="G720" s="11">
        <v>1500</v>
      </c>
      <c r="H720" s="6" t="s">
        <v>1050</v>
      </c>
      <c r="I720" s="6" t="str">
        <f t="shared" si="56"/>
        <v>N</v>
      </c>
      <c r="J720" s="17" t="s">
        <v>9</v>
      </c>
      <c r="K720" s="6">
        <v>71</v>
      </c>
      <c r="L720" s="9">
        <v>32</v>
      </c>
      <c r="M720" s="2">
        <v>32</v>
      </c>
      <c r="N720" s="2">
        <v>16990</v>
      </c>
      <c r="O720" s="2" t="s">
        <v>1053</v>
      </c>
      <c r="P720" s="2" t="s">
        <v>1290</v>
      </c>
      <c r="Q720" s="2" t="s">
        <v>428</v>
      </c>
      <c r="R720" s="2">
        <v>2145</v>
      </c>
      <c r="S720" s="2"/>
      <c r="T720" s="2">
        <v>187</v>
      </c>
      <c r="U720" s="39">
        <f>IF(I720="N",T720*Supuestos!$B$4,T720*Supuestos!$C$4)*100</f>
        <v>8.0021649493535705</v>
      </c>
      <c r="V720" s="20">
        <f t="shared" si="59"/>
        <v>12.496618181818182</v>
      </c>
      <c r="W720" s="2">
        <f t="shared" si="57"/>
        <v>5984</v>
      </c>
      <c r="X720" s="2">
        <f t="shared" si="58"/>
        <v>256.06927837931426</v>
      </c>
    </row>
    <row r="721" spans="1:24" x14ac:dyDescent="0.25">
      <c r="A721" s="6" t="s">
        <v>30</v>
      </c>
      <c r="B721" s="6" t="s">
        <v>190</v>
      </c>
      <c r="C721" s="6" t="s">
        <v>409</v>
      </c>
      <c r="D721" s="6" t="s">
        <v>399</v>
      </c>
      <c r="E721" s="11" t="str">
        <f t="shared" si="55"/>
        <v>UTILITARIO</v>
      </c>
      <c r="F721" s="6" t="s">
        <v>23</v>
      </c>
      <c r="G721" s="11">
        <v>3200</v>
      </c>
      <c r="H721" s="6" t="s">
        <v>1052</v>
      </c>
      <c r="I721" s="6" t="str">
        <f t="shared" si="56"/>
        <v>D</v>
      </c>
      <c r="J721" s="17" t="s">
        <v>22</v>
      </c>
      <c r="K721" s="6">
        <v>200</v>
      </c>
      <c r="L721" s="9">
        <v>32</v>
      </c>
      <c r="M721" s="2">
        <v>32</v>
      </c>
      <c r="N721" s="2">
        <v>55490</v>
      </c>
      <c r="O721" s="2" t="s">
        <v>1060</v>
      </c>
      <c r="P721" s="2" t="s">
        <v>1263</v>
      </c>
      <c r="Q721" s="2" t="s">
        <v>429</v>
      </c>
      <c r="R721" s="2">
        <v>3200</v>
      </c>
      <c r="S721" s="2"/>
      <c r="T721" s="2">
        <v>212</v>
      </c>
      <c r="U721" s="39">
        <f>IF(I721="N",T721*Supuestos!$B$4,T721*Supuestos!$C$4)*100</f>
        <v>7.8974764508055388</v>
      </c>
      <c r="V721" s="20">
        <f t="shared" si="59"/>
        <v>12.662272641509434</v>
      </c>
      <c r="W721" s="2">
        <f t="shared" si="57"/>
        <v>6784</v>
      </c>
      <c r="X721" s="2">
        <f t="shared" si="58"/>
        <v>252.71924642577724</v>
      </c>
    </row>
    <row r="722" spans="1:24" x14ac:dyDescent="0.25">
      <c r="A722" s="6" t="s">
        <v>19</v>
      </c>
      <c r="B722" s="6" t="s">
        <v>152</v>
      </c>
      <c r="C722" s="6" t="s">
        <v>409</v>
      </c>
      <c r="D722" s="6" t="s">
        <v>399</v>
      </c>
      <c r="E722" s="11" t="str">
        <f t="shared" si="55"/>
        <v>UTILITARIO</v>
      </c>
      <c r="F722" s="6" t="s">
        <v>21</v>
      </c>
      <c r="G722" s="11">
        <v>2800</v>
      </c>
      <c r="H722" s="6" t="s">
        <v>1052</v>
      </c>
      <c r="I722" s="6" t="str">
        <f t="shared" si="56"/>
        <v>D</v>
      </c>
      <c r="J722" s="17" t="s">
        <v>22</v>
      </c>
      <c r="K722" s="6">
        <v>200</v>
      </c>
      <c r="L722" s="9">
        <v>31</v>
      </c>
      <c r="M722" s="2">
        <v>31</v>
      </c>
      <c r="N722" s="2">
        <v>65690</v>
      </c>
      <c r="O722" s="2" t="s">
        <v>1055</v>
      </c>
      <c r="P722" s="2" t="s">
        <v>1247</v>
      </c>
      <c r="Q722" s="2" t="s">
        <v>429</v>
      </c>
      <c r="R722" s="2">
        <v>3100</v>
      </c>
      <c r="S722" s="2"/>
      <c r="T722" s="2">
        <v>230</v>
      </c>
      <c r="U722" s="39">
        <f>IF(I722="N",T722*Supuestos!$B$4,T722*Supuestos!$C$4)*100</f>
        <v>8.5680169041758205</v>
      </c>
      <c r="V722" s="20">
        <f t="shared" si="59"/>
        <v>11.671312173913043</v>
      </c>
      <c r="W722" s="2">
        <f t="shared" si="57"/>
        <v>7130</v>
      </c>
      <c r="X722" s="2">
        <f t="shared" si="58"/>
        <v>265.60852402945045</v>
      </c>
    </row>
    <row r="723" spans="1:24" x14ac:dyDescent="0.25">
      <c r="A723" s="6" t="s">
        <v>81</v>
      </c>
      <c r="B723" s="6" t="s">
        <v>165</v>
      </c>
      <c r="C723" s="6" t="s">
        <v>66</v>
      </c>
      <c r="D723" s="6" t="s">
        <v>399</v>
      </c>
      <c r="E723" s="11" t="str">
        <f t="shared" si="55"/>
        <v>UTILITARIO</v>
      </c>
      <c r="F723" s="6" t="s">
        <v>57</v>
      </c>
      <c r="G723" s="11">
        <v>1600</v>
      </c>
      <c r="H723" s="6" t="s">
        <v>1052</v>
      </c>
      <c r="I723" s="6" t="str">
        <f t="shared" si="56"/>
        <v>D</v>
      </c>
      <c r="J723" s="17" t="s">
        <v>22</v>
      </c>
      <c r="K723" s="6">
        <v>90</v>
      </c>
      <c r="L723" s="9">
        <v>31</v>
      </c>
      <c r="M723" s="2">
        <v>31</v>
      </c>
      <c r="N723" s="2">
        <v>32300</v>
      </c>
      <c r="O723" s="2" t="s">
        <v>1250</v>
      </c>
      <c r="P723" s="2" t="s">
        <v>1251</v>
      </c>
      <c r="Q723" s="2" t="s">
        <v>429</v>
      </c>
      <c r="R723" s="2">
        <v>2340</v>
      </c>
      <c r="S723" s="2"/>
      <c r="T723" s="2">
        <v>139</v>
      </c>
      <c r="U723" s="39">
        <f>IF(I723="N",T723*Supuestos!$B$4,T723*Supuestos!$C$4)*100</f>
        <v>5.1780623899149525</v>
      </c>
      <c r="V723" s="20">
        <f t="shared" si="59"/>
        <v>19.312243165467624</v>
      </c>
      <c r="W723" s="2">
        <f t="shared" si="57"/>
        <v>4309</v>
      </c>
      <c r="X723" s="2">
        <f t="shared" si="58"/>
        <v>160.51993408736354</v>
      </c>
    </row>
    <row r="724" spans="1:24" x14ac:dyDescent="0.25">
      <c r="A724" s="6" t="s">
        <v>44</v>
      </c>
      <c r="B724" s="6" t="s">
        <v>261</v>
      </c>
      <c r="C724" s="6" t="s">
        <v>409</v>
      </c>
      <c r="D724" s="6" t="s">
        <v>399</v>
      </c>
      <c r="E724" s="11" t="str">
        <f t="shared" si="55"/>
        <v>UTILITARIO</v>
      </c>
      <c r="F724" s="6" t="s">
        <v>25</v>
      </c>
      <c r="G724" s="11">
        <v>2400</v>
      </c>
      <c r="H724" s="6" t="s">
        <v>1050</v>
      </c>
      <c r="I724" s="6" t="str">
        <f t="shared" si="56"/>
        <v>N</v>
      </c>
      <c r="J724" s="17" t="s">
        <v>9</v>
      </c>
      <c r="K724" s="6">
        <v>130</v>
      </c>
      <c r="L724" s="9">
        <v>31</v>
      </c>
      <c r="M724" s="2">
        <v>31</v>
      </c>
      <c r="N724" s="2">
        <v>38990</v>
      </c>
      <c r="O724" s="2" t="s">
        <v>1053</v>
      </c>
      <c r="P724" s="2" t="s">
        <v>1289</v>
      </c>
      <c r="Q724" s="2" t="s">
        <v>429</v>
      </c>
      <c r="R724" s="2">
        <v>2700</v>
      </c>
      <c r="S724" s="2"/>
      <c r="T724" s="2">
        <v>264</v>
      </c>
      <c r="U724" s="39">
        <f>IF(I724="N",T724*Supuestos!$B$4,T724*Supuestos!$C$4)*100</f>
        <v>11.297174046146218</v>
      </c>
      <c r="V724" s="20">
        <f t="shared" si="59"/>
        <v>8.8517712121212124</v>
      </c>
      <c r="W724" s="2">
        <f t="shared" si="57"/>
        <v>8184</v>
      </c>
      <c r="X724" s="2">
        <f t="shared" si="58"/>
        <v>350.21239543053275</v>
      </c>
    </row>
    <row r="725" spans="1:24" x14ac:dyDescent="0.25">
      <c r="A725" s="6" t="s">
        <v>29</v>
      </c>
      <c r="B725" s="6" t="s">
        <v>659</v>
      </c>
      <c r="C725" s="6" t="s">
        <v>409</v>
      </c>
      <c r="D725" s="6" t="s">
        <v>399</v>
      </c>
      <c r="E725" s="11" t="str">
        <f t="shared" si="55"/>
        <v>UTILITARIO</v>
      </c>
      <c r="F725" s="6" t="s">
        <v>21</v>
      </c>
      <c r="G725" s="11">
        <v>1800</v>
      </c>
      <c r="H725" s="6" t="s">
        <v>1050</v>
      </c>
      <c r="I725" s="6" t="str">
        <f t="shared" si="56"/>
        <v>N</v>
      </c>
      <c r="J725" s="17" t="s">
        <v>9</v>
      </c>
      <c r="K725" s="6">
        <v>130</v>
      </c>
      <c r="L725" s="9">
        <v>30</v>
      </c>
      <c r="M725" s="2">
        <v>30</v>
      </c>
      <c r="N725" s="2">
        <v>29890</v>
      </c>
      <c r="O725" s="2" t="s">
        <v>1240</v>
      </c>
      <c r="P725" s="2" t="s">
        <v>1245</v>
      </c>
      <c r="Q725" s="2" t="s">
        <v>429</v>
      </c>
      <c r="R725" s="2">
        <v>2338</v>
      </c>
      <c r="S725" s="2"/>
      <c r="T725" s="2">
        <v>195</v>
      </c>
      <c r="U725" s="39">
        <f>IF(I725="N",T725*Supuestos!$B$4,T725*Supuestos!$C$4)*100</f>
        <v>8.3445035568125459</v>
      </c>
      <c r="V725" s="20">
        <f t="shared" si="59"/>
        <v>11.983936410256412</v>
      </c>
      <c r="W725" s="2">
        <f t="shared" si="57"/>
        <v>5850</v>
      </c>
      <c r="X725" s="2">
        <f t="shared" si="58"/>
        <v>250.33510670437639</v>
      </c>
    </row>
    <row r="726" spans="1:24" x14ac:dyDescent="0.25">
      <c r="A726" s="6" t="s">
        <v>36</v>
      </c>
      <c r="B726" s="6" t="s">
        <v>228</v>
      </c>
      <c r="C726" s="6" t="s">
        <v>402</v>
      </c>
      <c r="D726" s="6" t="s">
        <v>399</v>
      </c>
      <c r="E726" s="11" t="str">
        <f t="shared" si="55"/>
        <v>UTILITARIO</v>
      </c>
      <c r="F726" s="6" t="s">
        <v>14</v>
      </c>
      <c r="G726" s="11">
        <v>2800</v>
      </c>
      <c r="H726" s="6" t="s">
        <v>1052</v>
      </c>
      <c r="I726" s="6" t="str">
        <f t="shared" si="56"/>
        <v>D</v>
      </c>
      <c r="J726" s="17" t="s">
        <v>22</v>
      </c>
      <c r="K726" s="6">
        <v>88</v>
      </c>
      <c r="L726" s="9">
        <v>30</v>
      </c>
      <c r="M726" s="22"/>
      <c r="N726" s="2"/>
      <c r="O726" s="2"/>
      <c r="P726" s="2"/>
      <c r="Q726" s="2"/>
      <c r="R726" s="2"/>
      <c r="S726" s="2"/>
      <c r="T726" s="2"/>
      <c r="U726" s="39">
        <f>IF(I726="N",T726*Supuestos!$B$4,T726*Supuestos!$C$4)*100</f>
        <v>0</v>
      </c>
      <c r="V726" s="20">
        <f t="shared" si="59"/>
        <v>0</v>
      </c>
      <c r="W726" s="2">
        <f t="shared" si="57"/>
        <v>0</v>
      </c>
      <c r="X726" s="2">
        <f t="shared" si="58"/>
        <v>0</v>
      </c>
    </row>
    <row r="727" spans="1:24" x14ac:dyDescent="0.25">
      <c r="A727" s="6" t="s">
        <v>44</v>
      </c>
      <c r="B727" s="6" t="s">
        <v>260</v>
      </c>
      <c r="C727" s="6" t="s">
        <v>409</v>
      </c>
      <c r="D727" s="6" t="s">
        <v>399</v>
      </c>
      <c r="E727" s="11" t="str">
        <f t="shared" si="55"/>
        <v>UTILITARIO</v>
      </c>
      <c r="F727" s="6" t="s">
        <v>25</v>
      </c>
      <c r="G727" s="11">
        <v>2400</v>
      </c>
      <c r="H727" s="6" t="s">
        <v>1052</v>
      </c>
      <c r="I727" s="6" t="str">
        <f t="shared" si="56"/>
        <v>D</v>
      </c>
      <c r="J727" s="17" t="s">
        <v>22</v>
      </c>
      <c r="K727" s="6">
        <v>134</v>
      </c>
      <c r="L727" s="9">
        <v>30</v>
      </c>
      <c r="M727" s="2">
        <v>30</v>
      </c>
      <c r="N727" s="2">
        <v>66990</v>
      </c>
      <c r="O727" s="2" t="s">
        <v>1053</v>
      </c>
      <c r="P727" s="2" t="s">
        <v>1287</v>
      </c>
      <c r="Q727" s="2" t="s">
        <v>429</v>
      </c>
      <c r="R727" s="2">
        <v>3000</v>
      </c>
      <c r="S727" s="2"/>
      <c r="T727" s="2">
        <v>204</v>
      </c>
      <c r="U727" s="39">
        <f>IF(I727="N",T727*Supuestos!$B$4,T727*Supuestos!$C$4)*100</f>
        <v>7.599458471529859</v>
      </c>
      <c r="V727" s="20">
        <f t="shared" si="59"/>
        <v>13.158832352941175</v>
      </c>
      <c r="W727" s="2">
        <f t="shared" si="57"/>
        <v>6120</v>
      </c>
      <c r="X727" s="2">
        <f t="shared" si="58"/>
        <v>227.98375414589577</v>
      </c>
    </row>
    <row r="728" spans="1:24" x14ac:dyDescent="0.25">
      <c r="A728" s="6" t="s">
        <v>46</v>
      </c>
      <c r="B728" s="6" t="s">
        <v>272</v>
      </c>
      <c r="C728" s="6" t="s">
        <v>409</v>
      </c>
      <c r="D728" s="6" t="s">
        <v>399</v>
      </c>
      <c r="E728" s="11" t="str">
        <f t="shared" si="55"/>
        <v>UTILITARIO</v>
      </c>
      <c r="F728" s="6" t="s">
        <v>24</v>
      </c>
      <c r="G728" s="11">
        <v>2500</v>
      </c>
      <c r="H728" s="6" t="s">
        <v>1050</v>
      </c>
      <c r="I728" s="6" t="str">
        <f t="shared" si="56"/>
        <v>N</v>
      </c>
      <c r="J728" s="17" t="s">
        <v>9</v>
      </c>
      <c r="K728" s="6">
        <v>158</v>
      </c>
      <c r="L728" s="9">
        <v>30</v>
      </c>
      <c r="M728" s="2">
        <v>30</v>
      </c>
      <c r="N728" s="2">
        <v>26828</v>
      </c>
      <c r="O728" s="2" t="s">
        <v>1240</v>
      </c>
      <c r="P728" s="2" t="s">
        <v>1241</v>
      </c>
      <c r="Q728" s="2" t="s">
        <v>1080</v>
      </c>
      <c r="R728" s="2">
        <v>2550</v>
      </c>
      <c r="S728" s="2"/>
      <c r="T728" s="2">
        <v>271</v>
      </c>
      <c r="U728" s="39">
        <f>IF(I728="N",T728*Supuestos!$B$4,T728*Supuestos!$C$4)*100</f>
        <v>11.596720327672822</v>
      </c>
      <c r="V728" s="20">
        <f t="shared" si="59"/>
        <v>8.6231276752767521</v>
      </c>
      <c r="W728" s="2">
        <f t="shared" si="57"/>
        <v>8130</v>
      </c>
      <c r="X728" s="2">
        <f t="shared" si="58"/>
        <v>347.90160983018467</v>
      </c>
    </row>
    <row r="729" spans="1:24" x14ac:dyDescent="0.25">
      <c r="A729" s="6" t="s">
        <v>67</v>
      </c>
      <c r="B729" s="6" t="s">
        <v>204</v>
      </c>
      <c r="C729" s="6" t="s">
        <v>409</v>
      </c>
      <c r="D729" s="6" t="s">
        <v>399</v>
      </c>
      <c r="E729" s="11" t="str">
        <f t="shared" si="55"/>
        <v>UTILITARIO</v>
      </c>
      <c r="F729" s="6" t="s">
        <v>14</v>
      </c>
      <c r="G729" s="11">
        <v>2000</v>
      </c>
      <c r="H729" s="6" t="s">
        <v>1052</v>
      </c>
      <c r="I729" s="6" t="str">
        <f t="shared" si="56"/>
        <v>D</v>
      </c>
      <c r="J729" s="17" t="s">
        <v>22</v>
      </c>
      <c r="K729" s="6">
        <v>140</v>
      </c>
      <c r="L729" s="9">
        <v>29</v>
      </c>
      <c r="M729" s="2">
        <v>29</v>
      </c>
      <c r="N729" s="2">
        <v>38990</v>
      </c>
      <c r="O729" s="2" t="s">
        <v>1053</v>
      </c>
      <c r="P729" s="2" t="s">
        <v>1264</v>
      </c>
      <c r="Q729" s="2" t="s">
        <v>1054</v>
      </c>
      <c r="R729" s="2">
        <v>3000</v>
      </c>
      <c r="S729" s="2"/>
      <c r="T729" s="2">
        <v>221</v>
      </c>
      <c r="U729" s="39">
        <f>IF(I729="N",T729*Supuestos!$B$4,T729*Supuestos!$C$4)*100</f>
        <v>8.2327466774906792</v>
      </c>
      <c r="V729" s="20">
        <f t="shared" si="59"/>
        <v>12.146614479638009</v>
      </c>
      <c r="W729" s="2">
        <f t="shared" si="57"/>
        <v>6409</v>
      </c>
      <c r="X729" s="2">
        <f t="shared" si="58"/>
        <v>238.74965364722971</v>
      </c>
    </row>
    <row r="730" spans="1:24" x14ac:dyDescent="0.25">
      <c r="A730" s="6" t="s">
        <v>34</v>
      </c>
      <c r="B730" s="6" t="s">
        <v>712</v>
      </c>
      <c r="C730" s="6" t="s">
        <v>402</v>
      </c>
      <c r="D730" s="6" t="s">
        <v>399</v>
      </c>
      <c r="E730" s="11" t="str">
        <f t="shared" si="55"/>
        <v>UTILITARIO</v>
      </c>
      <c r="F730" s="6" t="s">
        <v>20</v>
      </c>
      <c r="G730" s="11">
        <v>2200</v>
      </c>
      <c r="H730" s="6" t="s">
        <v>1052</v>
      </c>
      <c r="I730" s="6" t="str">
        <f t="shared" si="56"/>
        <v>D</v>
      </c>
      <c r="J730" s="17" t="s">
        <v>22</v>
      </c>
      <c r="K730" s="6">
        <v>175</v>
      </c>
      <c r="L730" s="9">
        <v>29</v>
      </c>
      <c r="M730" s="2">
        <v>29</v>
      </c>
      <c r="N730" s="2">
        <v>39990</v>
      </c>
      <c r="O730" s="2" t="s">
        <v>1053</v>
      </c>
      <c r="P730" s="2" t="s">
        <v>1280</v>
      </c>
      <c r="Q730" s="2" t="s">
        <v>429</v>
      </c>
      <c r="R730" s="2">
        <v>3080</v>
      </c>
      <c r="S730" s="2"/>
      <c r="T730" s="2">
        <v>187</v>
      </c>
      <c r="U730" s="39">
        <f>IF(I730="N",T730*Supuestos!$B$4,T730*Supuestos!$C$4)*100</f>
        <v>6.966170265569037</v>
      </c>
      <c r="V730" s="20">
        <f t="shared" si="59"/>
        <v>14.355089839572193</v>
      </c>
      <c r="W730" s="2">
        <f t="shared" si="57"/>
        <v>5423</v>
      </c>
      <c r="X730" s="2">
        <f t="shared" si="58"/>
        <v>202.01893770150207</v>
      </c>
    </row>
    <row r="731" spans="1:24" x14ac:dyDescent="0.25">
      <c r="A731" s="6" t="s">
        <v>62</v>
      </c>
      <c r="B731" s="6" t="s">
        <v>888</v>
      </c>
      <c r="C731" s="6" t="s">
        <v>402</v>
      </c>
      <c r="D731" s="6" t="s">
        <v>399</v>
      </c>
      <c r="E731" s="11" t="str">
        <f t="shared" si="55"/>
        <v>UTILITARIO</v>
      </c>
      <c r="F731" s="6" t="s">
        <v>26</v>
      </c>
      <c r="G731" s="11"/>
      <c r="H731" s="6" t="s">
        <v>1051</v>
      </c>
      <c r="I731" s="6" t="str">
        <f t="shared" si="56"/>
        <v>E</v>
      </c>
      <c r="J731" s="17" t="s">
        <v>418</v>
      </c>
      <c r="K731" s="6">
        <v>136</v>
      </c>
      <c r="L731" s="9">
        <v>29</v>
      </c>
      <c r="M731" s="21">
        <v>29</v>
      </c>
      <c r="N731" s="2">
        <v>53000</v>
      </c>
      <c r="O731" s="2" t="s">
        <v>1060</v>
      </c>
      <c r="P731" s="2" t="s">
        <v>1369</v>
      </c>
      <c r="Q731" s="2"/>
      <c r="R731" s="2">
        <v>3053</v>
      </c>
      <c r="S731" s="2">
        <v>5.4</v>
      </c>
      <c r="T731" s="2"/>
      <c r="U731" s="39">
        <f>IF(I731="N",T731*Supuestos!$B$4,T731*Supuestos!$C$4)*100</f>
        <v>0</v>
      </c>
      <c r="V731" s="20">
        <f t="shared" si="59"/>
        <v>0</v>
      </c>
      <c r="W731" s="2">
        <f t="shared" si="57"/>
        <v>0</v>
      </c>
      <c r="X731" s="2">
        <f t="shared" si="58"/>
        <v>0</v>
      </c>
    </row>
    <row r="732" spans="1:24" x14ac:dyDescent="0.25">
      <c r="A732" s="6" t="s">
        <v>62</v>
      </c>
      <c r="B732" s="6" t="s">
        <v>889</v>
      </c>
      <c r="C732" s="6" t="s">
        <v>402</v>
      </c>
      <c r="D732" s="6" t="s">
        <v>399</v>
      </c>
      <c r="E732" s="11" t="str">
        <f t="shared" si="55"/>
        <v>UTILITARIO</v>
      </c>
      <c r="F732" s="6" t="s">
        <v>413</v>
      </c>
      <c r="G732" s="11">
        <v>1500</v>
      </c>
      <c r="H732" s="6" t="s">
        <v>1052</v>
      </c>
      <c r="I732" s="6" t="str">
        <f t="shared" si="56"/>
        <v>D</v>
      </c>
      <c r="J732" s="17" t="s">
        <v>22</v>
      </c>
      <c r="K732" s="6">
        <v>118</v>
      </c>
      <c r="L732" s="9">
        <v>29</v>
      </c>
      <c r="M732" s="2">
        <v>29</v>
      </c>
      <c r="N732" s="2">
        <v>32990</v>
      </c>
      <c r="O732" s="2" t="s">
        <v>1053</v>
      </c>
      <c r="P732" s="2" t="s">
        <v>1279</v>
      </c>
      <c r="Q732" s="2" t="s">
        <v>429</v>
      </c>
      <c r="R732" s="2">
        <v>3214</v>
      </c>
      <c r="S732" s="2"/>
      <c r="T732" s="2">
        <v>164</v>
      </c>
      <c r="U732" s="39">
        <f>IF(I732="N",T732*Supuestos!$B$4,T732*Supuestos!$C$4)*100</f>
        <v>6.1093685751514544</v>
      </c>
      <c r="V732" s="20">
        <f t="shared" si="59"/>
        <v>16.368303658536586</v>
      </c>
      <c r="W732" s="2">
        <f t="shared" si="57"/>
        <v>4756</v>
      </c>
      <c r="X732" s="2">
        <f t="shared" si="58"/>
        <v>177.17168867939219</v>
      </c>
    </row>
    <row r="733" spans="1:24" x14ac:dyDescent="0.25">
      <c r="A733" s="6" t="s">
        <v>27</v>
      </c>
      <c r="B733" s="6" t="s">
        <v>173</v>
      </c>
      <c r="C733" s="6" t="s">
        <v>406</v>
      </c>
      <c r="D733" s="6" t="s">
        <v>399</v>
      </c>
      <c r="E733" s="11" t="str">
        <f t="shared" si="55"/>
        <v>UTILITARIO</v>
      </c>
      <c r="F733" s="6" t="s">
        <v>14</v>
      </c>
      <c r="G733" s="11">
        <v>1500</v>
      </c>
      <c r="H733" s="6" t="s">
        <v>1050</v>
      </c>
      <c r="I733" s="6" t="str">
        <f t="shared" si="56"/>
        <v>N</v>
      </c>
      <c r="J733" s="17" t="s">
        <v>9</v>
      </c>
      <c r="K733" s="6">
        <v>85</v>
      </c>
      <c r="L733" s="9">
        <v>28</v>
      </c>
      <c r="M733" s="2">
        <v>28</v>
      </c>
      <c r="N733" s="2">
        <v>16850</v>
      </c>
      <c r="O733" s="2" t="s">
        <v>1053</v>
      </c>
      <c r="P733" s="2" t="s">
        <v>1290</v>
      </c>
      <c r="Q733" s="2" t="s">
        <v>428</v>
      </c>
      <c r="R733" s="2">
        <v>2145</v>
      </c>
      <c r="S733" s="2"/>
      <c r="T733" s="2">
        <v>187</v>
      </c>
      <c r="U733" s="39">
        <f>IF(I733="N",T733*Supuestos!$B$4,T733*Supuestos!$C$4)*100</f>
        <v>8.0021649493535705</v>
      </c>
      <c r="V733" s="20">
        <f t="shared" si="59"/>
        <v>12.496618181818182</v>
      </c>
      <c r="W733" s="2">
        <f t="shared" si="57"/>
        <v>5236</v>
      </c>
      <c r="X733" s="2">
        <f t="shared" si="58"/>
        <v>224.06061858189997</v>
      </c>
    </row>
    <row r="734" spans="1:24" x14ac:dyDescent="0.25">
      <c r="A734" s="6" t="s">
        <v>46</v>
      </c>
      <c r="B734" s="6" t="s">
        <v>277</v>
      </c>
      <c r="C734" s="6" t="s">
        <v>409</v>
      </c>
      <c r="D734" s="6" t="s">
        <v>399</v>
      </c>
      <c r="E734" s="11" t="str">
        <f t="shared" si="55"/>
        <v>UTILITARIO</v>
      </c>
      <c r="F734" s="6" t="s">
        <v>24</v>
      </c>
      <c r="G734" s="11">
        <v>2500</v>
      </c>
      <c r="H734" s="6" t="s">
        <v>1052</v>
      </c>
      <c r="I734" s="6" t="str">
        <f t="shared" si="56"/>
        <v>D</v>
      </c>
      <c r="J734" s="17" t="s">
        <v>22</v>
      </c>
      <c r="K734" s="6">
        <v>187</v>
      </c>
      <c r="L734" s="9">
        <v>27</v>
      </c>
      <c r="M734" s="2">
        <v>27</v>
      </c>
      <c r="N734" s="2">
        <v>48188</v>
      </c>
      <c r="O734" s="2" t="s">
        <v>1053</v>
      </c>
      <c r="P734" s="2" t="s">
        <v>1239</v>
      </c>
      <c r="Q734" s="2" t="s">
        <v>428</v>
      </c>
      <c r="R734" s="2">
        <v>3020</v>
      </c>
      <c r="S734" s="2"/>
      <c r="T734" s="2">
        <v>199</v>
      </c>
      <c r="U734" s="39">
        <f>IF(I734="N",T734*Supuestos!$B$4,T734*Supuestos!$C$4)*100</f>
        <v>7.4131972344825572</v>
      </c>
      <c r="V734" s="20">
        <f t="shared" si="59"/>
        <v>13.489456281407037</v>
      </c>
      <c r="W734" s="2">
        <f t="shared" si="57"/>
        <v>5373</v>
      </c>
      <c r="X734" s="2">
        <f t="shared" si="58"/>
        <v>200.15632533102905</v>
      </c>
    </row>
    <row r="735" spans="1:24" x14ac:dyDescent="0.25">
      <c r="A735" s="6" t="s">
        <v>53</v>
      </c>
      <c r="B735" s="6" t="s">
        <v>383</v>
      </c>
      <c r="C735" s="6" t="s">
        <v>409</v>
      </c>
      <c r="D735" s="6" t="s">
        <v>399</v>
      </c>
      <c r="E735" s="11" t="str">
        <f t="shared" si="55"/>
        <v>UTILITARIO</v>
      </c>
      <c r="F735" s="6" t="s">
        <v>23</v>
      </c>
      <c r="G735" s="11">
        <v>2000</v>
      </c>
      <c r="H735" s="6" t="s">
        <v>1052</v>
      </c>
      <c r="I735" s="6" t="str">
        <f t="shared" si="56"/>
        <v>D</v>
      </c>
      <c r="J735" s="17" t="s">
        <v>22</v>
      </c>
      <c r="K735" s="6">
        <v>180</v>
      </c>
      <c r="L735" s="9">
        <v>27</v>
      </c>
      <c r="M735" s="2">
        <v>27</v>
      </c>
      <c r="N735" s="2">
        <v>52990</v>
      </c>
      <c r="O735" s="2" t="s">
        <v>1053</v>
      </c>
      <c r="P735" s="2" t="s">
        <v>1276</v>
      </c>
      <c r="Q735" s="2" t="s">
        <v>422</v>
      </c>
      <c r="R735" s="2">
        <v>3040</v>
      </c>
      <c r="S735" s="2"/>
      <c r="T735" s="2">
        <v>234</v>
      </c>
      <c r="U735" s="39">
        <f>IF(I735="N",T735*Supuestos!$B$4,T735*Supuestos!$C$4)*100</f>
        <v>8.7170258938136609</v>
      </c>
      <c r="V735" s="20">
        <f t="shared" si="59"/>
        <v>11.471802564102564</v>
      </c>
      <c r="W735" s="2">
        <f t="shared" si="57"/>
        <v>6318</v>
      </c>
      <c r="X735" s="2">
        <f t="shared" si="58"/>
        <v>235.35969913296884</v>
      </c>
    </row>
    <row r="736" spans="1:24" x14ac:dyDescent="0.25">
      <c r="A736" s="6" t="s">
        <v>27</v>
      </c>
      <c r="B736" s="6" t="s">
        <v>172</v>
      </c>
      <c r="C736" s="6" t="s">
        <v>410</v>
      </c>
      <c r="D736" s="6" t="s">
        <v>399</v>
      </c>
      <c r="E736" s="11" t="str">
        <f t="shared" si="55"/>
        <v>UTILITARIO</v>
      </c>
      <c r="F736" s="6" t="s">
        <v>14</v>
      </c>
      <c r="G736" s="11">
        <v>1500</v>
      </c>
      <c r="H736" s="6" t="s">
        <v>1050</v>
      </c>
      <c r="I736" s="6" t="str">
        <f t="shared" si="56"/>
        <v>N</v>
      </c>
      <c r="J736" s="17" t="s">
        <v>9</v>
      </c>
      <c r="K736" s="6">
        <v>85</v>
      </c>
      <c r="L736" s="9">
        <v>26</v>
      </c>
      <c r="M736" s="2">
        <v>26</v>
      </c>
      <c r="N736" s="2">
        <v>14950</v>
      </c>
      <c r="O736" s="2" t="s">
        <v>1053</v>
      </c>
      <c r="P736" s="2" t="s">
        <v>1290</v>
      </c>
      <c r="Q736" s="2" t="s">
        <v>428</v>
      </c>
      <c r="R736" s="2">
        <v>2145</v>
      </c>
      <c r="S736" s="2"/>
      <c r="T736" s="2">
        <v>187</v>
      </c>
      <c r="U736" s="39">
        <f>IF(I736="N",T736*Supuestos!$B$4,T736*Supuestos!$C$4)*100</f>
        <v>8.0021649493535705</v>
      </c>
      <c r="V736" s="20">
        <f t="shared" si="59"/>
        <v>12.496618181818182</v>
      </c>
      <c r="W736" s="2">
        <f t="shared" si="57"/>
        <v>4862</v>
      </c>
      <c r="X736" s="2">
        <f t="shared" si="58"/>
        <v>208.05628868319283</v>
      </c>
    </row>
    <row r="737" spans="1:24" x14ac:dyDescent="0.25">
      <c r="A737" s="6" t="s">
        <v>46</v>
      </c>
      <c r="B737" s="6" t="s">
        <v>264</v>
      </c>
      <c r="C737" s="6" t="s">
        <v>409</v>
      </c>
      <c r="D737" s="6" t="s">
        <v>399</v>
      </c>
      <c r="E737" s="11" t="str">
        <f t="shared" si="55"/>
        <v>UTILITARIO</v>
      </c>
      <c r="F737" s="6" t="s">
        <v>24</v>
      </c>
      <c r="G737" s="11">
        <v>2500</v>
      </c>
      <c r="H737" s="6" t="s">
        <v>1052</v>
      </c>
      <c r="I737" s="6" t="str">
        <f t="shared" si="56"/>
        <v>D</v>
      </c>
      <c r="J737" s="17" t="s">
        <v>22</v>
      </c>
      <c r="K737" s="6">
        <v>187</v>
      </c>
      <c r="L737" s="9">
        <v>26</v>
      </c>
      <c r="M737" s="2">
        <v>26</v>
      </c>
      <c r="N737" s="2">
        <v>52458</v>
      </c>
      <c r="O737" s="2" t="s">
        <v>1053</v>
      </c>
      <c r="P737" s="2" t="s">
        <v>1239</v>
      </c>
      <c r="Q737" s="2" t="s">
        <v>428</v>
      </c>
      <c r="R737" s="2">
        <v>3020</v>
      </c>
      <c r="S737" s="2"/>
      <c r="T737" s="2">
        <v>199</v>
      </c>
      <c r="U737" s="39">
        <f>IF(I737="N",T737*Supuestos!$B$4,T737*Supuestos!$C$4)*100</f>
        <v>7.4131972344825572</v>
      </c>
      <c r="V737" s="20">
        <f t="shared" si="59"/>
        <v>13.489456281407037</v>
      </c>
      <c r="W737" s="2">
        <f t="shared" si="57"/>
        <v>5174</v>
      </c>
      <c r="X737" s="2">
        <f t="shared" si="58"/>
        <v>192.74312809654649</v>
      </c>
    </row>
    <row r="738" spans="1:24" x14ac:dyDescent="0.25">
      <c r="A738" s="6" t="s">
        <v>67</v>
      </c>
      <c r="B738" s="6" t="s">
        <v>199</v>
      </c>
      <c r="C738" s="6" t="s">
        <v>409</v>
      </c>
      <c r="D738" s="6" t="s">
        <v>399</v>
      </c>
      <c r="E738" s="11" t="str">
        <f t="shared" si="55"/>
        <v>UTILITARIO</v>
      </c>
      <c r="F738" s="6" t="s">
        <v>14</v>
      </c>
      <c r="G738" s="11">
        <v>2400</v>
      </c>
      <c r="H738" s="6" t="s">
        <v>1050</v>
      </c>
      <c r="I738" s="6" t="str">
        <f t="shared" si="56"/>
        <v>N</v>
      </c>
      <c r="J738" s="17" t="s">
        <v>9</v>
      </c>
      <c r="K738" s="6">
        <v>120</v>
      </c>
      <c r="L738" s="9">
        <v>25</v>
      </c>
      <c r="M738" s="2">
        <v>25</v>
      </c>
      <c r="N738" s="2">
        <v>24990</v>
      </c>
      <c r="O738" s="2" t="s">
        <v>1240</v>
      </c>
      <c r="P738" s="2" t="s">
        <v>1265</v>
      </c>
      <c r="Q738" s="2" t="s">
        <v>429</v>
      </c>
      <c r="R738" s="2">
        <v>2710</v>
      </c>
      <c r="S738" s="2"/>
      <c r="T738" s="2">
        <v>272</v>
      </c>
      <c r="U738" s="39">
        <f>IF(I738="N",T738*Supuestos!$B$4,T738*Supuestos!$C$4)*100</f>
        <v>11.639512653605195</v>
      </c>
      <c r="V738" s="20">
        <f t="shared" si="59"/>
        <v>8.5914249999999992</v>
      </c>
      <c r="W738" s="2">
        <f t="shared" si="57"/>
        <v>6800</v>
      </c>
      <c r="X738" s="2">
        <f t="shared" si="58"/>
        <v>290.98781634012988</v>
      </c>
    </row>
    <row r="739" spans="1:24" x14ac:dyDescent="0.25">
      <c r="A739" s="6" t="s">
        <v>53</v>
      </c>
      <c r="B739" s="6" t="s">
        <v>1022</v>
      </c>
      <c r="C739" s="6" t="s">
        <v>410</v>
      </c>
      <c r="D739" s="6" t="s">
        <v>399</v>
      </c>
      <c r="E739" s="11" t="str">
        <f t="shared" si="55"/>
        <v>UTILITARIO</v>
      </c>
      <c r="F739" s="6"/>
      <c r="G739" s="11">
        <v>1600</v>
      </c>
      <c r="H739" s="6" t="s">
        <v>1050</v>
      </c>
      <c r="I739" s="6" t="str">
        <f t="shared" si="56"/>
        <v>N</v>
      </c>
      <c r="J739" s="17" t="s">
        <v>9</v>
      </c>
      <c r="K739" s="6">
        <v>110</v>
      </c>
      <c r="L739" s="9">
        <v>24</v>
      </c>
      <c r="M739" s="2">
        <v>24</v>
      </c>
      <c r="N739" s="2">
        <v>21890</v>
      </c>
      <c r="O739" s="2" t="s">
        <v>1053</v>
      </c>
      <c r="P739" s="2" t="s">
        <v>1233</v>
      </c>
      <c r="Q739" s="2" t="s">
        <v>422</v>
      </c>
      <c r="R739" s="2">
        <v>1740</v>
      </c>
      <c r="S739" s="2"/>
      <c r="T739" s="2">
        <v>175</v>
      </c>
      <c r="U739" s="39">
        <f>IF(I739="N",T739*Supuestos!$B$4,T739*Supuestos!$C$4)*100</f>
        <v>7.4886570381651056</v>
      </c>
      <c r="V739" s="20">
        <f t="shared" si="59"/>
        <v>13.353529142857143</v>
      </c>
      <c r="W739" s="2">
        <f t="shared" si="57"/>
        <v>4200</v>
      </c>
      <c r="X739" s="2">
        <f t="shared" si="58"/>
        <v>179.72776891596254</v>
      </c>
    </row>
    <row r="740" spans="1:24" x14ac:dyDescent="0.25">
      <c r="A740" s="6" t="s">
        <v>36</v>
      </c>
      <c r="B740" s="6" t="s">
        <v>230</v>
      </c>
      <c r="C740" s="6" t="s">
        <v>402</v>
      </c>
      <c r="D740" s="6" t="s">
        <v>399</v>
      </c>
      <c r="E740" s="11" t="str">
        <f t="shared" si="55"/>
        <v>UTILITARIO</v>
      </c>
      <c r="F740" s="6" t="s">
        <v>14</v>
      </c>
      <c r="G740" s="11">
        <v>2800</v>
      </c>
      <c r="H740" s="6" t="s">
        <v>1052</v>
      </c>
      <c r="I740" s="6" t="str">
        <f t="shared" si="56"/>
        <v>D</v>
      </c>
      <c r="J740" s="17" t="s">
        <v>22</v>
      </c>
      <c r="K740" s="6">
        <v>118</v>
      </c>
      <c r="L740" s="9">
        <v>23</v>
      </c>
      <c r="M740" s="22"/>
      <c r="N740" s="2"/>
      <c r="O740" s="2"/>
      <c r="P740" s="2"/>
      <c r="Q740" s="2"/>
      <c r="R740" s="2"/>
      <c r="S740" s="2"/>
      <c r="T740" s="2"/>
      <c r="U740" s="39">
        <f>IF(I740="N",T740*Supuestos!$B$4,T740*Supuestos!$C$4)*100</f>
        <v>0</v>
      </c>
      <c r="V740" s="20">
        <f t="shared" si="59"/>
        <v>0</v>
      </c>
      <c r="W740" s="2">
        <f t="shared" si="57"/>
        <v>0</v>
      </c>
      <c r="X740" s="2">
        <f t="shared" si="58"/>
        <v>0</v>
      </c>
    </row>
    <row r="741" spans="1:24" x14ac:dyDescent="0.25">
      <c r="A741" s="6" t="s">
        <v>42</v>
      </c>
      <c r="B741" s="6" t="s">
        <v>851</v>
      </c>
      <c r="C741" s="6" t="s">
        <v>402</v>
      </c>
      <c r="D741" s="6" t="s">
        <v>399</v>
      </c>
      <c r="E741" s="11" t="str">
        <f t="shared" si="55"/>
        <v>UTILITARIO</v>
      </c>
      <c r="F741" s="6" t="s">
        <v>23</v>
      </c>
      <c r="G741" s="11">
        <v>2100</v>
      </c>
      <c r="H741" s="6" t="s">
        <v>1052</v>
      </c>
      <c r="I741" s="6" t="str">
        <f t="shared" si="56"/>
        <v>D</v>
      </c>
      <c r="J741" s="17" t="s">
        <v>22</v>
      </c>
      <c r="K741" s="6">
        <v>0</v>
      </c>
      <c r="L741" s="9">
        <v>23</v>
      </c>
      <c r="M741" s="2">
        <v>23</v>
      </c>
      <c r="N741" s="2">
        <v>71800</v>
      </c>
      <c r="O741" s="2" t="s">
        <v>1250</v>
      </c>
      <c r="P741" s="2" t="s">
        <v>1283</v>
      </c>
      <c r="Q741" s="2" t="s">
        <v>424</v>
      </c>
      <c r="R741" s="2">
        <v>3500</v>
      </c>
      <c r="S741" s="2"/>
      <c r="T741" s="2">
        <v>224.4</v>
      </c>
      <c r="U741" s="39">
        <f>IF(I741="N",T741*Supuestos!$B$4,T741*Supuestos!$C$4)*100</f>
        <v>8.3594043186828451</v>
      </c>
      <c r="V741" s="20">
        <f t="shared" si="59"/>
        <v>11.96257486631016</v>
      </c>
      <c r="W741" s="2">
        <f t="shared" si="57"/>
        <v>5161.2</v>
      </c>
      <c r="X741" s="2">
        <f t="shared" si="58"/>
        <v>192.26629932970545</v>
      </c>
    </row>
    <row r="742" spans="1:24" x14ac:dyDescent="0.25">
      <c r="A742" s="6" t="s">
        <v>94</v>
      </c>
      <c r="B742" s="6" t="s">
        <v>1006</v>
      </c>
      <c r="C742" s="6" t="s">
        <v>405</v>
      </c>
      <c r="D742" s="6" t="s">
        <v>399</v>
      </c>
      <c r="E742" s="11" t="str">
        <f t="shared" si="55"/>
        <v>UTILITARIO</v>
      </c>
      <c r="F742" s="6" t="s">
        <v>14</v>
      </c>
      <c r="G742" s="11">
        <v>1200</v>
      </c>
      <c r="H742" s="6" t="s">
        <v>1050</v>
      </c>
      <c r="I742" s="6" t="str">
        <f t="shared" si="56"/>
        <v>N</v>
      </c>
      <c r="J742" s="17" t="s">
        <v>9</v>
      </c>
      <c r="K742" s="6">
        <v>0</v>
      </c>
      <c r="L742" s="9">
        <v>22</v>
      </c>
      <c r="M742" s="2">
        <v>22</v>
      </c>
      <c r="N742" s="2">
        <v>13490</v>
      </c>
      <c r="O742" s="2" t="s">
        <v>1053</v>
      </c>
      <c r="P742" s="2" t="s">
        <v>1248</v>
      </c>
      <c r="Q742" s="2" t="s">
        <v>429</v>
      </c>
      <c r="R742" s="2">
        <v>2100</v>
      </c>
      <c r="S742" s="2"/>
      <c r="T742" s="2">
        <v>177</v>
      </c>
      <c r="U742" s="39">
        <f>IF(I742="N",T742*Supuestos!$B$4,T742*Supuestos!$C$4)*100</f>
        <v>7.5742416900298499</v>
      </c>
      <c r="V742" s="20">
        <f t="shared" si="59"/>
        <v>13.202641807909606</v>
      </c>
      <c r="W742" s="2">
        <f t="shared" si="57"/>
        <v>3894</v>
      </c>
      <c r="X742" s="2">
        <f t="shared" si="58"/>
        <v>166.63331718065669</v>
      </c>
    </row>
    <row r="743" spans="1:24" x14ac:dyDescent="0.25">
      <c r="A743" s="6" t="s">
        <v>477</v>
      </c>
      <c r="B743" s="6" t="s">
        <v>770</v>
      </c>
      <c r="C743" s="6" t="s">
        <v>406</v>
      </c>
      <c r="D743" s="6" t="s">
        <v>399</v>
      </c>
      <c r="E743" s="11" t="str">
        <f t="shared" si="55"/>
        <v>UTILITARIO</v>
      </c>
      <c r="F743" s="6" t="s">
        <v>14</v>
      </c>
      <c r="G743" s="11"/>
      <c r="H743" s="6" t="s">
        <v>1051</v>
      </c>
      <c r="I743" s="6" t="str">
        <f t="shared" si="56"/>
        <v>E</v>
      </c>
      <c r="J743" s="17" t="s">
        <v>418</v>
      </c>
      <c r="K743" s="6">
        <v>5</v>
      </c>
      <c r="L743" s="9">
        <v>21</v>
      </c>
      <c r="M743" s="21">
        <v>21</v>
      </c>
      <c r="N743" s="2">
        <v>9490</v>
      </c>
      <c r="O743" s="2" t="s">
        <v>1341</v>
      </c>
      <c r="P743" s="2"/>
      <c r="Q743" s="2"/>
      <c r="R743" s="2"/>
      <c r="S743" s="2">
        <v>8.4</v>
      </c>
      <c r="T743" s="2"/>
      <c r="U743" s="39">
        <f>IF(I743="N",T743*Supuestos!$B$4,T743*Supuestos!$C$4)*100</f>
        <v>0</v>
      </c>
      <c r="V743" s="20">
        <f t="shared" si="59"/>
        <v>0</v>
      </c>
      <c r="W743" s="2">
        <f t="shared" si="57"/>
        <v>0</v>
      </c>
      <c r="X743" s="2">
        <f t="shared" si="58"/>
        <v>0</v>
      </c>
    </row>
    <row r="744" spans="1:24" x14ac:dyDescent="0.25">
      <c r="A744" s="6" t="s">
        <v>27</v>
      </c>
      <c r="B744" s="6" t="s">
        <v>171</v>
      </c>
      <c r="C744" s="6" t="s">
        <v>405</v>
      </c>
      <c r="D744" s="6" t="s">
        <v>399</v>
      </c>
      <c r="E744" s="11" t="str">
        <f t="shared" si="55"/>
        <v>UTILITARIO</v>
      </c>
      <c r="F744" s="6" t="s">
        <v>14</v>
      </c>
      <c r="G744" s="11">
        <v>1500</v>
      </c>
      <c r="H744" s="6" t="s">
        <v>1050</v>
      </c>
      <c r="I744" s="6" t="str">
        <f t="shared" si="56"/>
        <v>N</v>
      </c>
      <c r="J744" s="17" t="s">
        <v>9</v>
      </c>
      <c r="K744" s="6">
        <v>110</v>
      </c>
      <c r="L744" s="9">
        <v>20</v>
      </c>
      <c r="M744" s="2">
        <v>20</v>
      </c>
      <c r="N744" s="2">
        <v>17450</v>
      </c>
      <c r="O744" s="2" t="s">
        <v>1053</v>
      </c>
      <c r="P744" s="2" t="s">
        <v>1290</v>
      </c>
      <c r="Q744" s="2" t="s">
        <v>428</v>
      </c>
      <c r="R744" s="2">
        <v>2145</v>
      </c>
      <c r="S744" s="2"/>
      <c r="T744" s="2">
        <v>187</v>
      </c>
      <c r="U744" s="39">
        <f>IF(I744="N",T744*Supuestos!$B$4,T744*Supuestos!$C$4)*100</f>
        <v>8.0021649493535705</v>
      </c>
      <c r="V744" s="20">
        <f t="shared" si="59"/>
        <v>12.496618181818182</v>
      </c>
      <c r="W744" s="2">
        <f t="shared" si="57"/>
        <v>3740</v>
      </c>
      <c r="X744" s="2">
        <f t="shared" si="58"/>
        <v>160.04329898707141</v>
      </c>
    </row>
    <row r="745" spans="1:24" x14ac:dyDescent="0.25">
      <c r="A745" s="6" t="s">
        <v>30</v>
      </c>
      <c r="B745" s="6" t="s">
        <v>673</v>
      </c>
      <c r="C745" s="6" t="s">
        <v>409</v>
      </c>
      <c r="D745" s="6" t="s">
        <v>399</v>
      </c>
      <c r="E745" s="11" t="str">
        <f t="shared" si="55"/>
        <v>UTILITARIO</v>
      </c>
      <c r="F745" s="6" t="s">
        <v>23</v>
      </c>
      <c r="G745" s="11">
        <v>2500</v>
      </c>
      <c r="H745" s="6" t="s">
        <v>1050</v>
      </c>
      <c r="I745" s="6" t="str">
        <f t="shared" si="56"/>
        <v>N</v>
      </c>
      <c r="J745" s="17" t="s">
        <v>9</v>
      </c>
      <c r="K745" s="6">
        <v>164</v>
      </c>
      <c r="L745" s="9">
        <v>20</v>
      </c>
      <c r="M745" s="2">
        <v>20</v>
      </c>
      <c r="N745" s="2">
        <v>34990</v>
      </c>
      <c r="O745" s="2" t="s">
        <v>1060</v>
      </c>
      <c r="P745" s="2" t="s">
        <v>1259</v>
      </c>
      <c r="Q745" s="2" t="s">
        <v>424</v>
      </c>
      <c r="R745" s="2">
        <v>3200</v>
      </c>
      <c r="S745" s="2"/>
      <c r="T745" s="2">
        <v>264</v>
      </c>
      <c r="U745" s="39">
        <f>IF(I745="N",T745*Supuestos!$B$4,T745*Supuestos!$C$4)*100</f>
        <v>11.297174046146218</v>
      </c>
      <c r="V745" s="20">
        <f t="shared" si="59"/>
        <v>8.8517712121212124</v>
      </c>
      <c r="W745" s="2">
        <f t="shared" si="57"/>
        <v>5280</v>
      </c>
      <c r="X745" s="2">
        <f t="shared" si="58"/>
        <v>225.94348092292435</v>
      </c>
    </row>
    <row r="746" spans="1:24" x14ac:dyDescent="0.25">
      <c r="A746" s="6" t="s">
        <v>67</v>
      </c>
      <c r="B746" s="6" t="s">
        <v>202</v>
      </c>
      <c r="C746" s="6" t="s">
        <v>409</v>
      </c>
      <c r="D746" s="6" t="s">
        <v>399</v>
      </c>
      <c r="E746" s="11" t="str">
        <f t="shared" si="55"/>
        <v>UTILITARIO</v>
      </c>
      <c r="F746" s="6" t="s">
        <v>14</v>
      </c>
      <c r="G746" s="11">
        <v>2000</v>
      </c>
      <c r="H746" s="6" t="s">
        <v>1050</v>
      </c>
      <c r="I746" s="6" t="str">
        <f t="shared" si="56"/>
        <v>N</v>
      </c>
      <c r="J746" s="17" t="s">
        <v>9</v>
      </c>
      <c r="K746" s="6">
        <v>200</v>
      </c>
      <c r="L746" s="9">
        <v>20</v>
      </c>
      <c r="M746" s="2">
        <v>20</v>
      </c>
      <c r="N746" s="2">
        <v>29990</v>
      </c>
      <c r="O746" s="2" t="s">
        <v>1060</v>
      </c>
      <c r="P746" s="2" t="s">
        <v>1291</v>
      </c>
      <c r="Q746" s="2" t="s">
        <v>424</v>
      </c>
      <c r="R746" s="2">
        <v>2945</v>
      </c>
      <c r="S746" s="2"/>
      <c r="T746" s="2">
        <v>271</v>
      </c>
      <c r="U746" s="39">
        <f>IF(I746="N",T746*Supuestos!$B$4,T746*Supuestos!$C$4)*100</f>
        <v>11.596720327672822</v>
      </c>
      <c r="V746" s="20">
        <f t="shared" si="59"/>
        <v>8.6231276752767521</v>
      </c>
      <c r="W746" s="2">
        <f t="shared" si="57"/>
        <v>5420</v>
      </c>
      <c r="X746" s="2">
        <f t="shared" si="58"/>
        <v>231.93440655345643</v>
      </c>
    </row>
    <row r="747" spans="1:24" x14ac:dyDescent="0.25">
      <c r="A747" s="6" t="s">
        <v>38</v>
      </c>
      <c r="B747" s="6" t="s">
        <v>238</v>
      </c>
      <c r="C747" s="6" t="s">
        <v>402</v>
      </c>
      <c r="D747" s="6" t="s">
        <v>399</v>
      </c>
      <c r="E747" s="11" t="str">
        <f t="shared" si="55"/>
        <v>UTILITARIO</v>
      </c>
      <c r="F747" s="6" t="s">
        <v>14</v>
      </c>
      <c r="G747" s="11">
        <v>2800</v>
      </c>
      <c r="H747" s="6" t="s">
        <v>1052</v>
      </c>
      <c r="I747" s="6" t="str">
        <f t="shared" si="56"/>
        <v>D</v>
      </c>
      <c r="J747" s="17" t="s">
        <v>22</v>
      </c>
      <c r="K747" s="6">
        <v>107</v>
      </c>
      <c r="L747" s="9">
        <v>20</v>
      </c>
      <c r="M747" s="22"/>
      <c r="N747" s="2"/>
      <c r="O747" s="2"/>
      <c r="P747" s="2"/>
      <c r="Q747" s="2"/>
      <c r="R747" s="2"/>
      <c r="S747" s="2"/>
      <c r="T747" s="2"/>
      <c r="U747" s="39">
        <f>IF(I747="N",T747*Supuestos!$B$4,T747*Supuestos!$C$4)*100</f>
        <v>0</v>
      </c>
      <c r="V747" s="20">
        <f t="shared" si="59"/>
        <v>0</v>
      </c>
      <c r="W747" s="2">
        <f t="shared" si="57"/>
        <v>0</v>
      </c>
      <c r="X747" s="2">
        <f t="shared" si="58"/>
        <v>0</v>
      </c>
    </row>
    <row r="748" spans="1:24" x14ac:dyDescent="0.25">
      <c r="A748" s="6" t="s">
        <v>29</v>
      </c>
      <c r="B748" s="6" t="s">
        <v>660</v>
      </c>
      <c r="C748" s="6" t="s">
        <v>409</v>
      </c>
      <c r="D748" s="6" t="s">
        <v>399</v>
      </c>
      <c r="E748" s="11" t="str">
        <f t="shared" si="55"/>
        <v>UTILITARIO</v>
      </c>
      <c r="F748" s="6" t="s">
        <v>21</v>
      </c>
      <c r="G748" s="11">
        <v>2000</v>
      </c>
      <c r="H748" s="6" t="s">
        <v>1052</v>
      </c>
      <c r="I748" s="6" t="str">
        <f t="shared" si="56"/>
        <v>D</v>
      </c>
      <c r="J748" s="17" t="s">
        <v>22</v>
      </c>
      <c r="K748" s="6">
        <v>170</v>
      </c>
      <c r="L748" s="9">
        <v>19</v>
      </c>
      <c r="M748" s="2">
        <v>19</v>
      </c>
      <c r="N748" s="2">
        <v>47990</v>
      </c>
      <c r="O748" s="2" t="s">
        <v>1240</v>
      </c>
      <c r="P748" s="2" t="s">
        <v>1244</v>
      </c>
      <c r="Q748" s="2" t="s">
        <v>429</v>
      </c>
      <c r="R748" s="2">
        <v>2916</v>
      </c>
      <c r="S748" s="2"/>
      <c r="T748" s="2">
        <v>209</v>
      </c>
      <c r="U748" s="39">
        <f>IF(I748="N",T748*Supuestos!$B$4,T748*Supuestos!$C$4)*100</f>
        <v>7.785719708577159</v>
      </c>
      <c r="V748" s="20">
        <f t="shared" si="59"/>
        <v>12.844027751196172</v>
      </c>
      <c r="W748" s="2">
        <f t="shared" si="57"/>
        <v>3971</v>
      </c>
      <c r="X748" s="2">
        <f t="shared" si="58"/>
        <v>147.92867446296603</v>
      </c>
    </row>
    <row r="749" spans="1:24" x14ac:dyDescent="0.25">
      <c r="A749" s="6" t="s">
        <v>31</v>
      </c>
      <c r="B749" s="6" t="s">
        <v>674</v>
      </c>
      <c r="C749" s="6" t="s">
        <v>402</v>
      </c>
      <c r="D749" s="6" t="s">
        <v>399</v>
      </c>
      <c r="E749" s="11" t="str">
        <f t="shared" si="55"/>
        <v>UTILITARIO</v>
      </c>
      <c r="F749" s="6" t="s">
        <v>14</v>
      </c>
      <c r="G749" s="11">
        <v>2800</v>
      </c>
      <c r="H749" s="6" t="s">
        <v>1052</v>
      </c>
      <c r="I749" s="6" t="str">
        <f t="shared" si="56"/>
        <v>D</v>
      </c>
      <c r="J749" s="17" t="s">
        <v>22</v>
      </c>
      <c r="K749" s="6">
        <v>93</v>
      </c>
      <c r="L749" s="9">
        <v>18</v>
      </c>
      <c r="M749" s="2"/>
      <c r="N749" s="2"/>
      <c r="O749" s="2"/>
      <c r="P749" s="2"/>
      <c r="Q749" s="2"/>
      <c r="R749" s="2"/>
      <c r="S749" s="2"/>
      <c r="T749" s="2"/>
      <c r="U749" s="39">
        <f>IF(I749="N",T749*Supuestos!$B$4,T749*Supuestos!$C$4)*100</f>
        <v>0</v>
      </c>
      <c r="V749" s="20">
        <f t="shared" si="59"/>
        <v>0</v>
      </c>
      <c r="W749" s="2">
        <f t="shared" si="57"/>
        <v>0</v>
      </c>
      <c r="X749" s="2">
        <f t="shared" si="58"/>
        <v>0</v>
      </c>
    </row>
    <row r="750" spans="1:24" x14ac:dyDescent="0.25">
      <c r="A750" s="6" t="s">
        <v>46</v>
      </c>
      <c r="B750" s="6" t="s">
        <v>270</v>
      </c>
      <c r="C750" s="6" t="s">
        <v>409</v>
      </c>
      <c r="D750" s="6" t="s">
        <v>399</v>
      </c>
      <c r="E750" s="11" t="str">
        <f t="shared" si="55"/>
        <v>UTILITARIO</v>
      </c>
      <c r="F750" s="6" t="s">
        <v>24</v>
      </c>
      <c r="G750" s="11">
        <v>2500</v>
      </c>
      <c r="H750" s="6" t="s">
        <v>1052</v>
      </c>
      <c r="I750" s="6" t="str">
        <f t="shared" si="56"/>
        <v>D</v>
      </c>
      <c r="J750" s="17" t="s">
        <v>22</v>
      </c>
      <c r="K750" s="6">
        <v>160</v>
      </c>
      <c r="L750" s="9">
        <v>18</v>
      </c>
      <c r="M750" s="2">
        <v>18</v>
      </c>
      <c r="N750" s="2">
        <v>51238</v>
      </c>
      <c r="O750" s="2" t="s">
        <v>1053</v>
      </c>
      <c r="P750" s="2" t="s">
        <v>1239</v>
      </c>
      <c r="Q750" s="2" t="s">
        <v>428</v>
      </c>
      <c r="R750" s="2">
        <v>3020</v>
      </c>
      <c r="S750" s="2"/>
      <c r="T750" s="2">
        <v>199</v>
      </c>
      <c r="U750" s="39">
        <f>IF(I750="N",T750*Supuestos!$B$4,T750*Supuestos!$C$4)*100</f>
        <v>7.4131972344825572</v>
      </c>
      <c r="V750" s="20">
        <f t="shared" si="59"/>
        <v>13.489456281407037</v>
      </c>
      <c r="W750" s="2">
        <f t="shared" si="57"/>
        <v>3582</v>
      </c>
      <c r="X750" s="2">
        <f t="shared" si="58"/>
        <v>133.43755022068603</v>
      </c>
    </row>
    <row r="751" spans="1:24" x14ac:dyDescent="0.25">
      <c r="A751" s="6" t="s">
        <v>52</v>
      </c>
      <c r="B751" s="6" t="s">
        <v>364</v>
      </c>
      <c r="C751" s="6" t="s">
        <v>409</v>
      </c>
      <c r="D751" s="6" t="s">
        <v>399</v>
      </c>
      <c r="E751" s="11" t="str">
        <f t="shared" si="55"/>
        <v>UTILITARIO</v>
      </c>
      <c r="F751" s="6" t="s">
        <v>23</v>
      </c>
      <c r="G751" s="11">
        <v>2400</v>
      </c>
      <c r="H751" s="6" t="s">
        <v>1052</v>
      </c>
      <c r="I751" s="6" t="str">
        <f t="shared" si="56"/>
        <v>D</v>
      </c>
      <c r="J751" s="17" t="s">
        <v>22</v>
      </c>
      <c r="K751" s="6">
        <v>150</v>
      </c>
      <c r="L751" s="9">
        <v>18</v>
      </c>
      <c r="M751" s="2">
        <v>18</v>
      </c>
      <c r="N751" s="2">
        <v>56990</v>
      </c>
      <c r="O751" s="2" t="s">
        <v>1053</v>
      </c>
      <c r="P751" s="2" t="s">
        <v>1267</v>
      </c>
      <c r="Q751" s="2" t="s">
        <v>1054</v>
      </c>
      <c r="R751" s="2">
        <v>2910</v>
      </c>
      <c r="S751" s="2"/>
      <c r="T751" s="2">
        <v>191</v>
      </c>
      <c r="U751" s="39">
        <f>IF(I751="N",T751*Supuestos!$B$4,T751*Supuestos!$C$4)*100</f>
        <v>7.1151792552068773</v>
      </c>
      <c r="V751" s="20">
        <f t="shared" si="59"/>
        <v>14.054459685863874</v>
      </c>
      <c r="W751" s="2">
        <f t="shared" si="57"/>
        <v>3438</v>
      </c>
      <c r="X751" s="2">
        <f t="shared" si="58"/>
        <v>128.0732265937238</v>
      </c>
    </row>
    <row r="752" spans="1:24" x14ac:dyDescent="0.25">
      <c r="A752" s="6" t="s">
        <v>42</v>
      </c>
      <c r="B752" s="6" t="s">
        <v>841</v>
      </c>
      <c r="C752" s="6" t="s">
        <v>402</v>
      </c>
      <c r="D752" s="6" t="s">
        <v>399</v>
      </c>
      <c r="E752" s="11" t="str">
        <f t="shared" si="55"/>
        <v>UTILITARIO</v>
      </c>
      <c r="F752" s="6" t="s">
        <v>23</v>
      </c>
      <c r="G752" s="11">
        <v>2100</v>
      </c>
      <c r="H752" s="6" t="s">
        <v>1052</v>
      </c>
      <c r="I752" s="6" t="str">
        <f t="shared" si="56"/>
        <v>D</v>
      </c>
      <c r="J752" s="17" t="s">
        <v>22</v>
      </c>
      <c r="K752" s="6">
        <v>0</v>
      </c>
      <c r="L752" s="9">
        <v>17</v>
      </c>
      <c r="M752" s="2">
        <v>17</v>
      </c>
      <c r="N752" s="2">
        <v>56700</v>
      </c>
      <c r="O752" s="2" t="s">
        <v>1250</v>
      </c>
      <c r="P752" s="2" t="s">
        <v>1283</v>
      </c>
      <c r="Q752" s="2" t="s">
        <v>424</v>
      </c>
      <c r="R752" s="2">
        <v>3500</v>
      </c>
      <c r="S752" s="2"/>
      <c r="T752" s="2">
        <v>224.4</v>
      </c>
      <c r="U752" s="39">
        <f>IF(I752="N",T752*Supuestos!$B$4,T752*Supuestos!$C$4)*100</f>
        <v>8.3594043186828451</v>
      </c>
      <c r="V752" s="20">
        <f t="shared" si="59"/>
        <v>11.96257486631016</v>
      </c>
      <c r="W752" s="2">
        <f t="shared" si="57"/>
        <v>3814.8</v>
      </c>
      <c r="X752" s="2">
        <f t="shared" si="58"/>
        <v>142.10987341760836</v>
      </c>
    </row>
    <row r="753" spans="1:24" x14ac:dyDescent="0.25">
      <c r="A753" s="6" t="s">
        <v>46</v>
      </c>
      <c r="B753" s="6" t="s">
        <v>275</v>
      </c>
      <c r="C753" s="6" t="s">
        <v>409</v>
      </c>
      <c r="D753" s="6" t="s">
        <v>399</v>
      </c>
      <c r="E753" s="11" t="str">
        <f t="shared" si="55"/>
        <v>UTILITARIO</v>
      </c>
      <c r="F753" s="6" t="s">
        <v>24</v>
      </c>
      <c r="G753" s="11">
        <v>2500</v>
      </c>
      <c r="H753" s="6" t="s">
        <v>1052</v>
      </c>
      <c r="I753" s="6" t="str">
        <f t="shared" si="56"/>
        <v>D</v>
      </c>
      <c r="J753" s="17" t="s">
        <v>22</v>
      </c>
      <c r="K753" s="6">
        <v>160</v>
      </c>
      <c r="L753" s="9">
        <v>17</v>
      </c>
      <c r="M753" s="2">
        <v>17</v>
      </c>
      <c r="N753" s="2">
        <v>53678</v>
      </c>
      <c r="O753" s="2" t="s">
        <v>1053</v>
      </c>
      <c r="P753" s="2" t="s">
        <v>1239</v>
      </c>
      <c r="Q753" s="2" t="s">
        <v>428</v>
      </c>
      <c r="R753" s="2">
        <v>3020</v>
      </c>
      <c r="S753" s="2"/>
      <c r="T753" s="2">
        <v>199</v>
      </c>
      <c r="U753" s="39">
        <f>IF(I753="N",T753*Supuestos!$B$4,T753*Supuestos!$C$4)*100</f>
        <v>7.4131972344825572</v>
      </c>
      <c r="V753" s="20">
        <f t="shared" si="59"/>
        <v>13.489456281407037</v>
      </c>
      <c r="W753" s="2">
        <f t="shared" si="57"/>
        <v>3383</v>
      </c>
      <c r="X753" s="2">
        <f t="shared" si="58"/>
        <v>126.02435298620347</v>
      </c>
    </row>
    <row r="754" spans="1:24" x14ac:dyDescent="0.25">
      <c r="A754" s="6" t="s">
        <v>480</v>
      </c>
      <c r="B754" s="6" t="s">
        <v>802</v>
      </c>
      <c r="C754" s="6" t="s">
        <v>402</v>
      </c>
      <c r="D754" s="6" t="s">
        <v>399</v>
      </c>
      <c r="E754" s="11" t="str">
        <f t="shared" si="55"/>
        <v>UTILITARIO</v>
      </c>
      <c r="F754" s="6" t="s">
        <v>14</v>
      </c>
      <c r="G754" s="11"/>
      <c r="H754" s="6" t="s">
        <v>1051</v>
      </c>
      <c r="I754" s="6" t="str">
        <f t="shared" si="56"/>
        <v>E</v>
      </c>
      <c r="J754" s="17" t="s">
        <v>418</v>
      </c>
      <c r="K754" s="6">
        <v>121</v>
      </c>
      <c r="L754" s="9">
        <v>16</v>
      </c>
      <c r="M754" s="21">
        <v>16</v>
      </c>
      <c r="N754" s="2">
        <v>47568</v>
      </c>
      <c r="O754" s="2" t="s">
        <v>1060</v>
      </c>
      <c r="P754" s="2" t="s">
        <v>1375</v>
      </c>
      <c r="Q754" s="2"/>
      <c r="R754" s="2">
        <v>2310</v>
      </c>
      <c r="S754" s="2">
        <v>4.3</v>
      </c>
      <c r="T754" s="2"/>
      <c r="U754" s="39">
        <f>IF(I754="N",T754*Supuestos!$B$4,T754*Supuestos!$C$4)*100</f>
        <v>0</v>
      </c>
      <c r="V754" s="20">
        <f t="shared" si="59"/>
        <v>0</v>
      </c>
      <c r="W754" s="2">
        <f t="shared" si="57"/>
        <v>0</v>
      </c>
      <c r="X754" s="2">
        <f t="shared" si="58"/>
        <v>0</v>
      </c>
    </row>
    <row r="755" spans="1:24" x14ac:dyDescent="0.25">
      <c r="A755" s="6" t="s">
        <v>52</v>
      </c>
      <c r="B755" s="6" t="s">
        <v>990</v>
      </c>
      <c r="C755" s="6" t="s">
        <v>409</v>
      </c>
      <c r="D755" s="6" t="s">
        <v>399</v>
      </c>
      <c r="E755" s="11" t="str">
        <f t="shared" si="55"/>
        <v>UTILITARIO</v>
      </c>
      <c r="F755" s="6" t="s">
        <v>23</v>
      </c>
      <c r="G755" s="11">
        <v>2800</v>
      </c>
      <c r="H755" s="6" t="s">
        <v>1052</v>
      </c>
      <c r="I755" s="6" t="str">
        <f t="shared" si="56"/>
        <v>D</v>
      </c>
      <c r="J755" s="17" t="s">
        <v>22</v>
      </c>
      <c r="K755" s="6">
        <v>177</v>
      </c>
      <c r="L755" s="9">
        <v>16</v>
      </c>
      <c r="M755" s="2">
        <v>16</v>
      </c>
      <c r="N755" s="2">
        <v>82990</v>
      </c>
      <c r="O755" s="2" t="s">
        <v>1053</v>
      </c>
      <c r="P755" s="2" t="s">
        <v>1269</v>
      </c>
      <c r="Q755" s="2" t="s">
        <v>1054</v>
      </c>
      <c r="R755" s="2">
        <v>3140</v>
      </c>
      <c r="S755" s="2"/>
      <c r="T755" s="2">
        <v>227</v>
      </c>
      <c r="U755" s="39">
        <f>IF(I755="N",T755*Supuestos!$B$4,T755*Supuestos!$C$4)*100</f>
        <v>8.4562601619474407</v>
      </c>
      <c r="V755" s="20">
        <f t="shared" si="59"/>
        <v>11.82555859030837</v>
      </c>
      <c r="W755" s="2">
        <f t="shared" si="57"/>
        <v>3632</v>
      </c>
      <c r="X755" s="2">
        <f t="shared" si="58"/>
        <v>135.30016259115905</v>
      </c>
    </row>
    <row r="756" spans="1:24" x14ac:dyDescent="0.25">
      <c r="A756" s="6" t="s">
        <v>52</v>
      </c>
      <c r="B756" s="6" t="s">
        <v>363</v>
      </c>
      <c r="C756" s="6" t="s">
        <v>409</v>
      </c>
      <c r="D756" s="6" t="s">
        <v>399</v>
      </c>
      <c r="E756" s="11" t="str">
        <f t="shared" si="55"/>
        <v>UTILITARIO</v>
      </c>
      <c r="F756" s="6" t="s">
        <v>23</v>
      </c>
      <c r="G756" s="11">
        <v>2400</v>
      </c>
      <c r="H756" s="6" t="s">
        <v>1052</v>
      </c>
      <c r="I756" s="6" t="str">
        <f t="shared" si="56"/>
        <v>D</v>
      </c>
      <c r="J756" s="17" t="s">
        <v>22</v>
      </c>
      <c r="K756" s="6">
        <v>150</v>
      </c>
      <c r="L756" s="9">
        <v>16</v>
      </c>
      <c r="M756" s="2">
        <v>16</v>
      </c>
      <c r="N756" s="2">
        <v>50490</v>
      </c>
      <c r="O756" s="2" t="s">
        <v>1053</v>
      </c>
      <c r="P756" s="2" t="s">
        <v>1267</v>
      </c>
      <c r="Q756" s="2" t="s">
        <v>1054</v>
      </c>
      <c r="R756" s="2">
        <v>2910</v>
      </c>
      <c r="S756" s="2"/>
      <c r="T756" s="2">
        <v>182</v>
      </c>
      <c r="U756" s="39">
        <f>IF(I756="N",T756*Supuestos!$B$4,T756*Supuestos!$C$4)*100</f>
        <v>6.779909028521736</v>
      </c>
      <c r="V756" s="20">
        <f t="shared" si="59"/>
        <v>14.749460439560441</v>
      </c>
      <c r="W756" s="2">
        <f t="shared" si="57"/>
        <v>2912</v>
      </c>
      <c r="X756" s="2">
        <f t="shared" si="58"/>
        <v>108.47854445634778</v>
      </c>
    </row>
    <row r="757" spans="1:24" x14ac:dyDescent="0.25">
      <c r="A757" s="6" t="s">
        <v>71</v>
      </c>
      <c r="B757" s="6" t="s">
        <v>130</v>
      </c>
      <c r="C757" s="6" t="s">
        <v>405</v>
      </c>
      <c r="D757" s="6" t="s">
        <v>399</v>
      </c>
      <c r="E757" s="11" t="str">
        <f t="shared" si="55"/>
        <v>UTILITARIO</v>
      </c>
      <c r="F757" s="6" t="s">
        <v>14</v>
      </c>
      <c r="G757" s="11">
        <v>1200</v>
      </c>
      <c r="H757" s="6" t="s">
        <v>1050</v>
      </c>
      <c r="I757" s="6" t="str">
        <f t="shared" si="56"/>
        <v>N</v>
      </c>
      <c r="J757" s="17" t="s">
        <v>9</v>
      </c>
      <c r="K757" s="6">
        <v>97</v>
      </c>
      <c r="L757" s="9">
        <v>15</v>
      </c>
      <c r="M757" s="2"/>
      <c r="N757" s="2"/>
      <c r="O757" s="2"/>
      <c r="P757" s="2"/>
      <c r="Q757" s="2"/>
      <c r="R757" s="2"/>
      <c r="S757" s="2"/>
      <c r="T757" s="2"/>
      <c r="U757" s="39">
        <f>IF(I757="N",T757*Supuestos!$B$4,T757*Supuestos!$C$4)*100</f>
        <v>0</v>
      </c>
      <c r="V757" s="20">
        <f t="shared" si="59"/>
        <v>0</v>
      </c>
      <c r="W757" s="2">
        <f t="shared" si="57"/>
        <v>0</v>
      </c>
      <c r="X757" s="2">
        <f t="shared" si="58"/>
        <v>0</v>
      </c>
    </row>
    <row r="758" spans="1:24" x14ac:dyDescent="0.25">
      <c r="A758" s="6" t="s">
        <v>71</v>
      </c>
      <c r="B758" s="6" t="s">
        <v>132</v>
      </c>
      <c r="C758" s="6" t="s">
        <v>406</v>
      </c>
      <c r="D758" s="6" t="s">
        <v>399</v>
      </c>
      <c r="E758" s="11" t="str">
        <f t="shared" si="55"/>
        <v>UTILITARIO</v>
      </c>
      <c r="F758" s="6" t="s">
        <v>14</v>
      </c>
      <c r="G758" s="11">
        <v>1200</v>
      </c>
      <c r="H758" s="6" t="s">
        <v>1050</v>
      </c>
      <c r="I758" s="6" t="str">
        <f t="shared" si="56"/>
        <v>N</v>
      </c>
      <c r="J758" s="17" t="s">
        <v>9</v>
      </c>
      <c r="K758" s="6">
        <v>97</v>
      </c>
      <c r="L758" s="9">
        <v>15</v>
      </c>
      <c r="M758" s="2">
        <v>15</v>
      </c>
      <c r="N758" s="2">
        <v>13490</v>
      </c>
      <c r="O758" s="2" t="s">
        <v>1053</v>
      </c>
      <c r="P758" s="2" t="s">
        <v>1284</v>
      </c>
      <c r="Q758" s="2" t="s">
        <v>428</v>
      </c>
      <c r="R758" s="2">
        <v>2135</v>
      </c>
      <c r="S758" s="2"/>
      <c r="T758" s="2">
        <v>178</v>
      </c>
      <c r="U758" s="39">
        <f>IF(I758="N",T758*Supuestos!$B$4,T758*Supuestos!$C$4)*100</f>
        <v>7.6170340159622221</v>
      </c>
      <c r="V758" s="20">
        <f t="shared" si="59"/>
        <v>13.128469662921349</v>
      </c>
      <c r="W758" s="2">
        <f t="shared" si="57"/>
        <v>2670</v>
      </c>
      <c r="X758" s="2">
        <f t="shared" si="58"/>
        <v>114.25551023943333</v>
      </c>
    </row>
    <row r="759" spans="1:24" x14ac:dyDescent="0.25">
      <c r="A759" s="6" t="s">
        <v>19</v>
      </c>
      <c r="B759" s="6" t="s">
        <v>622</v>
      </c>
      <c r="C759" s="6" t="s">
        <v>409</v>
      </c>
      <c r="D759" s="6" t="s">
        <v>399</v>
      </c>
      <c r="E759" s="11" t="str">
        <f t="shared" si="55"/>
        <v>UTILITARIO</v>
      </c>
      <c r="F759" s="6"/>
      <c r="G759" s="11">
        <v>2800</v>
      </c>
      <c r="H759" s="6" t="s">
        <v>1052</v>
      </c>
      <c r="I759" s="6" t="str">
        <f t="shared" si="56"/>
        <v>D</v>
      </c>
      <c r="J759" s="17" t="s">
        <v>22</v>
      </c>
      <c r="K759" s="6">
        <v>200</v>
      </c>
      <c r="L759" s="9">
        <v>15</v>
      </c>
      <c r="M759" s="2">
        <v>15</v>
      </c>
      <c r="N759" s="2">
        <v>55990</v>
      </c>
      <c r="O759" s="2" t="s">
        <v>1055</v>
      </c>
      <c r="P759" s="2" t="s">
        <v>1247</v>
      </c>
      <c r="Q759" s="2" t="s">
        <v>429</v>
      </c>
      <c r="R759" s="2">
        <v>3100</v>
      </c>
      <c r="S759" s="2"/>
      <c r="T759" s="2">
        <v>230</v>
      </c>
      <c r="U759" s="39">
        <f>IF(I759="N",T759*Supuestos!$B$4,T759*Supuestos!$C$4)*100</f>
        <v>8.5680169041758205</v>
      </c>
      <c r="V759" s="20">
        <f t="shared" si="59"/>
        <v>11.671312173913043</v>
      </c>
      <c r="W759" s="2">
        <f t="shared" si="57"/>
        <v>3450</v>
      </c>
      <c r="X759" s="2">
        <f t="shared" si="58"/>
        <v>128.52025356263732</v>
      </c>
    </row>
    <row r="760" spans="1:24" x14ac:dyDescent="0.25">
      <c r="A760" s="6" t="s">
        <v>46</v>
      </c>
      <c r="B760" s="6" t="s">
        <v>276</v>
      </c>
      <c r="C760" s="6" t="s">
        <v>409</v>
      </c>
      <c r="D760" s="6" t="s">
        <v>399</v>
      </c>
      <c r="E760" s="11" t="str">
        <f t="shared" si="55"/>
        <v>UTILITARIO</v>
      </c>
      <c r="F760" s="6" t="s">
        <v>24</v>
      </c>
      <c r="G760" s="11">
        <v>2500</v>
      </c>
      <c r="H760" s="6" t="s">
        <v>1052</v>
      </c>
      <c r="I760" s="6" t="str">
        <f t="shared" si="56"/>
        <v>D</v>
      </c>
      <c r="J760" s="17" t="s">
        <v>22</v>
      </c>
      <c r="K760" s="6">
        <v>187</v>
      </c>
      <c r="L760" s="9">
        <v>15</v>
      </c>
      <c r="M760" s="2">
        <v>15</v>
      </c>
      <c r="N760" s="2">
        <v>60388</v>
      </c>
      <c r="O760" s="2" t="s">
        <v>1053</v>
      </c>
      <c r="P760" s="2" t="s">
        <v>1238</v>
      </c>
      <c r="Q760" s="2" t="s">
        <v>428</v>
      </c>
      <c r="R760" s="2">
        <v>3020</v>
      </c>
      <c r="S760" s="2"/>
      <c r="T760" s="2">
        <v>221</v>
      </c>
      <c r="U760" s="39">
        <f>IF(I760="N",T760*Supuestos!$B$4,T760*Supuestos!$C$4)*100</f>
        <v>8.2327466774906792</v>
      </c>
      <c r="V760" s="20">
        <f t="shared" si="59"/>
        <v>12.146614479638009</v>
      </c>
      <c r="W760" s="2">
        <f t="shared" si="57"/>
        <v>3315</v>
      </c>
      <c r="X760" s="2">
        <f t="shared" si="58"/>
        <v>123.49120016236019</v>
      </c>
    </row>
    <row r="761" spans="1:24" x14ac:dyDescent="0.25">
      <c r="A761" s="6" t="s">
        <v>71</v>
      </c>
      <c r="B761" s="6" t="s">
        <v>583</v>
      </c>
      <c r="C761" s="6" t="s">
        <v>405</v>
      </c>
      <c r="D761" s="6" t="s">
        <v>399</v>
      </c>
      <c r="E761" s="11" t="str">
        <f t="shared" si="55"/>
        <v>UTILITARIO</v>
      </c>
      <c r="F761" s="6" t="s">
        <v>14</v>
      </c>
      <c r="G761" s="11">
        <v>1200</v>
      </c>
      <c r="H761" s="6" t="s">
        <v>1050</v>
      </c>
      <c r="I761" s="6" t="str">
        <f t="shared" si="56"/>
        <v>N</v>
      </c>
      <c r="J761" s="17" t="s">
        <v>9</v>
      </c>
      <c r="K761" s="6">
        <v>97</v>
      </c>
      <c r="L761" s="9">
        <v>14</v>
      </c>
      <c r="M761" s="2"/>
      <c r="N761" s="2"/>
      <c r="O761" s="2"/>
      <c r="P761" s="2"/>
      <c r="Q761" s="2"/>
      <c r="R761" s="2"/>
      <c r="S761" s="2"/>
      <c r="T761" s="2"/>
      <c r="U761" s="39">
        <f>IF(I761="N",T761*Supuestos!$B$4,T761*Supuestos!$C$4)*100</f>
        <v>0</v>
      </c>
      <c r="V761" s="20">
        <f t="shared" si="59"/>
        <v>0</v>
      </c>
      <c r="W761" s="2">
        <f t="shared" si="57"/>
        <v>0</v>
      </c>
      <c r="X761" s="2">
        <f t="shared" si="58"/>
        <v>0</v>
      </c>
    </row>
    <row r="762" spans="1:24" x14ac:dyDescent="0.25">
      <c r="A762" s="6" t="s">
        <v>81</v>
      </c>
      <c r="B762" s="6" t="s">
        <v>167</v>
      </c>
      <c r="C762" s="6" t="s">
        <v>402</v>
      </c>
      <c r="D762" s="6" t="s">
        <v>399</v>
      </c>
      <c r="E762" s="11" t="str">
        <f t="shared" si="55"/>
        <v>UTILITARIO</v>
      </c>
      <c r="F762" s="6" t="s">
        <v>413</v>
      </c>
      <c r="G762" s="11">
        <v>1600</v>
      </c>
      <c r="H762" s="6" t="s">
        <v>1052</v>
      </c>
      <c r="I762" s="6" t="str">
        <f t="shared" si="56"/>
        <v>D</v>
      </c>
      <c r="J762" s="17" t="s">
        <v>22</v>
      </c>
      <c r="K762" s="6">
        <v>115</v>
      </c>
      <c r="L762" s="9">
        <v>14</v>
      </c>
      <c r="M762" s="2"/>
      <c r="N762" s="2"/>
      <c r="O762" s="2"/>
      <c r="P762" s="2"/>
      <c r="Q762" s="2"/>
      <c r="R762" s="2"/>
      <c r="S762" s="2"/>
      <c r="T762" s="2"/>
      <c r="U762" s="39">
        <f>IF(I762="N",T762*Supuestos!$B$4,T762*Supuestos!$C$4)*100</f>
        <v>0</v>
      </c>
      <c r="V762" s="20">
        <f t="shared" si="59"/>
        <v>0</v>
      </c>
      <c r="W762" s="2">
        <f t="shared" si="57"/>
        <v>0</v>
      </c>
      <c r="X762" s="2">
        <f t="shared" si="58"/>
        <v>0</v>
      </c>
    </row>
    <row r="763" spans="1:24" x14ac:dyDescent="0.25">
      <c r="A763" s="6" t="s">
        <v>67</v>
      </c>
      <c r="B763" s="6" t="s">
        <v>688</v>
      </c>
      <c r="C763" s="6" t="s">
        <v>409</v>
      </c>
      <c r="D763" s="6" t="s">
        <v>399</v>
      </c>
      <c r="E763" s="11" t="str">
        <f t="shared" si="55"/>
        <v>UTILITARIO</v>
      </c>
      <c r="F763" s="6" t="s">
        <v>14</v>
      </c>
      <c r="G763" s="11">
        <v>2000</v>
      </c>
      <c r="H763" s="6" t="s">
        <v>1052</v>
      </c>
      <c r="I763" s="6" t="str">
        <f t="shared" si="56"/>
        <v>D</v>
      </c>
      <c r="J763" s="17" t="s">
        <v>22</v>
      </c>
      <c r="K763" s="6">
        <v>156</v>
      </c>
      <c r="L763" s="9">
        <v>14</v>
      </c>
      <c r="M763" s="2">
        <v>14</v>
      </c>
      <c r="N763" s="2">
        <v>39990</v>
      </c>
      <c r="O763" s="2" t="s">
        <v>1060</v>
      </c>
      <c r="P763" s="2" t="s">
        <v>1292</v>
      </c>
      <c r="Q763" s="2" t="s">
        <v>424</v>
      </c>
      <c r="R763" s="2">
        <v>2960</v>
      </c>
      <c r="S763" s="2"/>
      <c r="T763" s="2">
        <v>251</v>
      </c>
      <c r="U763" s="39">
        <f>IF(I763="N",T763*Supuestos!$B$4,T763*Supuestos!$C$4)*100</f>
        <v>9.3503140997744829</v>
      </c>
      <c r="V763" s="20">
        <f t="shared" si="59"/>
        <v>10.694827888446214</v>
      </c>
      <c r="W763" s="2">
        <f t="shared" si="57"/>
        <v>3514</v>
      </c>
      <c r="X763" s="2">
        <f t="shared" si="58"/>
        <v>130.90439739684277</v>
      </c>
    </row>
    <row r="764" spans="1:24" x14ac:dyDescent="0.25">
      <c r="A764" s="6" t="s">
        <v>36</v>
      </c>
      <c r="B764" s="6" t="s">
        <v>229</v>
      </c>
      <c r="C764" s="6" t="s">
        <v>402</v>
      </c>
      <c r="D764" s="6" t="s">
        <v>399</v>
      </c>
      <c r="E764" s="11" t="str">
        <f t="shared" si="55"/>
        <v>UTILITARIO</v>
      </c>
      <c r="F764" s="6" t="s">
        <v>14</v>
      </c>
      <c r="G764" s="11">
        <v>2800</v>
      </c>
      <c r="H764" s="6" t="s">
        <v>1052</v>
      </c>
      <c r="I764" s="6" t="str">
        <f t="shared" si="56"/>
        <v>D</v>
      </c>
      <c r="J764" s="17" t="s">
        <v>22</v>
      </c>
      <c r="K764" s="6">
        <v>118</v>
      </c>
      <c r="L764" s="9">
        <v>14</v>
      </c>
      <c r="M764" s="22"/>
      <c r="N764" s="2"/>
      <c r="O764" s="2"/>
      <c r="P764" s="2"/>
      <c r="Q764" s="2"/>
      <c r="R764" s="2"/>
      <c r="S764" s="2"/>
      <c r="T764" s="2"/>
      <c r="U764" s="39">
        <f>IF(I764="N",T764*Supuestos!$B$4,T764*Supuestos!$C$4)*100</f>
        <v>0</v>
      </c>
      <c r="V764" s="20">
        <f t="shared" si="59"/>
        <v>0</v>
      </c>
      <c r="W764" s="2">
        <f t="shared" si="57"/>
        <v>0</v>
      </c>
      <c r="X764" s="2">
        <f t="shared" si="58"/>
        <v>0</v>
      </c>
    </row>
    <row r="765" spans="1:24" x14ac:dyDescent="0.25">
      <c r="A765" s="6" t="s">
        <v>36</v>
      </c>
      <c r="B765" s="6" t="s">
        <v>744</v>
      </c>
      <c r="C765" s="6" t="s">
        <v>409</v>
      </c>
      <c r="D765" s="6" t="s">
        <v>399</v>
      </c>
      <c r="E765" s="11" t="str">
        <f t="shared" si="55"/>
        <v>UTILITARIO</v>
      </c>
      <c r="F765" s="6" t="s">
        <v>14</v>
      </c>
      <c r="G765" s="11">
        <v>2000</v>
      </c>
      <c r="H765" s="6" t="s">
        <v>1052</v>
      </c>
      <c r="I765" s="6" t="str">
        <f t="shared" si="56"/>
        <v>D</v>
      </c>
      <c r="J765" s="17" t="s">
        <v>22</v>
      </c>
      <c r="K765" s="6">
        <v>137</v>
      </c>
      <c r="L765" s="9">
        <v>14</v>
      </c>
      <c r="M765" s="2"/>
      <c r="N765" s="2"/>
      <c r="O765" s="2"/>
      <c r="P765" s="2"/>
      <c r="Q765" s="2"/>
      <c r="R765" s="2"/>
      <c r="S765" s="2"/>
      <c r="T765" s="2"/>
      <c r="U765" s="39">
        <f>IF(I765="N",T765*Supuestos!$B$4,T765*Supuestos!$C$4)*100</f>
        <v>0</v>
      </c>
      <c r="V765" s="20">
        <f t="shared" si="59"/>
        <v>0</v>
      </c>
      <c r="W765" s="2">
        <f t="shared" si="57"/>
        <v>0</v>
      </c>
      <c r="X765" s="2">
        <f t="shared" si="58"/>
        <v>0</v>
      </c>
    </row>
    <row r="766" spans="1:24" x14ac:dyDescent="0.25">
      <c r="A766" s="6" t="s">
        <v>46</v>
      </c>
      <c r="B766" s="6" t="s">
        <v>273</v>
      </c>
      <c r="C766" s="6" t="s">
        <v>409</v>
      </c>
      <c r="D766" s="6" t="s">
        <v>399</v>
      </c>
      <c r="E766" s="11" t="str">
        <f t="shared" si="55"/>
        <v>UTILITARIO</v>
      </c>
      <c r="F766" s="6" t="s">
        <v>24</v>
      </c>
      <c r="G766" s="11">
        <v>2500</v>
      </c>
      <c r="H766" s="6" t="s">
        <v>1052</v>
      </c>
      <c r="I766" s="6" t="str">
        <f t="shared" si="56"/>
        <v>D</v>
      </c>
      <c r="J766" s="17" t="s">
        <v>22</v>
      </c>
      <c r="K766" s="6">
        <v>160</v>
      </c>
      <c r="L766" s="9">
        <v>14</v>
      </c>
      <c r="M766" s="2">
        <v>14</v>
      </c>
      <c r="N766" s="2">
        <v>44528</v>
      </c>
      <c r="O766" s="2" t="s">
        <v>1053</v>
      </c>
      <c r="P766" s="2" t="s">
        <v>1239</v>
      </c>
      <c r="Q766" s="2" t="s">
        <v>428</v>
      </c>
      <c r="R766" s="2">
        <v>3020</v>
      </c>
      <c r="S766" s="2"/>
      <c r="T766" s="2">
        <v>199</v>
      </c>
      <c r="U766" s="39">
        <f>IF(I766="N",T766*Supuestos!$B$4,T766*Supuestos!$C$4)*100</f>
        <v>7.4131972344825572</v>
      </c>
      <c r="V766" s="20">
        <f t="shared" si="59"/>
        <v>13.489456281407037</v>
      </c>
      <c r="W766" s="2">
        <f t="shared" si="57"/>
        <v>2786</v>
      </c>
      <c r="X766" s="2">
        <f t="shared" si="58"/>
        <v>103.7847612827558</v>
      </c>
    </row>
    <row r="767" spans="1:24" x14ac:dyDescent="0.25">
      <c r="A767" s="6" t="s">
        <v>94</v>
      </c>
      <c r="B767" s="6" t="s">
        <v>377</v>
      </c>
      <c r="C767" s="6" t="s">
        <v>405</v>
      </c>
      <c r="D767" s="6" t="s">
        <v>399</v>
      </c>
      <c r="E767" s="11" t="str">
        <f t="shared" si="55"/>
        <v>UTILITARIO</v>
      </c>
      <c r="F767" s="6" t="s">
        <v>14</v>
      </c>
      <c r="G767" s="11">
        <v>1200</v>
      </c>
      <c r="H767" s="6" t="s">
        <v>1050</v>
      </c>
      <c r="I767" s="6" t="str">
        <f t="shared" si="56"/>
        <v>N</v>
      </c>
      <c r="J767" s="17" t="s">
        <v>9</v>
      </c>
      <c r="K767" s="6">
        <v>86</v>
      </c>
      <c r="L767" s="9">
        <v>14</v>
      </c>
      <c r="M767" s="2">
        <v>14</v>
      </c>
      <c r="N767" s="2">
        <v>13490</v>
      </c>
      <c r="O767" s="2" t="s">
        <v>1053</v>
      </c>
      <c r="P767" s="2" t="s">
        <v>1248</v>
      </c>
      <c r="Q767" s="2" t="s">
        <v>429</v>
      </c>
      <c r="R767" s="2">
        <v>2100</v>
      </c>
      <c r="S767" s="2"/>
      <c r="T767" s="2">
        <v>177</v>
      </c>
      <c r="U767" s="39">
        <f>IF(I767="N",T767*Supuestos!$B$4,T767*Supuestos!$C$4)*100</f>
        <v>7.5742416900298499</v>
      </c>
      <c r="V767" s="20">
        <f t="shared" si="59"/>
        <v>13.202641807909606</v>
      </c>
      <c r="W767" s="2">
        <f t="shared" si="57"/>
        <v>2478</v>
      </c>
      <c r="X767" s="2">
        <f t="shared" si="58"/>
        <v>106.0393836604179</v>
      </c>
    </row>
    <row r="768" spans="1:24" x14ac:dyDescent="0.25">
      <c r="A768" s="6" t="s">
        <v>71</v>
      </c>
      <c r="B768" s="6" t="s">
        <v>128</v>
      </c>
      <c r="C768" s="6" t="s">
        <v>405</v>
      </c>
      <c r="D768" s="6" t="s">
        <v>399</v>
      </c>
      <c r="E768" s="11" t="str">
        <f t="shared" si="55"/>
        <v>UTILITARIO</v>
      </c>
      <c r="F768" s="6" t="s">
        <v>14</v>
      </c>
      <c r="G768" s="11">
        <v>1200</v>
      </c>
      <c r="H768" s="6" t="s">
        <v>1050</v>
      </c>
      <c r="I768" s="6" t="str">
        <f t="shared" si="56"/>
        <v>N</v>
      </c>
      <c r="J768" s="17" t="s">
        <v>9</v>
      </c>
      <c r="K768" s="6">
        <v>97</v>
      </c>
      <c r="L768" s="9">
        <v>13</v>
      </c>
      <c r="M768" s="2"/>
      <c r="N768" s="2"/>
      <c r="O768" s="2"/>
      <c r="P768" s="2"/>
      <c r="Q768" s="2"/>
      <c r="R768" s="2"/>
      <c r="S768" s="2"/>
      <c r="T768" s="2"/>
      <c r="U768" s="39">
        <f>IF(I768="N",T768*Supuestos!$B$4,T768*Supuestos!$C$4)*100</f>
        <v>0</v>
      </c>
      <c r="V768" s="20">
        <f t="shared" si="59"/>
        <v>0</v>
      </c>
      <c r="W768" s="2">
        <f t="shared" si="57"/>
        <v>0</v>
      </c>
      <c r="X768" s="2">
        <f t="shared" si="58"/>
        <v>0</v>
      </c>
    </row>
    <row r="769" spans="1:24" x14ac:dyDescent="0.25">
      <c r="A769" s="6" t="s">
        <v>71</v>
      </c>
      <c r="B769" s="6" t="s">
        <v>129</v>
      </c>
      <c r="C769" s="6" t="s">
        <v>405</v>
      </c>
      <c r="D769" s="6" t="s">
        <v>399</v>
      </c>
      <c r="E769" s="11" t="str">
        <f t="shared" si="55"/>
        <v>UTILITARIO</v>
      </c>
      <c r="F769" s="6" t="s">
        <v>14</v>
      </c>
      <c r="G769" s="11">
        <v>1200</v>
      </c>
      <c r="H769" s="6" t="s">
        <v>1050</v>
      </c>
      <c r="I769" s="6" t="str">
        <f t="shared" si="56"/>
        <v>N</v>
      </c>
      <c r="J769" s="17" t="s">
        <v>9</v>
      </c>
      <c r="K769" s="6">
        <v>97</v>
      </c>
      <c r="L769" s="9">
        <v>13</v>
      </c>
      <c r="M769" s="2"/>
      <c r="N769" s="2"/>
      <c r="O769" s="2"/>
      <c r="P769" s="2"/>
      <c r="Q769" s="2"/>
      <c r="R769" s="2"/>
      <c r="S769" s="2"/>
      <c r="T769" s="2"/>
      <c r="U769" s="39">
        <f>IF(I769="N",T769*Supuestos!$B$4,T769*Supuestos!$C$4)*100</f>
        <v>0</v>
      </c>
      <c r="V769" s="20">
        <f t="shared" si="59"/>
        <v>0</v>
      </c>
      <c r="W769" s="2">
        <f t="shared" si="57"/>
        <v>0</v>
      </c>
      <c r="X769" s="2">
        <f t="shared" si="58"/>
        <v>0</v>
      </c>
    </row>
    <row r="770" spans="1:24" x14ac:dyDescent="0.25">
      <c r="A770" s="6" t="s">
        <v>30</v>
      </c>
      <c r="B770" s="6" t="s">
        <v>193</v>
      </c>
      <c r="C770" s="6" t="s">
        <v>409</v>
      </c>
      <c r="D770" s="6" t="s">
        <v>399</v>
      </c>
      <c r="E770" s="11" t="str">
        <f t="shared" ref="E770:E833" si="60">IF(D770="COMERCIAL","UTILITARIO",IF(C770="SUV Y CROSSOVER","SUV","AUTOMOVIL"))</f>
        <v>UTILITARIO</v>
      </c>
      <c r="F770" s="6" t="s">
        <v>23</v>
      </c>
      <c r="G770" s="11">
        <v>3200</v>
      </c>
      <c r="H770" s="6" t="s">
        <v>1052</v>
      </c>
      <c r="I770" s="6" t="str">
        <f t="shared" ref="I770:I833" si="61">IF(H770="NAFTA","N",IF(H770="DIESEL","D",IF(H770="ELÉCTRICO","E","")))</f>
        <v>D</v>
      </c>
      <c r="J770" s="17" t="s">
        <v>22</v>
      </c>
      <c r="K770" s="6">
        <v>200</v>
      </c>
      <c r="L770" s="9">
        <v>13</v>
      </c>
      <c r="M770" s="2">
        <v>13</v>
      </c>
      <c r="N770" s="2">
        <v>63990</v>
      </c>
      <c r="O770" s="2" t="s">
        <v>1060</v>
      </c>
      <c r="P770" s="2" t="s">
        <v>1262</v>
      </c>
      <c r="Q770" s="2" t="s">
        <v>444</v>
      </c>
      <c r="R770" s="2">
        <v>3200</v>
      </c>
      <c r="S770" s="2"/>
      <c r="T770" s="2">
        <v>237</v>
      </c>
      <c r="U770" s="39">
        <f>IF(I770="N",T770*Supuestos!$B$4,T770*Supuestos!$C$4)*100</f>
        <v>8.8287826360420407</v>
      </c>
      <c r="V770" s="20">
        <f t="shared" si="59"/>
        <v>11.326589873417722</v>
      </c>
      <c r="W770" s="2">
        <f t="shared" ref="W770:W833" si="62">T770*M770</f>
        <v>3081</v>
      </c>
      <c r="X770" s="2">
        <f t="shared" ref="X770:X833" si="63">+U770*M770</f>
        <v>114.77417426854653</v>
      </c>
    </row>
    <row r="771" spans="1:24" x14ac:dyDescent="0.25">
      <c r="A771" s="6" t="s">
        <v>34</v>
      </c>
      <c r="B771" s="6" t="s">
        <v>714</v>
      </c>
      <c r="C771" s="6" t="s">
        <v>402</v>
      </c>
      <c r="D771" s="6" t="s">
        <v>399</v>
      </c>
      <c r="E771" s="11" t="str">
        <f t="shared" si="60"/>
        <v>UTILITARIO</v>
      </c>
      <c r="F771" s="6"/>
      <c r="G771" s="11">
        <v>2200</v>
      </c>
      <c r="H771" s="6" t="s">
        <v>1052</v>
      </c>
      <c r="I771" s="6" t="str">
        <f t="shared" si="61"/>
        <v>D</v>
      </c>
      <c r="J771" s="17" t="s">
        <v>22</v>
      </c>
      <c r="K771" s="6"/>
      <c r="L771" s="9">
        <v>13</v>
      </c>
      <c r="M771" s="2">
        <v>13</v>
      </c>
      <c r="N771" s="2">
        <v>46900</v>
      </c>
      <c r="O771" s="2" t="s">
        <v>1053</v>
      </c>
      <c r="P771" s="2" t="s">
        <v>1280</v>
      </c>
      <c r="Q771" s="2" t="s">
        <v>429</v>
      </c>
      <c r="R771" s="2">
        <v>3090</v>
      </c>
      <c r="S771" s="2"/>
      <c r="T771" s="2">
        <v>183</v>
      </c>
      <c r="U771" s="39">
        <f>IF(I771="N",T771*Supuestos!$B$4,T771*Supuestos!$C$4)*100</f>
        <v>6.8171612759311966</v>
      </c>
      <c r="V771" s="20">
        <f t="shared" ref="V771:V834" si="64">IF(U771&gt;0,100/U771,0)</f>
        <v>14.668862295081967</v>
      </c>
      <c r="W771" s="2">
        <f t="shared" si="62"/>
        <v>2379</v>
      </c>
      <c r="X771" s="2">
        <f t="shared" si="63"/>
        <v>88.62309658710555</v>
      </c>
    </row>
    <row r="772" spans="1:24" x14ac:dyDescent="0.25">
      <c r="A772" s="6" t="s">
        <v>36</v>
      </c>
      <c r="B772" s="6" t="s">
        <v>741</v>
      </c>
      <c r="C772" s="6" t="s">
        <v>402</v>
      </c>
      <c r="D772" s="6" t="s">
        <v>399</v>
      </c>
      <c r="E772" s="11" t="str">
        <f t="shared" si="60"/>
        <v>UTILITARIO</v>
      </c>
      <c r="F772" s="6" t="s">
        <v>14</v>
      </c>
      <c r="G772" s="11"/>
      <c r="H772" s="6" t="s">
        <v>1051</v>
      </c>
      <c r="I772" s="6" t="str">
        <f t="shared" si="61"/>
        <v>E</v>
      </c>
      <c r="J772" s="17" t="s">
        <v>418</v>
      </c>
      <c r="K772" s="6">
        <v>201</v>
      </c>
      <c r="L772" s="9">
        <v>13</v>
      </c>
      <c r="M772" s="21">
        <v>13</v>
      </c>
      <c r="N772" s="2">
        <v>42990</v>
      </c>
      <c r="O772" s="2" t="s">
        <v>1060</v>
      </c>
      <c r="P772" s="2" t="s">
        <v>1342</v>
      </c>
      <c r="Q772" s="2"/>
      <c r="R772" s="2">
        <v>2835</v>
      </c>
      <c r="S772" s="2">
        <v>4.3</v>
      </c>
      <c r="T772" s="2"/>
      <c r="U772" s="39">
        <f>IF(I772="N",T772*Supuestos!$B$4,T772*Supuestos!$C$4)*100</f>
        <v>0</v>
      </c>
      <c r="V772" s="20">
        <f t="shared" si="64"/>
        <v>0</v>
      </c>
      <c r="W772" s="2">
        <f t="shared" si="62"/>
        <v>0</v>
      </c>
      <c r="X772" s="2">
        <f t="shared" si="63"/>
        <v>0</v>
      </c>
    </row>
    <row r="773" spans="1:24" x14ac:dyDescent="0.25">
      <c r="A773" s="6" t="s">
        <v>480</v>
      </c>
      <c r="B773" s="6" t="s">
        <v>803</v>
      </c>
      <c r="C773" s="6" t="s">
        <v>402</v>
      </c>
      <c r="D773" s="6" t="s">
        <v>399</v>
      </c>
      <c r="E773" s="11" t="str">
        <f t="shared" si="60"/>
        <v>UTILITARIO</v>
      </c>
      <c r="F773" s="6" t="s">
        <v>14</v>
      </c>
      <c r="G773" s="11"/>
      <c r="H773" s="6" t="s">
        <v>1051</v>
      </c>
      <c r="I773" s="6" t="str">
        <f t="shared" si="61"/>
        <v>E</v>
      </c>
      <c r="J773" s="17" t="s">
        <v>418</v>
      </c>
      <c r="K773" s="6">
        <v>201</v>
      </c>
      <c r="L773" s="9">
        <v>13</v>
      </c>
      <c r="M773" s="21">
        <v>13</v>
      </c>
      <c r="N773" s="2">
        <v>78848</v>
      </c>
      <c r="O773" s="2" t="s">
        <v>1060</v>
      </c>
      <c r="P773" s="2" t="s">
        <v>1376</v>
      </c>
      <c r="Q773" s="2"/>
      <c r="R773" s="2">
        <v>3500</v>
      </c>
      <c r="S773" s="2">
        <v>2.8</v>
      </c>
      <c r="T773" s="2"/>
      <c r="U773" s="39">
        <f>IF(I773="N",T773*Supuestos!$B$4,T773*Supuestos!$C$4)*100</f>
        <v>0</v>
      </c>
      <c r="V773" s="20">
        <f t="shared" si="64"/>
        <v>0</v>
      </c>
      <c r="W773" s="2">
        <f t="shared" si="62"/>
        <v>0</v>
      </c>
      <c r="X773" s="2">
        <f t="shared" si="63"/>
        <v>0</v>
      </c>
    </row>
    <row r="774" spans="1:24" x14ac:dyDescent="0.25">
      <c r="A774" s="6" t="s">
        <v>62</v>
      </c>
      <c r="B774" s="6" t="s">
        <v>891</v>
      </c>
      <c r="C774" s="6" t="s">
        <v>409</v>
      </c>
      <c r="D774" s="6" t="s">
        <v>399</v>
      </c>
      <c r="E774" s="11" t="str">
        <f t="shared" si="60"/>
        <v>UTILITARIO</v>
      </c>
      <c r="F774" s="6" t="s">
        <v>413</v>
      </c>
      <c r="G774" s="11">
        <v>2200</v>
      </c>
      <c r="H774" s="6" t="s">
        <v>1052</v>
      </c>
      <c r="I774" s="6" t="str">
        <f t="shared" si="61"/>
        <v>D</v>
      </c>
      <c r="J774" s="17" t="s">
        <v>22</v>
      </c>
      <c r="K774" s="6">
        <v>180</v>
      </c>
      <c r="L774" s="9">
        <v>13</v>
      </c>
      <c r="M774" s="2"/>
      <c r="N774" s="2"/>
      <c r="O774" s="2"/>
      <c r="P774" s="2"/>
      <c r="Q774" s="2"/>
      <c r="R774" s="2"/>
      <c r="S774" s="2"/>
      <c r="T774" s="2"/>
      <c r="U774" s="39">
        <f>IF(I774="N",T774*Supuestos!$B$4,T774*Supuestos!$C$4)*100</f>
        <v>0</v>
      </c>
      <c r="V774" s="20">
        <f t="shared" si="64"/>
        <v>0</v>
      </c>
      <c r="W774" s="2">
        <f t="shared" si="62"/>
        <v>0</v>
      </c>
      <c r="X774" s="2">
        <f t="shared" si="63"/>
        <v>0</v>
      </c>
    </row>
    <row r="775" spans="1:24" x14ac:dyDescent="0.25">
      <c r="A775" s="6" t="s">
        <v>81</v>
      </c>
      <c r="B775" s="6" t="s">
        <v>625</v>
      </c>
      <c r="C775" s="6" t="s">
        <v>66</v>
      </c>
      <c r="D775" s="6" t="s">
        <v>399</v>
      </c>
      <c r="E775" s="11" t="str">
        <f t="shared" si="60"/>
        <v>UTILITARIO</v>
      </c>
      <c r="F775" s="6"/>
      <c r="G775" s="11"/>
      <c r="H775" s="6" t="s">
        <v>1051</v>
      </c>
      <c r="I775" s="6" t="str">
        <f t="shared" si="61"/>
        <v>E</v>
      </c>
      <c r="J775" s="17" t="s">
        <v>418</v>
      </c>
      <c r="K775" s="6">
        <v>136</v>
      </c>
      <c r="L775" s="9">
        <v>12</v>
      </c>
      <c r="M775" s="21">
        <v>12</v>
      </c>
      <c r="N775" s="2">
        <v>46990</v>
      </c>
      <c r="O775" s="2" t="s">
        <v>1060</v>
      </c>
      <c r="P775" s="2" t="s">
        <v>1377</v>
      </c>
      <c r="Q775" s="2"/>
      <c r="R775" s="2">
        <v>2450</v>
      </c>
      <c r="S775" s="2">
        <v>6.1</v>
      </c>
      <c r="T775" s="2"/>
      <c r="U775" s="39">
        <f>IF(I775="N",T775*Supuestos!$B$4,T775*Supuestos!$C$4)*100</f>
        <v>0</v>
      </c>
      <c r="V775" s="20">
        <f t="shared" si="64"/>
        <v>0</v>
      </c>
      <c r="W775" s="2">
        <f t="shared" si="62"/>
        <v>0</v>
      </c>
      <c r="X775" s="2">
        <f t="shared" si="63"/>
        <v>0</v>
      </c>
    </row>
    <row r="776" spans="1:24" x14ac:dyDescent="0.25">
      <c r="A776" s="6" t="s">
        <v>30</v>
      </c>
      <c r="B776" s="6" t="s">
        <v>672</v>
      </c>
      <c r="C776" s="6" t="s">
        <v>409</v>
      </c>
      <c r="D776" s="6" t="s">
        <v>399</v>
      </c>
      <c r="E776" s="11" t="str">
        <f t="shared" si="60"/>
        <v>UTILITARIO</v>
      </c>
      <c r="F776" s="6" t="s">
        <v>23</v>
      </c>
      <c r="G776" s="11">
        <v>2200</v>
      </c>
      <c r="H776" s="6" t="s">
        <v>1052</v>
      </c>
      <c r="I776" s="6" t="str">
        <f t="shared" si="61"/>
        <v>D</v>
      </c>
      <c r="J776" s="17" t="s">
        <v>22</v>
      </c>
      <c r="K776" s="6">
        <v>160</v>
      </c>
      <c r="L776" s="9">
        <v>12</v>
      </c>
      <c r="M776" s="2">
        <v>12</v>
      </c>
      <c r="N776" s="2">
        <v>49990</v>
      </c>
      <c r="O776" s="2" t="s">
        <v>1060</v>
      </c>
      <c r="P776" s="2" t="s">
        <v>1260</v>
      </c>
      <c r="Q776" s="2" t="s">
        <v>1261</v>
      </c>
      <c r="R776" s="2">
        <v>3200</v>
      </c>
      <c r="S776" s="2"/>
      <c r="T776" s="2">
        <v>187</v>
      </c>
      <c r="U776" s="39">
        <f>IF(I776="N",T776*Supuestos!$B$4,T776*Supuestos!$C$4)*100</f>
        <v>6.966170265569037</v>
      </c>
      <c r="V776" s="20">
        <f t="shared" si="64"/>
        <v>14.355089839572193</v>
      </c>
      <c r="W776" s="2">
        <f t="shared" si="62"/>
        <v>2244</v>
      </c>
      <c r="X776" s="2">
        <f t="shared" si="63"/>
        <v>83.594043186828443</v>
      </c>
    </row>
    <row r="777" spans="1:24" x14ac:dyDescent="0.25">
      <c r="A777" s="6" t="s">
        <v>62</v>
      </c>
      <c r="B777" s="6" t="s">
        <v>298</v>
      </c>
      <c r="C777" s="6" t="s">
        <v>409</v>
      </c>
      <c r="D777" s="6" t="s">
        <v>399</v>
      </c>
      <c r="E777" s="11" t="str">
        <f t="shared" si="60"/>
        <v>UTILITARIO</v>
      </c>
      <c r="F777" s="6" t="s">
        <v>14</v>
      </c>
      <c r="G777" s="11">
        <v>2400</v>
      </c>
      <c r="H777" s="6" t="s">
        <v>1050</v>
      </c>
      <c r="I777" s="6" t="str">
        <f t="shared" si="61"/>
        <v>N</v>
      </c>
      <c r="J777" s="17" t="s">
        <v>9</v>
      </c>
      <c r="K777" s="6">
        <v>210</v>
      </c>
      <c r="L777" s="9">
        <v>12</v>
      </c>
      <c r="M777" s="2"/>
      <c r="N777" s="2"/>
      <c r="O777" s="2"/>
      <c r="P777" s="2"/>
      <c r="Q777" s="2"/>
      <c r="R777" s="2"/>
      <c r="S777" s="2"/>
      <c r="T777" s="2"/>
      <c r="U777" s="39">
        <f>IF(I777="N",T777*Supuestos!$B$4,T777*Supuestos!$C$4)*100</f>
        <v>0</v>
      </c>
      <c r="V777" s="20">
        <f t="shared" si="64"/>
        <v>0</v>
      </c>
      <c r="W777" s="2">
        <f t="shared" si="62"/>
        <v>0</v>
      </c>
      <c r="X777" s="2">
        <f t="shared" si="63"/>
        <v>0</v>
      </c>
    </row>
    <row r="778" spans="1:24" x14ac:dyDescent="0.25">
      <c r="A778" s="6" t="s">
        <v>31</v>
      </c>
      <c r="B778" s="6" t="s">
        <v>675</v>
      </c>
      <c r="C778" s="6" t="s">
        <v>402</v>
      </c>
      <c r="D778" s="6" t="s">
        <v>399</v>
      </c>
      <c r="E778" s="11" t="str">
        <f t="shared" si="60"/>
        <v>UTILITARIO</v>
      </c>
      <c r="F778" s="6" t="s">
        <v>14</v>
      </c>
      <c r="G778" s="11">
        <v>2800</v>
      </c>
      <c r="H778" s="6" t="s">
        <v>1052</v>
      </c>
      <c r="I778" s="6" t="str">
        <f t="shared" si="61"/>
        <v>D</v>
      </c>
      <c r="J778" s="17" t="s">
        <v>22</v>
      </c>
      <c r="K778" s="6">
        <v>113</v>
      </c>
      <c r="L778" s="9">
        <v>11</v>
      </c>
      <c r="M778" s="2"/>
      <c r="N778" s="2"/>
      <c r="O778" s="2"/>
      <c r="P778" s="2"/>
      <c r="Q778" s="2"/>
      <c r="R778" s="2"/>
      <c r="S778" s="2"/>
      <c r="T778" s="2"/>
      <c r="U778" s="39">
        <f>IF(I778="N",T778*Supuestos!$B$4,T778*Supuestos!$C$4)*100</f>
        <v>0</v>
      </c>
      <c r="V778" s="20">
        <f t="shared" si="64"/>
        <v>0</v>
      </c>
      <c r="W778" s="2">
        <f t="shared" si="62"/>
        <v>0</v>
      </c>
      <c r="X778" s="2">
        <f t="shared" si="63"/>
        <v>0</v>
      </c>
    </row>
    <row r="779" spans="1:24" x14ac:dyDescent="0.25">
      <c r="A779" s="6" t="s">
        <v>59</v>
      </c>
      <c r="B779" s="6" t="s">
        <v>735</v>
      </c>
      <c r="C779" s="6" t="s">
        <v>402</v>
      </c>
      <c r="D779" s="6" t="s">
        <v>399</v>
      </c>
      <c r="E779" s="11" t="str">
        <f t="shared" si="60"/>
        <v>UTILITARIO</v>
      </c>
      <c r="F779" s="6" t="s">
        <v>21</v>
      </c>
      <c r="G779" s="11">
        <v>2300</v>
      </c>
      <c r="H779" s="6" t="s">
        <v>1052</v>
      </c>
      <c r="I779" s="6" t="str">
        <f t="shared" si="61"/>
        <v>D</v>
      </c>
      <c r="J779" s="17" t="s">
        <v>22</v>
      </c>
      <c r="K779" s="6">
        <v>130</v>
      </c>
      <c r="L779" s="9">
        <v>11</v>
      </c>
      <c r="M779" s="2"/>
      <c r="N779" s="2"/>
      <c r="O779" s="2"/>
      <c r="P779" s="2"/>
      <c r="Q779" s="2"/>
      <c r="R779" s="2"/>
      <c r="S779" s="2"/>
      <c r="T779" s="2"/>
      <c r="U779" s="39">
        <f>IF(I779="N",T779*Supuestos!$B$4,T779*Supuestos!$C$4)*100</f>
        <v>0</v>
      </c>
      <c r="V779" s="20">
        <f t="shared" si="64"/>
        <v>0</v>
      </c>
      <c r="W779" s="2">
        <f t="shared" si="62"/>
        <v>0</v>
      </c>
      <c r="X779" s="2">
        <f t="shared" si="63"/>
        <v>0</v>
      </c>
    </row>
    <row r="780" spans="1:24" x14ac:dyDescent="0.25">
      <c r="A780" s="6" t="s">
        <v>53</v>
      </c>
      <c r="B780" s="6" t="s">
        <v>384</v>
      </c>
      <c r="C780" s="6" t="s">
        <v>409</v>
      </c>
      <c r="D780" s="6" t="s">
        <v>399</v>
      </c>
      <c r="E780" s="11" t="str">
        <f t="shared" si="60"/>
        <v>UTILITARIO</v>
      </c>
      <c r="F780" s="6" t="s">
        <v>23</v>
      </c>
      <c r="G780" s="11">
        <v>2000</v>
      </c>
      <c r="H780" s="6" t="s">
        <v>1052</v>
      </c>
      <c r="I780" s="6" t="str">
        <f t="shared" si="61"/>
        <v>D</v>
      </c>
      <c r="J780" s="17" t="s">
        <v>22</v>
      </c>
      <c r="K780" s="6">
        <v>180</v>
      </c>
      <c r="L780" s="9">
        <v>11</v>
      </c>
      <c r="M780" s="2">
        <v>11</v>
      </c>
      <c r="N780" s="2">
        <v>47990</v>
      </c>
      <c r="O780" s="2" t="s">
        <v>1053</v>
      </c>
      <c r="P780" s="2" t="s">
        <v>1276</v>
      </c>
      <c r="Q780" s="2" t="s">
        <v>422</v>
      </c>
      <c r="R780" s="2">
        <v>3040</v>
      </c>
      <c r="S780" s="2"/>
      <c r="T780" s="2">
        <v>234</v>
      </c>
      <c r="U780" s="39">
        <f>IF(I780="N",T780*Supuestos!$B$4,T780*Supuestos!$C$4)*100</f>
        <v>8.7170258938136609</v>
      </c>
      <c r="V780" s="20">
        <f t="shared" si="64"/>
        <v>11.471802564102564</v>
      </c>
      <c r="W780" s="2">
        <f t="shared" si="62"/>
        <v>2574</v>
      </c>
      <c r="X780" s="2">
        <f t="shared" si="63"/>
        <v>95.887284831950268</v>
      </c>
    </row>
    <row r="781" spans="1:24" x14ac:dyDescent="0.25">
      <c r="A781" s="6" t="s">
        <v>34</v>
      </c>
      <c r="B781" s="6" t="s">
        <v>715</v>
      </c>
      <c r="C781" s="6" t="s">
        <v>402</v>
      </c>
      <c r="D781" s="6" t="s">
        <v>399</v>
      </c>
      <c r="E781" s="11" t="str">
        <f t="shared" si="60"/>
        <v>UTILITARIO</v>
      </c>
      <c r="F781" s="6" t="s">
        <v>20</v>
      </c>
      <c r="G781" s="11">
        <v>3500</v>
      </c>
      <c r="H781" s="6" t="s">
        <v>1050</v>
      </c>
      <c r="I781" s="6" t="str">
        <f t="shared" si="61"/>
        <v>N</v>
      </c>
      <c r="J781" s="17" t="s">
        <v>9</v>
      </c>
      <c r="K781" s="6">
        <v>268</v>
      </c>
      <c r="L781" s="9">
        <v>10</v>
      </c>
      <c r="M781" s="2">
        <v>10</v>
      </c>
      <c r="N781" s="2">
        <v>57900</v>
      </c>
      <c r="O781" s="2" t="s">
        <v>1053</v>
      </c>
      <c r="P781" s="2" t="s">
        <v>1281</v>
      </c>
      <c r="Q781" s="2" t="s">
        <v>422</v>
      </c>
      <c r="R781" s="2">
        <v>3100</v>
      </c>
      <c r="S781" s="2"/>
      <c r="T781" s="2">
        <v>231</v>
      </c>
      <c r="U781" s="39">
        <f>IF(I781="N",T781*Supuestos!$B$4,T781*Supuestos!$C$4)*100</f>
        <v>9.8850272903779395</v>
      </c>
      <c r="V781" s="20">
        <f t="shared" si="64"/>
        <v>10.116309956709957</v>
      </c>
      <c r="W781" s="2">
        <f t="shared" si="62"/>
        <v>2310</v>
      </c>
      <c r="X781" s="2">
        <f t="shared" si="63"/>
        <v>98.850272903779398</v>
      </c>
    </row>
    <row r="782" spans="1:24" x14ac:dyDescent="0.25">
      <c r="A782" s="6" t="s">
        <v>42</v>
      </c>
      <c r="B782" s="6" t="s">
        <v>852</v>
      </c>
      <c r="C782" s="6" t="s">
        <v>402</v>
      </c>
      <c r="D782" s="6" t="s">
        <v>399</v>
      </c>
      <c r="E782" s="11" t="str">
        <f t="shared" si="60"/>
        <v>UTILITARIO</v>
      </c>
      <c r="F782" s="6" t="s">
        <v>57</v>
      </c>
      <c r="G782" s="11">
        <v>1600</v>
      </c>
      <c r="H782" s="6" t="s">
        <v>1052</v>
      </c>
      <c r="I782" s="6" t="str">
        <f t="shared" si="61"/>
        <v>D</v>
      </c>
      <c r="J782" s="17" t="s">
        <v>22</v>
      </c>
      <c r="K782" s="6">
        <v>114</v>
      </c>
      <c r="L782" s="9">
        <v>10</v>
      </c>
      <c r="M782" s="2"/>
      <c r="N782" s="2"/>
      <c r="O782" s="2"/>
      <c r="P782" s="2"/>
      <c r="Q782" s="2"/>
      <c r="R782" s="2"/>
      <c r="S782" s="2"/>
      <c r="T782" s="2"/>
      <c r="U782" s="39">
        <f>IF(I782="N",T782*Supuestos!$B$4,T782*Supuestos!$C$4)*100</f>
        <v>0</v>
      </c>
      <c r="V782" s="20">
        <f t="shared" si="64"/>
        <v>0</v>
      </c>
      <c r="W782" s="2">
        <f t="shared" si="62"/>
        <v>0</v>
      </c>
      <c r="X782" s="2">
        <f t="shared" si="63"/>
        <v>0</v>
      </c>
    </row>
    <row r="783" spans="1:24" x14ac:dyDescent="0.25">
      <c r="A783" s="6" t="s">
        <v>44</v>
      </c>
      <c r="B783" s="6" t="s">
        <v>258</v>
      </c>
      <c r="C783" s="6" t="s">
        <v>409</v>
      </c>
      <c r="D783" s="6" t="s">
        <v>399</v>
      </c>
      <c r="E783" s="11" t="str">
        <f t="shared" si="60"/>
        <v>UTILITARIO</v>
      </c>
      <c r="F783" s="6" t="s">
        <v>25</v>
      </c>
      <c r="G783" s="11">
        <v>2400</v>
      </c>
      <c r="H783" s="6" t="s">
        <v>1052</v>
      </c>
      <c r="I783" s="6" t="str">
        <f t="shared" si="61"/>
        <v>D</v>
      </c>
      <c r="J783" s="17" t="s">
        <v>22</v>
      </c>
      <c r="K783" s="6">
        <v>178</v>
      </c>
      <c r="L783" s="9">
        <v>10</v>
      </c>
      <c r="M783" s="2">
        <v>10</v>
      </c>
      <c r="N783" s="2">
        <v>74990</v>
      </c>
      <c r="O783" s="2" t="s">
        <v>1053</v>
      </c>
      <c r="P783" s="2" t="s">
        <v>1288</v>
      </c>
      <c r="Q783" s="2" t="s">
        <v>429</v>
      </c>
      <c r="R783" s="2">
        <v>3000</v>
      </c>
      <c r="S783" s="2"/>
      <c r="T783" s="2">
        <v>220</v>
      </c>
      <c r="U783" s="39">
        <f>IF(I783="N",T783*Supuestos!$B$4,T783*Supuestos!$C$4)*100</f>
        <v>8.1954944300812205</v>
      </c>
      <c r="V783" s="20">
        <f t="shared" si="64"/>
        <v>12.201826363636362</v>
      </c>
      <c r="W783" s="2">
        <f t="shared" si="62"/>
        <v>2200</v>
      </c>
      <c r="X783" s="2">
        <f t="shared" si="63"/>
        <v>81.954944300812201</v>
      </c>
    </row>
    <row r="784" spans="1:24" x14ac:dyDescent="0.25">
      <c r="A784" s="6" t="s">
        <v>81</v>
      </c>
      <c r="B784" s="6" t="s">
        <v>632</v>
      </c>
      <c r="C784" s="6" t="s">
        <v>402</v>
      </c>
      <c r="D784" s="6" t="s">
        <v>399</v>
      </c>
      <c r="E784" s="11" t="str">
        <f t="shared" si="60"/>
        <v>UTILITARIO</v>
      </c>
      <c r="F784" s="6" t="s">
        <v>413</v>
      </c>
      <c r="G784" s="11">
        <v>1500</v>
      </c>
      <c r="H784" s="6" t="s">
        <v>1052</v>
      </c>
      <c r="I784" s="6" t="str">
        <f t="shared" si="61"/>
        <v>D</v>
      </c>
      <c r="J784" s="17" t="s">
        <v>22</v>
      </c>
      <c r="K784" s="6">
        <v>118</v>
      </c>
      <c r="L784" s="9">
        <v>9</v>
      </c>
      <c r="M784" s="2"/>
      <c r="N784" s="2"/>
      <c r="O784" s="2"/>
      <c r="P784" s="2"/>
      <c r="Q784" s="2"/>
      <c r="R784" s="2"/>
      <c r="S784" s="2"/>
      <c r="T784" s="2"/>
      <c r="U784" s="39">
        <f>IF(I784="N",T784*Supuestos!$B$4,T784*Supuestos!$C$4)*100</f>
        <v>0</v>
      </c>
      <c r="V784" s="20">
        <f t="shared" si="64"/>
        <v>0</v>
      </c>
      <c r="W784" s="2">
        <f t="shared" si="62"/>
        <v>0</v>
      </c>
      <c r="X784" s="2">
        <f t="shared" si="63"/>
        <v>0</v>
      </c>
    </row>
    <row r="785" spans="1:24" x14ac:dyDescent="0.25">
      <c r="A785" s="6" t="s">
        <v>38</v>
      </c>
      <c r="B785" s="6" t="s">
        <v>764</v>
      </c>
      <c r="C785" s="6" t="s">
        <v>409</v>
      </c>
      <c r="D785" s="6" t="s">
        <v>399</v>
      </c>
      <c r="E785" s="11" t="str">
        <f t="shared" si="60"/>
        <v>UTILITARIO</v>
      </c>
      <c r="F785" s="6"/>
      <c r="G785" s="11">
        <v>1800</v>
      </c>
      <c r="H785" s="6" t="s">
        <v>1050</v>
      </c>
      <c r="I785" s="6" t="str">
        <f t="shared" si="61"/>
        <v>N</v>
      </c>
      <c r="J785" s="17" t="s">
        <v>9</v>
      </c>
      <c r="K785" s="6"/>
      <c r="L785" s="9">
        <v>9</v>
      </c>
      <c r="M785" s="2"/>
      <c r="N785" s="2"/>
      <c r="O785" s="2"/>
      <c r="P785" s="2"/>
      <c r="Q785" s="2"/>
      <c r="R785" s="2"/>
      <c r="S785" s="2"/>
      <c r="T785" s="2"/>
      <c r="U785" s="39">
        <f>IF(I785="N",T785*Supuestos!$B$4,T785*Supuestos!$C$4)*100</f>
        <v>0</v>
      </c>
      <c r="V785" s="20">
        <f t="shared" si="64"/>
        <v>0</v>
      </c>
      <c r="W785" s="2">
        <f t="shared" si="62"/>
        <v>0</v>
      </c>
      <c r="X785" s="2">
        <f t="shared" si="63"/>
        <v>0</v>
      </c>
    </row>
    <row r="786" spans="1:24" x14ac:dyDescent="0.25">
      <c r="A786" s="6" t="s">
        <v>42</v>
      </c>
      <c r="B786" s="6" t="s">
        <v>254</v>
      </c>
      <c r="C786" s="6" t="s">
        <v>402</v>
      </c>
      <c r="D786" s="6" t="s">
        <v>399</v>
      </c>
      <c r="E786" s="11" t="str">
        <f t="shared" si="60"/>
        <v>UTILITARIO</v>
      </c>
      <c r="F786" s="6" t="s">
        <v>23</v>
      </c>
      <c r="G786" s="11"/>
      <c r="H786" s="6" t="s">
        <v>1052</v>
      </c>
      <c r="I786" s="6" t="str">
        <f t="shared" si="61"/>
        <v>D</v>
      </c>
      <c r="J786" s="17" t="s">
        <v>22</v>
      </c>
      <c r="K786" s="6">
        <v>150</v>
      </c>
      <c r="L786" s="9">
        <v>9</v>
      </c>
      <c r="M786" s="2"/>
      <c r="N786" s="2"/>
      <c r="O786" s="2"/>
      <c r="P786" s="2"/>
      <c r="Q786" s="2"/>
      <c r="R786" s="2"/>
      <c r="S786" s="2"/>
      <c r="T786" s="2"/>
      <c r="U786" s="39">
        <f>IF(I786="N",T786*Supuestos!$B$4,T786*Supuestos!$C$4)*100</f>
        <v>0</v>
      </c>
      <c r="V786" s="20">
        <f t="shared" si="64"/>
        <v>0</v>
      </c>
      <c r="W786" s="2">
        <f t="shared" si="62"/>
        <v>0</v>
      </c>
      <c r="X786" s="2">
        <f t="shared" si="63"/>
        <v>0</v>
      </c>
    </row>
    <row r="787" spans="1:24" x14ac:dyDescent="0.25">
      <c r="A787" s="6" t="s">
        <v>46</v>
      </c>
      <c r="B787" s="6" t="s">
        <v>263</v>
      </c>
      <c r="C787" s="6" t="s">
        <v>409</v>
      </c>
      <c r="D787" s="6" t="s">
        <v>399</v>
      </c>
      <c r="E787" s="11" t="str">
        <f t="shared" si="60"/>
        <v>UTILITARIO</v>
      </c>
      <c r="F787" s="6" t="s">
        <v>24</v>
      </c>
      <c r="G787" s="11">
        <v>2500</v>
      </c>
      <c r="H787" s="6" t="s">
        <v>1052</v>
      </c>
      <c r="I787" s="6" t="str">
        <f t="shared" si="61"/>
        <v>D</v>
      </c>
      <c r="J787" s="17" t="s">
        <v>22</v>
      </c>
      <c r="K787" s="6">
        <v>187</v>
      </c>
      <c r="L787" s="9">
        <v>9</v>
      </c>
      <c r="M787" s="2">
        <v>9</v>
      </c>
      <c r="N787" s="2">
        <v>62828</v>
      </c>
      <c r="O787" s="2" t="s">
        <v>1053</v>
      </c>
      <c r="P787" s="2" t="s">
        <v>1239</v>
      </c>
      <c r="Q787" s="2" t="s">
        <v>428</v>
      </c>
      <c r="R787" s="2">
        <v>3020</v>
      </c>
      <c r="S787" s="2"/>
      <c r="T787" s="2">
        <v>199</v>
      </c>
      <c r="U787" s="39">
        <f>IF(I787="N",T787*Supuestos!$B$4,T787*Supuestos!$C$4)*100</f>
        <v>7.4131972344825572</v>
      </c>
      <c r="V787" s="20">
        <f t="shared" si="64"/>
        <v>13.489456281407037</v>
      </c>
      <c r="W787" s="2">
        <f t="shared" si="62"/>
        <v>1791</v>
      </c>
      <c r="X787" s="2">
        <f t="shared" si="63"/>
        <v>66.718775110343017</v>
      </c>
    </row>
    <row r="788" spans="1:24" x14ac:dyDescent="0.25">
      <c r="A788" s="6" t="s">
        <v>62</v>
      </c>
      <c r="B788" s="6" t="s">
        <v>893</v>
      </c>
      <c r="C788" s="6" t="s">
        <v>409</v>
      </c>
      <c r="D788" s="6" t="s">
        <v>399</v>
      </c>
      <c r="E788" s="11" t="str">
        <f t="shared" si="60"/>
        <v>UTILITARIO</v>
      </c>
      <c r="F788" s="6" t="s">
        <v>413</v>
      </c>
      <c r="G788" s="11">
        <v>2200</v>
      </c>
      <c r="H788" s="6" t="s">
        <v>1052</v>
      </c>
      <c r="I788" s="6" t="str">
        <f t="shared" si="61"/>
        <v>D</v>
      </c>
      <c r="J788" s="17" t="s">
        <v>22</v>
      </c>
      <c r="K788" s="6">
        <v>180</v>
      </c>
      <c r="L788" s="9">
        <v>9</v>
      </c>
      <c r="M788" s="2"/>
      <c r="N788" s="2"/>
      <c r="O788" s="2"/>
      <c r="P788" s="2"/>
      <c r="Q788" s="2"/>
      <c r="R788" s="2"/>
      <c r="S788" s="2"/>
      <c r="T788" s="2"/>
      <c r="U788" s="39">
        <f>IF(I788="N",T788*Supuestos!$B$4,T788*Supuestos!$C$4)*100</f>
        <v>0</v>
      </c>
      <c r="V788" s="20">
        <f t="shared" si="64"/>
        <v>0</v>
      </c>
      <c r="W788" s="2">
        <f t="shared" si="62"/>
        <v>0</v>
      </c>
      <c r="X788" s="2">
        <f t="shared" si="63"/>
        <v>0</v>
      </c>
    </row>
    <row r="789" spans="1:24" x14ac:dyDescent="0.25">
      <c r="A789" s="6" t="s">
        <v>52</v>
      </c>
      <c r="B789" s="6" t="s">
        <v>354</v>
      </c>
      <c r="C789" s="6" t="s">
        <v>409</v>
      </c>
      <c r="D789" s="6" t="s">
        <v>399</v>
      </c>
      <c r="E789" s="11" t="str">
        <f t="shared" si="60"/>
        <v>UTILITARIO</v>
      </c>
      <c r="F789" s="6" t="s">
        <v>23</v>
      </c>
      <c r="G789" s="11">
        <v>2700</v>
      </c>
      <c r="H789" s="6" t="s">
        <v>1050</v>
      </c>
      <c r="I789" s="6" t="str">
        <f t="shared" si="61"/>
        <v>N</v>
      </c>
      <c r="J789" s="17" t="s">
        <v>9</v>
      </c>
      <c r="K789" s="6">
        <v>167</v>
      </c>
      <c r="L789" s="9">
        <v>9</v>
      </c>
      <c r="M789" s="2">
        <v>9</v>
      </c>
      <c r="N789" s="2">
        <v>34990</v>
      </c>
      <c r="O789" s="2" t="s">
        <v>1053</v>
      </c>
      <c r="P789" s="2" t="s">
        <v>1268</v>
      </c>
      <c r="Q789" s="2" t="s">
        <v>1054</v>
      </c>
      <c r="R789" s="2">
        <v>2710</v>
      </c>
      <c r="S789" s="2"/>
      <c r="T789" s="2">
        <v>260</v>
      </c>
      <c r="U789" s="39">
        <f>IF(I789="N",T789*Supuestos!$B$4,T789*Supuestos!$C$4)*100</f>
        <v>11.126004742416729</v>
      </c>
      <c r="V789" s="20">
        <f t="shared" si="64"/>
        <v>8.9879523076923071</v>
      </c>
      <c r="W789" s="2">
        <f t="shared" si="62"/>
        <v>2340</v>
      </c>
      <c r="X789" s="2">
        <f t="shared" si="63"/>
        <v>100.13404268175056</v>
      </c>
    </row>
    <row r="790" spans="1:24" x14ac:dyDescent="0.25">
      <c r="A790" s="6" t="s">
        <v>27</v>
      </c>
      <c r="B790" s="6" t="s">
        <v>642</v>
      </c>
      <c r="C790" s="6" t="s">
        <v>405</v>
      </c>
      <c r="D790" s="6" t="s">
        <v>399</v>
      </c>
      <c r="E790" s="11" t="str">
        <f t="shared" si="60"/>
        <v>UTILITARIO</v>
      </c>
      <c r="F790" s="6" t="s">
        <v>14</v>
      </c>
      <c r="G790" s="11"/>
      <c r="H790" s="6" t="s">
        <v>1051</v>
      </c>
      <c r="I790" s="6" t="str">
        <f t="shared" si="61"/>
        <v>E</v>
      </c>
      <c r="J790" s="17" t="s">
        <v>418</v>
      </c>
      <c r="K790" s="6">
        <v>80</v>
      </c>
      <c r="L790" s="9">
        <v>8</v>
      </c>
      <c r="M790" s="21">
        <v>8</v>
      </c>
      <c r="N790" s="2">
        <v>36950</v>
      </c>
      <c r="O790" s="2" t="s">
        <v>1060</v>
      </c>
      <c r="P790" s="2" t="s">
        <v>1372</v>
      </c>
      <c r="Q790" s="2"/>
      <c r="R790" s="2">
        <v>2600</v>
      </c>
      <c r="S790" s="2">
        <v>4.0999999999999996</v>
      </c>
      <c r="T790" s="2"/>
      <c r="U790" s="39">
        <f>IF(I790="N",T790*Supuestos!$B$4,T790*Supuestos!$C$4)*100</f>
        <v>0</v>
      </c>
      <c r="V790" s="20">
        <f t="shared" si="64"/>
        <v>0</v>
      </c>
      <c r="W790" s="2">
        <f t="shared" si="62"/>
        <v>0</v>
      </c>
      <c r="X790" s="2">
        <f t="shared" si="63"/>
        <v>0</v>
      </c>
    </row>
    <row r="791" spans="1:24" x14ac:dyDescent="0.25">
      <c r="A791" s="6" t="s">
        <v>30</v>
      </c>
      <c r="B791" s="6" t="s">
        <v>184</v>
      </c>
      <c r="C791" s="6" t="s">
        <v>409</v>
      </c>
      <c r="D791" s="6" t="s">
        <v>399</v>
      </c>
      <c r="E791" s="11" t="str">
        <f t="shared" si="60"/>
        <v>UTILITARIO</v>
      </c>
      <c r="F791" s="6" t="s">
        <v>23</v>
      </c>
      <c r="G791" s="11">
        <v>3200</v>
      </c>
      <c r="H791" s="6" t="s">
        <v>1052</v>
      </c>
      <c r="I791" s="6" t="str">
        <f t="shared" si="61"/>
        <v>D</v>
      </c>
      <c r="J791" s="17" t="s">
        <v>22</v>
      </c>
      <c r="K791" s="6">
        <v>200</v>
      </c>
      <c r="L791" s="9">
        <v>8</v>
      </c>
      <c r="M791" s="2">
        <v>8</v>
      </c>
      <c r="N791" s="2">
        <v>51990</v>
      </c>
      <c r="O791" s="2" t="s">
        <v>1060</v>
      </c>
      <c r="P791" s="2" t="s">
        <v>1263</v>
      </c>
      <c r="Q791" s="2" t="s">
        <v>429</v>
      </c>
      <c r="R791" s="2">
        <v>3200</v>
      </c>
      <c r="S791" s="2"/>
      <c r="T791" s="2">
        <v>212</v>
      </c>
      <c r="U791" s="39">
        <f>IF(I791="N",T791*Supuestos!$B$4,T791*Supuestos!$C$4)*100</f>
        <v>7.8974764508055388</v>
      </c>
      <c r="V791" s="20">
        <f t="shared" si="64"/>
        <v>12.662272641509434</v>
      </c>
      <c r="W791" s="2">
        <f t="shared" si="62"/>
        <v>1696</v>
      </c>
      <c r="X791" s="2">
        <f t="shared" si="63"/>
        <v>63.179811606444311</v>
      </c>
    </row>
    <row r="792" spans="1:24" x14ac:dyDescent="0.25">
      <c r="A792" s="6" t="s">
        <v>30</v>
      </c>
      <c r="B792" s="6" t="s">
        <v>191</v>
      </c>
      <c r="C792" s="6" t="s">
        <v>409</v>
      </c>
      <c r="D792" s="6" t="s">
        <v>399</v>
      </c>
      <c r="E792" s="11" t="str">
        <f t="shared" si="60"/>
        <v>UTILITARIO</v>
      </c>
      <c r="F792" s="6" t="s">
        <v>23</v>
      </c>
      <c r="G792" s="11">
        <v>3200</v>
      </c>
      <c r="H792" s="6" t="s">
        <v>1052</v>
      </c>
      <c r="I792" s="6" t="str">
        <f t="shared" si="61"/>
        <v>D</v>
      </c>
      <c r="J792" s="17" t="s">
        <v>22</v>
      </c>
      <c r="K792" s="6">
        <v>200</v>
      </c>
      <c r="L792" s="9">
        <v>8</v>
      </c>
      <c r="M792" s="2">
        <v>8</v>
      </c>
      <c r="N792" s="2">
        <v>54490</v>
      </c>
      <c r="O792" s="2" t="s">
        <v>1060</v>
      </c>
      <c r="P792" s="2" t="s">
        <v>1262</v>
      </c>
      <c r="Q792" s="2" t="s">
        <v>444</v>
      </c>
      <c r="R792" s="2">
        <v>3200</v>
      </c>
      <c r="S792" s="2"/>
      <c r="T792" s="2">
        <v>237</v>
      </c>
      <c r="U792" s="39">
        <f>IF(I792="N",T792*Supuestos!$B$4,T792*Supuestos!$C$4)*100</f>
        <v>8.8287826360420407</v>
      </c>
      <c r="V792" s="20">
        <f t="shared" si="64"/>
        <v>11.326589873417722</v>
      </c>
      <c r="W792" s="2">
        <f t="shared" si="62"/>
        <v>1896</v>
      </c>
      <c r="X792" s="2">
        <f t="shared" si="63"/>
        <v>70.630261088336326</v>
      </c>
    </row>
    <row r="793" spans="1:24" x14ac:dyDescent="0.25">
      <c r="A793" s="6" t="s">
        <v>59</v>
      </c>
      <c r="B793" s="6" t="s">
        <v>738</v>
      </c>
      <c r="C793" s="6" t="s">
        <v>402</v>
      </c>
      <c r="D793" s="6" t="s">
        <v>399</v>
      </c>
      <c r="E793" s="11" t="str">
        <f t="shared" si="60"/>
        <v>UTILITARIO</v>
      </c>
      <c r="F793" s="6"/>
      <c r="G793" s="11">
        <v>3000</v>
      </c>
      <c r="H793" s="6" t="s">
        <v>1052</v>
      </c>
      <c r="I793" s="6" t="str">
        <f t="shared" si="61"/>
        <v>D</v>
      </c>
      <c r="J793" s="17" t="s">
        <v>22</v>
      </c>
      <c r="K793" s="6"/>
      <c r="L793" s="9">
        <v>8</v>
      </c>
      <c r="M793" s="2"/>
      <c r="N793" s="2"/>
      <c r="O793" s="2"/>
      <c r="P793" s="2"/>
      <c r="Q793" s="2"/>
      <c r="R793" s="2"/>
      <c r="S793" s="2"/>
      <c r="T793" s="2"/>
      <c r="U793" s="39">
        <f>IF(I793="N",T793*Supuestos!$B$4,T793*Supuestos!$C$4)*100</f>
        <v>0</v>
      </c>
      <c r="V793" s="20">
        <f t="shared" si="64"/>
        <v>0</v>
      </c>
      <c r="W793" s="2">
        <f t="shared" si="62"/>
        <v>0</v>
      </c>
      <c r="X793" s="2">
        <f t="shared" si="63"/>
        <v>0</v>
      </c>
    </row>
    <row r="794" spans="1:24" x14ac:dyDescent="0.25">
      <c r="A794" s="6" t="s">
        <v>42</v>
      </c>
      <c r="B794" s="6" t="s">
        <v>253</v>
      </c>
      <c r="C794" s="6" t="s">
        <v>402</v>
      </c>
      <c r="D794" s="6" t="s">
        <v>399</v>
      </c>
      <c r="E794" s="11" t="str">
        <f t="shared" si="60"/>
        <v>UTILITARIO</v>
      </c>
      <c r="F794" s="6" t="s">
        <v>23</v>
      </c>
      <c r="G794" s="11"/>
      <c r="H794" s="6" t="s">
        <v>1052</v>
      </c>
      <c r="I794" s="6" t="str">
        <f t="shared" si="61"/>
        <v>D</v>
      </c>
      <c r="J794" s="17" t="s">
        <v>22</v>
      </c>
      <c r="K794" s="6">
        <v>114</v>
      </c>
      <c r="L794" s="9">
        <v>8</v>
      </c>
      <c r="M794" s="2"/>
      <c r="N794" s="2"/>
      <c r="O794" s="2"/>
      <c r="P794" s="2"/>
      <c r="Q794" s="2"/>
      <c r="R794" s="2"/>
      <c r="S794" s="2"/>
      <c r="T794" s="2"/>
      <c r="U794" s="39">
        <f>IF(I794="N",T794*Supuestos!$B$4,T794*Supuestos!$C$4)*100</f>
        <v>0</v>
      </c>
      <c r="V794" s="20">
        <f t="shared" si="64"/>
        <v>0</v>
      </c>
      <c r="W794" s="2">
        <f t="shared" si="62"/>
        <v>0</v>
      </c>
      <c r="X794" s="2">
        <f t="shared" si="63"/>
        <v>0</v>
      </c>
    </row>
    <row r="795" spans="1:24" x14ac:dyDescent="0.25">
      <c r="A795" s="6" t="s">
        <v>46</v>
      </c>
      <c r="B795" s="6" t="s">
        <v>278</v>
      </c>
      <c r="C795" s="6" t="s">
        <v>409</v>
      </c>
      <c r="D795" s="6" t="s">
        <v>399</v>
      </c>
      <c r="E795" s="11" t="str">
        <f t="shared" si="60"/>
        <v>UTILITARIO</v>
      </c>
      <c r="F795" s="6" t="s">
        <v>24</v>
      </c>
      <c r="G795" s="11">
        <v>2500</v>
      </c>
      <c r="H795" s="6" t="s">
        <v>1052</v>
      </c>
      <c r="I795" s="6" t="str">
        <f t="shared" si="61"/>
        <v>D</v>
      </c>
      <c r="J795" s="17" t="s">
        <v>22</v>
      </c>
      <c r="K795" s="6">
        <v>187</v>
      </c>
      <c r="L795" s="9">
        <v>8</v>
      </c>
      <c r="M795" s="2">
        <v>8</v>
      </c>
      <c r="N795" s="2">
        <v>57338</v>
      </c>
      <c r="O795" s="2" t="s">
        <v>1053</v>
      </c>
      <c r="P795" s="2" t="s">
        <v>1239</v>
      </c>
      <c r="Q795" s="2" t="s">
        <v>428</v>
      </c>
      <c r="R795" s="2">
        <v>3020</v>
      </c>
      <c r="S795" s="2"/>
      <c r="T795" s="2">
        <v>199</v>
      </c>
      <c r="U795" s="39">
        <f>IF(I795="N",T795*Supuestos!$B$4,T795*Supuestos!$C$4)*100</f>
        <v>7.4131972344825572</v>
      </c>
      <c r="V795" s="20">
        <f t="shared" si="64"/>
        <v>13.489456281407037</v>
      </c>
      <c r="W795" s="2">
        <f t="shared" si="62"/>
        <v>1592</v>
      </c>
      <c r="X795" s="2">
        <f t="shared" si="63"/>
        <v>59.305577875860457</v>
      </c>
    </row>
    <row r="796" spans="1:24" x14ac:dyDescent="0.25">
      <c r="A796" s="6" t="s">
        <v>47</v>
      </c>
      <c r="B796" s="6" t="s">
        <v>915</v>
      </c>
      <c r="C796" s="6" t="s">
        <v>409</v>
      </c>
      <c r="D796" s="6" t="s">
        <v>399</v>
      </c>
      <c r="E796" s="11" t="str">
        <f t="shared" si="60"/>
        <v>UTILITARIO</v>
      </c>
      <c r="F796" s="6" t="s">
        <v>16</v>
      </c>
      <c r="G796" s="11">
        <v>6200</v>
      </c>
      <c r="H796" s="6" t="s">
        <v>1050</v>
      </c>
      <c r="I796" s="6" t="str">
        <f t="shared" si="61"/>
        <v>N</v>
      </c>
      <c r="J796" s="17" t="s">
        <v>9</v>
      </c>
      <c r="K796" s="6">
        <v>702</v>
      </c>
      <c r="L796" s="9">
        <v>8</v>
      </c>
      <c r="M796" s="2"/>
      <c r="N796" s="2"/>
      <c r="O796" s="2"/>
      <c r="P796" s="2"/>
      <c r="Q796" s="2"/>
      <c r="R796" s="2"/>
      <c r="S796" s="2"/>
      <c r="T796" s="2"/>
      <c r="U796" s="39">
        <f>IF(I796="N",T796*Supuestos!$B$4,T796*Supuestos!$C$4)*100</f>
        <v>0</v>
      </c>
      <c r="V796" s="20">
        <f t="shared" si="64"/>
        <v>0</v>
      </c>
      <c r="W796" s="2">
        <f t="shared" si="62"/>
        <v>0</v>
      </c>
      <c r="X796" s="2">
        <f t="shared" si="63"/>
        <v>0</v>
      </c>
    </row>
    <row r="797" spans="1:24" x14ac:dyDescent="0.25">
      <c r="A797" s="6" t="s">
        <v>30</v>
      </c>
      <c r="B797" s="6" t="s">
        <v>671</v>
      </c>
      <c r="C797" s="6" t="s">
        <v>409</v>
      </c>
      <c r="D797" s="6" t="s">
        <v>399</v>
      </c>
      <c r="E797" s="11" t="str">
        <f t="shared" si="60"/>
        <v>UTILITARIO</v>
      </c>
      <c r="F797" s="6"/>
      <c r="G797" s="11">
        <v>2000</v>
      </c>
      <c r="H797" s="6" t="s">
        <v>1052</v>
      </c>
      <c r="I797" s="6" t="str">
        <f t="shared" si="61"/>
        <v>D</v>
      </c>
      <c r="J797" s="17" t="s">
        <v>22</v>
      </c>
      <c r="K797" s="6">
        <v>210</v>
      </c>
      <c r="L797" s="9">
        <v>7</v>
      </c>
      <c r="M797" s="2">
        <v>7</v>
      </c>
      <c r="N797" s="2">
        <v>72900</v>
      </c>
      <c r="O797" s="2" t="s">
        <v>1053</v>
      </c>
      <c r="P797" s="2" t="s">
        <v>1256</v>
      </c>
      <c r="Q797" s="2" t="s">
        <v>1054</v>
      </c>
      <c r="R797" s="2">
        <v>3280</v>
      </c>
      <c r="S797" s="2"/>
      <c r="T797" s="2">
        <v>201</v>
      </c>
      <c r="U797" s="39">
        <f>IF(I797="N",T797*Supuestos!$B$4,T797*Supuestos!$C$4)*100</f>
        <v>7.4877017293014783</v>
      </c>
      <c r="V797" s="20">
        <f t="shared" si="64"/>
        <v>13.355232835820894</v>
      </c>
      <c r="W797" s="2">
        <f t="shared" si="62"/>
        <v>1407</v>
      </c>
      <c r="X797" s="2">
        <f t="shared" si="63"/>
        <v>52.413912105110349</v>
      </c>
    </row>
    <row r="798" spans="1:24" x14ac:dyDescent="0.25">
      <c r="A798" s="6" t="s">
        <v>59</v>
      </c>
      <c r="B798" s="6" t="s">
        <v>736</v>
      </c>
      <c r="C798" s="6" t="s">
        <v>402</v>
      </c>
      <c r="D798" s="6" t="s">
        <v>399</v>
      </c>
      <c r="E798" s="11" t="str">
        <f t="shared" si="60"/>
        <v>UTILITARIO</v>
      </c>
      <c r="F798" s="6" t="s">
        <v>21</v>
      </c>
      <c r="G798" s="11">
        <v>3000</v>
      </c>
      <c r="H798" s="6" t="s">
        <v>1052</v>
      </c>
      <c r="I798" s="6" t="str">
        <f t="shared" si="61"/>
        <v>D</v>
      </c>
      <c r="J798" s="17" t="s">
        <v>22</v>
      </c>
      <c r="K798" s="6">
        <v>170</v>
      </c>
      <c r="L798" s="9">
        <v>7</v>
      </c>
      <c r="M798" s="2"/>
      <c r="N798" s="2"/>
      <c r="O798" s="2"/>
      <c r="P798" s="2"/>
      <c r="Q798" s="2"/>
      <c r="R798" s="2"/>
      <c r="S798" s="2"/>
      <c r="T798" s="2"/>
      <c r="U798" s="39">
        <f>IF(I798="N",T798*Supuestos!$B$4,T798*Supuestos!$C$4)*100</f>
        <v>0</v>
      </c>
      <c r="V798" s="20">
        <f t="shared" si="64"/>
        <v>0</v>
      </c>
      <c r="W798" s="2">
        <f t="shared" si="62"/>
        <v>0</v>
      </c>
      <c r="X798" s="2">
        <f t="shared" si="63"/>
        <v>0</v>
      </c>
    </row>
    <row r="799" spans="1:24" x14ac:dyDescent="0.25">
      <c r="A799" s="6" t="s">
        <v>38</v>
      </c>
      <c r="B799" s="6" t="s">
        <v>239</v>
      </c>
      <c r="C799" s="6" t="s">
        <v>402</v>
      </c>
      <c r="D799" s="6" t="s">
        <v>399</v>
      </c>
      <c r="E799" s="11" t="str">
        <f t="shared" si="60"/>
        <v>UTILITARIO</v>
      </c>
      <c r="F799" s="6" t="s">
        <v>14</v>
      </c>
      <c r="G799" s="11">
        <v>2800</v>
      </c>
      <c r="H799" s="6" t="s">
        <v>1052</v>
      </c>
      <c r="I799" s="6" t="str">
        <f t="shared" si="61"/>
        <v>D</v>
      </c>
      <c r="J799" s="17" t="s">
        <v>22</v>
      </c>
      <c r="K799" s="6">
        <v>107</v>
      </c>
      <c r="L799" s="9">
        <v>7</v>
      </c>
      <c r="M799" s="22"/>
      <c r="N799" s="2"/>
      <c r="O799" s="2"/>
      <c r="P799" s="2"/>
      <c r="Q799" s="2"/>
      <c r="R799" s="2"/>
      <c r="S799" s="2"/>
      <c r="T799" s="2"/>
      <c r="U799" s="39">
        <f>IF(I799="N",T799*Supuestos!$B$4,T799*Supuestos!$C$4)*100</f>
        <v>0</v>
      </c>
      <c r="V799" s="20">
        <f t="shared" si="64"/>
        <v>0</v>
      </c>
      <c r="W799" s="2">
        <f t="shared" si="62"/>
        <v>0</v>
      </c>
      <c r="X799" s="2">
        <f t="shared" si="63"/>
        <v>0</v>
      </c>
    </row>
    <row r="800" spans="1:24" x14ac:dyDescent="0.25">
      <c r="A800" s="6" t="s">
        <v>42</v>
      </c>
      <c r="B800" s="6" t="s">
        <v>845</v>
      </c>
      <c r="C800" s="6" t="s">
        <v>402</v>
      </c>
      <c r="D800" s="6" t="s">
        <v>399</v>
      </c>
      <c r="E800" s="11" t="str">
        <f t="shared" si="60"/>
        <v>UTILITARIO</v>
      </c>
      <c r="F800" s="6" t="s">
        <v>23</v>
      </c>
      <c r="G800" s="11"/>
      <c r="H800" s="6" t="s">
        <v>1052</v>
      </c>
      <c r="I800" s="6" t="str">
        <f t="shared" si="61"/>
        <v>D</v>
      </c>
      <c r="J800" s="17" t="s">
        <v>22</v>
      </c>
      <c r="K800" s="6">
        <v>163</v>
      </c>
      <c r="L800" s="9">
        <v>7</v>
      </c>
      <c r="M800" s="2"/>
      <c r="N800" s="2"/>
      <c r="O800" s="2"/>
      <c r="P800" s="2"/>
      <c r="Q800" s="2"/>
      <c r="R800" s="2"/>
      <c r="S800" s="2"/>
      <c r="T800" s="2"/>
      <c r="U800" s="39">
        <f>IF(I800="N",T800*Supuestos!$B$4,T800*Supuestos!$C$4)*100</f>
        <v>0</v>
      </c>
      <c r="V800" s="20">
        <f t="shared" si="64"/>
        <v>0</v>
      </c>
      <c r="W800" s="2">
        <f t="shared" si="62"/>
        <v>0</v>
      </c>
      <c r="X800" s="2">
        <f t="shared" si="63"/>
        <v>0</v>
      </c>
    </row>
    <row r="801" spans="1:24" x14ac:dyDescent="0.25">
      <c r="A801" s="6" t="s">
        <v>94</v>
      </c>
      <c r="B801" s="6" t="s">
        <v>378</v>
      </c>
      <c r="C801" s="6" t="s">
        <v>66</v>
      </c>
      <c r="D801" s="6" t="s">
        <v>399</v>
      </c>
      <c r="E801" s="11" t="str">
        <f t="shared" si="60"/>
        <v>UTILITARIO</v>
      </c>
      <c r="F801" s="6" t="s">
        <v>14</v>
      </c>
      <c r="G801" s="11">
        <v>1200</v>
      </c>
      <c r="H801" s="6" t="s">
        <v>1050</v>
      </c>
      <c r="I801" s="6" t="str">
        <f t="shared" si="61"/>
        <v>N</v>
      </c>
      <c r="J801" s="17" t="s">
        <v>9</v>
      </c>
      <c r="K801" s="6">
        <v>86</v>
      </c>
      <c r="L801" s="9">
        <v>7</v>
      </c>
      <c r="M801" s="2"/>
      <c r="N801" s="2"/>
      <c r="O801" s="2"/>
      <c r="P801" s="2"/>
      <c r="Q801" s="2"/>
      <c r="R801" s="2"/>
      <c r="S801" s="2"/>
      <c r="T801" s="2"/>
      <c r="U801" s="39">
        <f>IF(I801="N",T801*Supuestos!$B$4,T801*Supuestos!$C$4)*100</f>
        <v>0</v>
      </c>
      <c r="V801" s="20">
        <f t="shared" si="64"/>
        <v>0</v>
      </c>
      <c r="W801" s="2">
        <f t="shared" si="62"/>
        <v>0</v>
      </c>
      <c r="X801" s="2">
        <f t="shared" si="63"/>
        <v>0</v>
      </c>
    </row>
    <row r="802" spans="1:24" x14ac:dyDescent="0.25">
      <c r="A802" s="6" t="s">
        <v>67</v>
      </c>
      <c r="B802" s="6" t="s">
        <v>686</v>
      </c>
      <c r="C802" s="6" t="s">
        <v>409</v>
      </c>
      <c r="D802" s="6" t="s">
        <v>399</v>
      </c>
      <c r="E802" s="11" t="str">
        <f t="shared" si="60"/>
        <v>UTILITARIO</v>
      </c>
      <c r="F802" s="6" t="s">
        <v>14</v>
      </c>
      <c r="G802" s="11">
        <v>2400</v>
      </c>
      <c r="H802" s="6" t="s">
        <v>1050</v>
      </c>
      <c r="I802" s="6" t="str">
        <f t="shared" si="61"/>
        <v>N</v>
      </c>
      <c r="J802" s="17" t="s">
        <v>9</v>
      </c>
      <c r="K802" s="6">
        <v>120</v>
      </c>
      <c r="L802" s="9">
        <v>6</v>
      </c>
      <c r="M802" s="2">
        <v>6</v>
      </c>
      <c r="N802" s="2">
        <v>22490</v>
      </c>
      <c r="O802" s="2" t="s">
        <v>1053</v>
      </c>
      <c r="P802" s="2" t="s">
        <v>1265</v>
      </c>
      <c r="Q802" s="2" t="s">
        <v>429</v>
      </c>
      <c r="R802" s="2">
        <v>2710</v>
      </c>
      <c r="S802" s="2"/>
      <c r="T802" s="2">
        <v>282</v>
      </c>
      <c r="U802" s="39">
        <f>IF(I802="N",T802*Supuestos!$B$4,T802*Supuestos!$C$4)*100</f>
        <v>12.067435912928914</v>
      </c>
      <c r="V802" s="20">
        <f t="shared" si="64"/>
        <v>8.2867645390070912</v>
      </c>
      <c r="W802" s="2">
        <f t="shared" si="62"/>
        <v>1692</v>
      </c>
      <c r="X802" s="2">
        <f t="shared" si="63"/>
        <v>72.404615477573486</v>
      </c>
    </row>
    <row r="803" spans="1:24" x14ac:dyDescent="0.25">
      <c r="A803" s="6" t="s">
        <v>67</v>
      </c>
      <c r="B803" s="6" t="s">
        <v>201</v>
      </c>
      <c r="C803" s="6" t="s">
        <v>409</v>
      </c>
      <c r="D803" s="6" t="s">
        <v>399</v>
      </c>
      <c r="E803" s="11" t="str">
        <f t="shared" si="60"/>
        <v>UTILITARIO</v>
      </c>
      <c r="F803" s="6" t="s">
        <v>14</v>
      </c>
      <c r="G803" s="11">
        <v>2000</v>
      </c>
      <c r="H803" s="6" t="s">
        <v>1050</v>
      </c>
      <c r="I803" s="6" t="str">
        <f t="shared" si="61"/>
        <v>N</v>
      </c>
      <c r="J803" s="17" t="s">
        <v>9</v>
      </c>
      <c r="K803" s="6">
        <v>200</v>
      </c>
      <c r="L803" s="9">
        <v>6</v>
      </c>
      <c r="M803" s="2"/>
      <c r="N803" s="2"/>
      <c r="O803" s="2"/>
      <c r="P803" s="2"/>
      <c r="Q803" s="2"/>
      <c r="R803" s="2"/>
      <c r="S803" s="2"/>
      <c r="T803" s="2"/>
      <c r="U803" s="39">
        <f>IF(I803="N",T803*Supuestos!$B$4,T803*Supuestos!$C$4)*100</f>
        <v>0</v>
      </c>
      <c r="V803" s="20">
        <f t="shared" si="64"/>
        <v>0</v>
      </c>
      <c r="W803" s="2">
        <f t="shared" si="62"/>
        <v>0</v>
      </c>
      <c r="X803" s="2">
        <f t="shared" si="63"/>
        <v>0</v>
      </c>
    </row>
    <row r="804" spans="1:24" x14ac:dyDescent="0.25">
      <c r="A804" s="6" t="s">
        <v>41</v>
      </c>
      <c r="B804" s="6" t="s">
        <v>814</v>
      </c>
      <c r="C804" s="6" t="s">
        <v>409</v>
      </c>
      <c r="D804" s="6" t="s">
        <v>399</v>
      </c>
      <c r="E804" s="11" t="str">
        <f t="shared" si="60"/>
        <v>UTILITARIO</v>
      </c>
      <c r="F804" s="6" t="s">
        <v>25</v>
      </c>
      <c r="G804" s="11">
        <v>3000</v>
      </c>
      <c r="H804" s="6" t="s">
        <v>1052</v>
      </c>
      <c r="I804" s="6" t="str">
        <f t="shared" si="61"/>
        <v>D</v>
      </c>
      <c r="J804" s="17" t="s">
        <v>22</v>
      </c>
      <c r="K804" s="6">
        <v>188</v>
      </c>
      <c r="L804" s="9">
        <v>6</v>
      </c>
      <c r="M804" s="2"/>
      <c r="N804" s="2"/>
      <c r="O804" s="2"/>
      <c r="P804" s="2"/>
      <c r="Q804" s="2"/>
      <c r="R804" s="2"/>
      <c r="S804" s="2"/>
      <c r="T804" s="2"/>
      <c r="U804" s="39">
        <f>IF(I804="N",T804*Supuestos!$B$4,T804*Supuestos!$C$4)*100</f>
        <v>0</v>
      </c>
      <c r="V804" s="20">
        <f t="shared" si="64"/>
        <v>0</v>
      </c>
      <c r="W804" s="2">
        <f t="shared" si="62"/>
        <v>0</v>
      </c>
      <c r="X804" s="2">
        <f t="shared" si="63"/>
        <v>0</v>
      </c>
    </row>
    <row r="805" spans="1:24" x14ac:dyDescent="0.25">
      <c r="A805" s="6" t="s">
        <v>42</v>
      </c>
      <c r="B805" s="6" t="s">
        <v>255</v>
      </c>
      <c r="C805" s="6" t="s">
        <v>402</v>
      </c>
      <c r="D805" s="6" t="s">
        <v>399</v>
      </c>
      <c r="E805" s="11" t="str">
        <f t="shared" si="60"/>
        <v>UTILITARIO</v>
      </c>
      <c r="F805" s="6" t="s">
        <v>23</v>
      </c>
      <c r="G805" s="11"/>
      <c r="H805" s="6" t="s">
        <v>1052</v>
      </c>
      <c r="I805" s="6" t="str">
        <f t="shared" si="61"/>
        <v>D</v>
      </c>
      <c r="J805" s="17" t="s">
        <v>22</v>
      </c>
      <c r="K805" s="6">
        <v>150</v>
      </c>
      <c r="L805" s="9">
        <v>6</v>
      </c>
      <c r="M805" s="2"/>
      <c r="N805" s="2"/>
      <c r="O805" s="2"/>
      <c r="P805" s="2"/>
      <c r="Q805" s="2"/>
      <c r="R805" s="2"/>
      <c r="S805" s="2"/>
      <c r="T805" s="2"/>
      <c r="U805" s="39">
        <f>IF(I805="N",T805*Supuestos!$B$4,T805*Supuestos!$C$4)*100</f>
        <v>0</v>
      </c>
      <c r="V805" s="20">
        <f t="shared" si="64"/>
        <v>0</v>
      </c>
      <c r="W805" s="2">
        <f t="shared" si="62"/>
        <v>0</v>
      </c>
      <c r="X805" s="2">
        <f t="shared" si="63"/>
        <v>0</v>
      </c>
    </row>
    <row r="806" spans="1:24" x14ac:dyDescent="0.25">
      <c r="A806" s="6" t="s">
        <v>47</v>
      </c>
      <c r="B806" s="6" t="s">
        <v>913</v>
      </c>
      <c r="C806" s="6" t="s">
        <v>409</v>
      </c>
      <c r="D806" s="6" t="s">
        <v>399</v>
      </c>
      <c r="E806" s="11" t="str">
        <f t="shared" si="60"/>
        <v>UTILITARIO</v>
      </c>
      <c r="F806" s="6" t="s">
        <v>16</v>
      </c>
      <c r="G806" s="11">
        <v>3600</v>
      </c>
      <c r="H806" s="6" t="s">
        <v>1050</v>
      </c>
      <c r="I806" s="6" t="str">
        <f t="shared" si="61"/>
        <v>N</v>
      </c>
      <c r="J806" s="17" t="s">
        <v>419</v>
      </c>
      <c r="K806" s="6">
        <v>305</v>
      </c>
      <c r="L806" s="9">
        <v>6</v>
      </c>
      <c r="M806" s="2"/>
      <c r="N806" s="2"/>
      <c r="O806" s="2"/>
      <c r="P806" s="2"/>
      <c r="Q806" s="2"/>
      <c r="R806" s="2"/>
      <c r="S806" s="2"/>
      <c r="T806" s="2"/>
      <c r="U806" s="39">
        <f>IF(I806="N",T806*Supuestos!$B$4,T806*Supuestos!$C$4)*100</f>
        <v>0</v>
      </c>
      <c r="V806" s="20">
        <f t="shared" si="64"/>
        <v>0</v>
      </c>
      <c r="W806" s="2">
        <f t="shared" si="62"/>
        <v>0</v>
      </c>
      <c r="X806" s="2">
        <f t="shared" si="63"/>
        <v>0</v>
      </c>
    </row>
    <row r="807" spans="1:24" x14ac:dyDescent="0.25">
      <c r="A807" s="6" t="s">
        <v>48</v>
      </c>
      <c r="B807" s="6" t="s">
        <v>940</v>
      </c>
      <c r="C807" s="6" t="s">
        <v>402</v>
      </c>
      <c r="D807" s="6" t="s">
        <v>399</v>
      </c>
      <c r="E807" s="11" t="str">
        <f t="shared" si="60"/>
        <v>UTILITARIO</v>
      </c>
      <c r="F807" s="6"/>
      <c r="G807" s="11">
        <v>2300</v>
      </c>
      <c r="H807" s="6" t="s">
        <v>1052</v>
      </c>
      <c r="I807" s="6" t="str">
        <f t="shared" si="61"/>
        <v>D</v>
      </c>
      <c r="J807" s="17" t="s">
        <v>22</v>
      </c>
      <c r="K807" s="6">
        <v>0</v>
      </c>
      <c r="L807" s="9">
        <v>6</v>
      </c>
      <c r="M807" s="2">
        <v>6</v>
      </c>
      <c r="N807" s="2">
        <v>43908</v>
      </c>
      <c r="O807" s="2" t="s">
        <v>1053</v>
      </c>
      <c r="P807" s="2" t="s">
        <v>1272</v>
      </c>
      <c r="Q807" s="2" t="s">
        <v>422</v>
      </c>
      <c r="R807" s="2">
        <v>3500</v>
      </c>
      <c r="S807" s="2"/>
      <c r="T807" s="2">
        <v>220</v>
      </c>
      <c r="U807" s="39">
        <f>IF(I807="N",T807*Supuestos!$B$4,T807*Supuestos!$C$4)*100</f>
        <v>8.1954944300812205</v>
      </c>
      <c r="V807" s="20">
        <f t="shared" si="64"/>
        <v>12.201826363636362</v>
      </c>
      <c r="W807" s="2">
        <f t="shared" si="62"/>
        <v>1320</v>
      </c>
      <c r="X807" s="2">
        <f t="shared" si="63"/>
        <v>49.172966580487326</v>
      </c>
    </row>
    <row r="808" spans="1:24" x14ac:dyDescent="0.25">
      <c r="A808" s="6" t="s">
        <v>71</v>
      </c>
      <c r="B808" s="6" t="s">
        <v>131</v>
      </c>
      <c r="C808" s="6" t="s">
        <v>405</v>
      </c>
      <c r="D808" s="6" t="s">
        <v>399</v>
      </c>
      <c r="E808" s="11" t="str">
        <f t="shared" si="60"/>
        <v>UTILITARIO</v>
      </c>
      <c r="F808" s="6" t="s">
        <v>14</v>
      </c>
      <c r="G808" s="11">
        <v>1200</v>
      </c>
      <c r="H808" s="6" t="s">
        <v>1050</v>
      </c>
      <c r="I808" s="6" t="str">
        <f t="shared" si="61"/>
        <v>N</v>
      </c>
      <c r="J808" s="17" t="s">
        <v>9</v>
      </c>
      <c r="K808" s="6">
        <v>97</v>
      </c>
      <c r="L808" s="9">
        <v>5</v>
      </c>
      <c r="M808" s="2"/>
      <c r="N808" s="2"/>
      <c r="O808" s="2"/>
      <c r="P808" s="2"/>
      <c r="Q808" s="2"/>
      <c r="R808" s="2"/>
      <c r="S808" s="2"/>
      <c r="T808" s="2"/>
      <c r="U808" s="39">
        <f>IF(I808="N",T808*Supuestos!$B$4,T808*Supuestos!$C$4)*100</f>
        <v>0</v>
      </c>
      <c r="V808" s="20">
        <f t="shared" si="64"/>
        <v>0</v>
      </c>
      <c r="W808" s="2">
        <f t="shared" si="62"/>
        <v>0</v>
      </c>
      <c r="X808" s="2">
        <f t="shared" si="63"/>
        <v>0</v>
      </c>
    </row>
    <row r="809" spans="1:24" x14ac:dyDescent="0.25">
      <c r="A809" s="6" t="s">
        <v>42</v>
      </c>
      <c r="B809" s="6" t="s">
        <v>842</v>
      </c>
      <c r="C809" s="6" t="s">
        <v>402</v>
      </c>
      <c r="D809" s="6" t="s">
        <v>399</v>
      </c>
      <c r="E809" s="11" t="str">
        <f t="shared" si="60"/>
        <v>UTILITARIO</v>
      </c>
      <c r="F809" s="6" t="s">
        <v>23</v>
      </c>
      <c r="G809" s="11"/>
      <c r="H809" s="6" t="s">
        <v>1052</v>
      </c>
      <c r="I809" s="6" t="str">
        <f t="shared" si="61"/>
        <v>D</v>
      </c>
      <c r="J809" s="17" t="s">
        <v>22</v>
      </c>
      <c r="K809" s="6">
        <v>163</v>
      </c>
      <c r="L809" s="9">
        <v>5</v>
      </c>
      <c r="M809" s="2"/>
      <c r="N809" s="2"/>
      <c r="O809" s="2"/>
      <c r="P809" s="2"/>
      <c r="Q809" s="2"/>
      <c r="R809" s="2"/>
      <c r="S809" s="2"/>
      <c r="T809" s="2"/>
      <c r="U809" s="39">
        <f>IF(I809="N",T809*Supuestos!$B$4,T809*Supuestos!$C$4)*100</f>
        <v>0</v>
      </c>
      <c r="V809" s="20">
        <f t="shared" si="64"/>
        <v>0</v>
      </c>
      <c r="W809" s="2">
        <f t="shared" si="62"/>
        <v>0</v>
      </c>
      <c r="X809" s="2">
        <f t="shared" si="63"/>
        <v>0</v>
      </c>
    </row>
    <row r="810" spans="1:24" x14ac:dyDescent="0.25">
      <c r="A810" s="6" t="s">
        <v>42</v>
      </c>
      <c r="B810" s="6" t="s">
        <v>843</v>
      </c>
      <c r="C810" s="6" t="s">
        <v>402</v>
      </c>
      <c r="D810" s="6" t="s">
        <v>399</v>
      </c>
      <c r="E810" s="11" t="str">
        <f t="shared" si="60"/>
        <v>UTILITARIO</v>
      </c>
      <c r="F810" s="6" t="s">
        <v>23</v>
      </c>
      <c r="G810" s="11"/>
      <c r="H810" s="6" t="s">
        <v>1052</v>
      </c>
      <c r="I810" s="6" t="str">
        <f t="shared" si="61"/>
        <v>D</v>
      </c>
      <c r="J810" s="17" t="s">
        <v>22</v>
      </c>
      <c r="K810" s="6">
        <v>150</v>
      </c>
      <c r="L810" s="9">
        <v>5</v>
      </c>
      <c r="M810" s="2"/>
      <c r="N810" s="2"/>
      <c r="O810" s="2"/>
      <c r="P810" s="2"/>
      <c r="Q810" s="2"/>
      <c r="R810" s="2"/>
      <c r="S810" s="2"/>
      <c r="T810" s="2"/>
      <c r="U810" s="39">
        <f>IF(I810="N",T810*Supuestos!$B$4,T810*Supuestos!$C$4)*100</f>
        <v>0</v>
      </c>
      <c r="V810" s="20">
        <f t="shared" si="64"/>
        <v>0</v>
      </c>
      <c r="W810" s="2">
        <f t="shared" si="62"/>
        <v>0</v>
      </c>
      <c r="X810" s="2">
        <f t="shared" si="63"/>
        <v>0</v>
      </c>
    </row>
    <row r="811" spans="1:24" x14ac:dyDescent="0.25">
      <c r="A811" s="6" t="s">
        <v>46</v>
      </c>
      <c r="B811" s="6" t="s">
        <v>868</v>
      </c>
      <c r="C811" s="6" t="s">
        <v>409</v>
      </c>
      <c r="D811" s="6" t="s">
        <v>399</v>
      </c>
      <c r="E811" s="11" t="str">
        <f t="shared" si="60"/>
        <v>UTILITARIO</v>
      </c>
      <c r="F811" s="6" t="s">
        <v>24</v>
      </c>
      <c r="G811" s="11">
        <v>2500</v>
      </c>
      <c r="H811" s="6" t="s">
        <v>1052</v>
      </c>
      <c r="I811" s="6" t="str">
        <f t="shared" si="61"/>
        <v>D</v>
      </c>
      <c r="J811" s="17" t="s">
        <v>22</v>
      </c>
      <c r="K811" s="6">
        <v>160</v>
      </c>
      <c r="L811" s="9">
        <v>5</v>
      </c>
      <c r="M811" s="2">
        <v>5</v>
      </c>
      <c r="N811" s="2">
        <v>57328</v>
      </c>
      <c r="O811" s="2" t="s">
        <v>1053</v>
      </c>
      <c r="P811" s="2" t="s">
        <v>1238</v>
      </c>
      <c r="Q811" s="2" t="s">
        <v>428</v>
      </c>
      <c r="R811" s="2">
        <v>3020</v>
      </c>
      <c r="S811" s="2"/>
      <c r="T811" s="2">
        <v>221</v>
      </c>
      <c r="U811" s="39">
        <f>IF(I811="N",T811*Supuestos!$B$4,T811*Supuestos!$C$4)*100</f>
        <v>8.2327466774906792</v>
      </c>
      <c r="V811" s="20">
        <f t="shared" si="64"/>
        <v>12.146614479638009</v>
      </c>
      <c r="W811" s="2">
        <f t="shared" si="62"/>
        <v>1105</v>
      </c>
      <c r="X811" s="2">
        <f t="shared" si="63"/>
        <v>41.163733387453398</v>
      </c>
    </row>
    <row r="812" spans="1:24" x14ac:dyDescent="0.25">
      <c r="A812" s="6" t="s">
        <v>46</v>
      </c>
      <c r="B812" s="6" t="s">
        <v>869</v>
      </c>
      <c r="C812" s="6" t="s">
        <v>409</v>
      </c>
      <c r="D812" s="6" t="s">
        <v>399</v>
      </c>
      <c r="E812" s="11" t="str">
        <f t="shared" si="60"/>
        <v>UTILITARIO</v>
      </c>
      <c r="F812" s="6" t="s">
        <v>24</v>
      </c>
      <c r="G812" s="11">
        <v>2500</v>
      </c>
      <c r="H812" s="6" t="s">
        <v>1050</v>
      </c>
      <c r="I812" s="6" t="str">
        <f t="shared" si="61"/>
        <v>N</v>
      </c>
      <c r="J812" s="17" t="s">
        <v>9</v>
      </c>
      <c r="K812" s="6">
        <v>158</v>
      </c>
      <c r="L812" s="9">
        <v>5</v>
      </c>
      <c r="M812" s="2">
        <v>5</v>
      </c>
      <c r="N812" s="2">
        <v>39028</v>
      </c>
      <c r="O812" s="2" t="s">
        <v>1240</v>
      </c>
      <c r="P812" s="2" t="s">
        <v>1242</v>
      </c>
      <c r="Q812" s="2" t="s">
        <v>1080</v>
      </c>
      <c r="R812" s="2">
        <v>2910</v>
      </c>
      <c r="S812" s="2"/>
      <c r="T812" s="2">
        <v>254</v>
      </c>
      <c r="U812" s="39">
        <f>IF(I812="N",T812*Supuestos!$B$4,T812*Supuestos!$C$4)*100</f>
        <v>10.869250786822498</v>
      </c>
      <c r="V812" s="20">
        <f t="shared" si="64"/>
        <v>9.200266141732282</v>
      </c>
      <c r="W812" s="2">
        <f t="shared" si="62"/>
        <v>1270</v>
      </c>
      <c r="X812" s="2">
        <f t="shared" si="63"/>
        <v>54.34625393411249</v>
      </c>
    </row>
    <row r="813" spans="1:24" x14ac:dyDescent="0.25">
      <c r="A813" s="6" t="s">
        <v>90</v>
      </c>
      <c r="B813" s="6" t="s">
        <v>881</v>
      </c>
      <c r="C813" s="6" t="s">
        <v>66</v>
      </c>
      <c r="D813" s="6" t="s">
        <v>399</v>
      </c>
      <c r="E813" s="11" t="str">
        <f t="shared" si="60"/>
        <v>UTILITARIO</v>
      </c>
      <c r="F813" s="6" t="s">
        <v>57</v>
      </c>
      <c r="G813" s="11">
        <v>1600</v>
      </c>
      <c r="H813" s="6" t="s">
        <v>1052</v>
      </c>
      <c r="I813" s="6" t="str">
        <f t="shared" si="61"/>
        <v>D</v>
      </c>
      <c r="J813" s="17" t="s">
        <v>22</v>
      </c>
      <c r="K813" s="6">
        <v>92</v>
      </c>
      <c r="L813" s="9">
        <v>5</v>
      </c>
      <c r="M813" s="2">
        <v>5</v>
      </c>
      <c r="N813" s="2">
        <v>31800</v>
      </c>
      <c r="O813" s="2" t="s">
        <v>1240</v>
      </c>
      <c r="P813" s="2" t="s">
        <v>1282</v>
      </c>
      <c r="Q813" s="2" t="s">
        <v>429</v>
      </c>
      <c r="R813" s="2">
        <v>3500</v>
      </c>
      <c r="S813" s="2"/>
      <c r="T813" s="2">
        <v>139</v>
      </c>
      <c r="U813" s="39">
        <f>IF(I813="N",T813*Supuestos!$B$4,T813*Supuestos!$C$4)*100</f>
        <v>5.1780623899149525</v>
      </c>
      <c r="V813" s="20">
        <f t="shared" si="64"/>
        <v>19.312243165467624</v>
      </c>
      <c r="W813" s="2">
        <f t="shared" si="62"/>
        <v>695</v>
      </c>
      <c r="X813" s="2">
        <f t="shared" si="63"/>
        <v>25.890311949574762</v>
      </c>
    </row>
    <row r="814" spans="1:24" x14ac:dyDescent="0.25">
      <c r="A814" s="6" t="s">
        <v>52</v>
      </c>
      <c r="B814" s="6" t="s">
        <v>355</v>
      </c>
      <c r="C814" s="6" t="s">
        <v>409</v>
      </c>
      <c r="D814" s="6" t="s">
        <v>399</v>
      </c>
      <c r="E814" s="11" t="str">
        <f t="shared" si="60"/>
        <v>UTILITARIO</v>
      </c>
      <c r="F814" s="6" t="s">
        <v>23</v>
      </c>
      <c r="G814" s="11">
        <v>2700</v>
      </c>
      <c r="H814" s="6" t="s">
        <v>1050</v>
      </c>
      <c r="I814" s="6" t="str">
        <f t="shared" si="61"/>
        <v>N</v>
      </c>
      <c r="J814" s="17" t="s">
        <v>9</v>
      </c>
      <c r="K814" s="6">
        <v>167</v>
      </c>
      <c r="L814" s="9">
        <v>5</v>
      </c>
      <c r="M814" s="2">
        <v>5</v>
      </c>
      <c r="N814" s="2">
        <v>39990</v>
      </c>
      <c r="O814" s="2" t="s">
        <v>1053</v>
      </c>
      <c r="P814" s="2" t="s">
        <v>1268</v>
      </c>
      <c r="Q814" s="2" t="s">
        <v>1054</v>
      </c>
      <c r="R814" s="2">
        <v>2710</v>
      </c>
      <c r="S814" s="2"/>
      <c r="T814" s="2">
        <v>260</v>
      </c>
      <c r="U814" s="39">
        <f>IF(I814="N",T814*Supuestos!$B$4,T814*Supuestos!$C$4)*100</f>
        <v>11.126004742416729</v>
      </c>
      <c r="V814" s="20">
        <f t="shared" si="64"/>
        <v>8.9879523076923071</v>
      </c>
      <c r="W814" s="2">
        <f t="shared" si="62"/>
        <v>1300</v>
      </c>
      <c r="X814" s="2">
        <f t="shared" si="63"/>
        <v>55.630023712083641</v>
      </c>
    </row>
    <row r="815" spans="1:24" x14ac:dyDescent="0.25">
      <c r="A815" s="6" t="s">
        <v>53</v>
      </c>
      <c r="B815" s="6" t="s">
        <v>382</v>
      </c>
      <c r="C815" s="6" t="s">
        <v>409</v>
      </c>
      <c r="D815" s="6" t="s">
        <v>399</v>
      </c>
      <c r="E815" s="11" t="str">
        <f t="shared" si="60"/>
        <v>UTILITARIO</v>
      </c>
      <c r="F815" s="6" t="s">
        <v>23</v>
      </c>
      <c r="G815" s="11">
        <v>2000</v>
      </c>
      <c r="H815" s="6" t="s">
        <v>1052</v>
      </c>
      <c r="I815" s="6" t="str">
        <f t="shared" si="61"/>
        <v>D</v>
      </c>
      <c r="J815" s="17" t="s">
        <v>22</v>
      </c>
      <c r="K815" s="6">
        <v>180</v>
      </c>
      <c r="L815" s="9">
        <v>5</v>
      </c>
      <c r="M815" s="2">
        <v>5</v>
      </c>
      <c r="N815" s="2">
        <v>54990</v>
      </c>
      <c r="O815" s="2" t="s">
        <v>1053</v>
      </c>
      <c r="P815" s="2" t="s">
        <v>1276</v>
      </c>
      <c r="Q815" s="2" t="s">
        <v>422</v>
      </c>
      <c r="R815" s="2">
        <v>3040</v>
      </c>
      <c r="S815" s="2"/>
      <c r="T815" s="2">
        <v>234</v>
      </c>
      <c r="U815" s="39">
        <f>IF(I815="N",T815*Supuestos!$B$4,T815*Supuestos!$C$4)*100</f>
        <v>8.7170258938136609</v>
      </c>
      <c r="V815" s="20">
        <f t="shared" si="64"/>
        <v>11.471802564102564</v>
      </c>
      <c r="W815" s="2">
        <f t="shared" si="62"/>
        <v>1170</v>
      </c>
      <c r="X815" s="2">
        <f t="shared" si="63"/>
        <v>43.585129469068306</v>
      </c>
    </row>
    <row r="816" spans="1:24" x14ac:dyDescent="0.25">
      <c r="A816" s="6" t="s">
        <v>27</v>
      </c>
      <c r="B816" s="6" t="s">
        <v>641</v>
      </c>
      <c r="C816" s="6" t="s">
        <v>405</v>
      </c>
      <c r="D816" s="6" t="s">
        <v>399</v>
      </c>
      <c r="E816" s="11" t="str">
        <f t="shared" si="60"/>
        <v>UTILITARIO</v>
      </c>
      <c r="F816" s="6" t="s">
        <v>14</v>
      </c>
      <c r="G816" s="11"/>
      <c r="H816" s="6" t="s">
        <v>1051</v>
      </c>
      <c r="I816" s="6" t="str">
        <f t="shared" si="61"/>
        <v>E</v>
      </c>
      <c r="J816" s="17" t="s">
        <v>418</v>
      </c>
      <c r="K816" s="6">
        <v>80</v>
      </c>
      <c r="L816" s="9">
        <v>4</v>
      </c>
      <c r="M816" s="21">
        <v>4</v>
      </c>
      <c r="N816" s="2">
        <v>36950</v>
      </c>
      <c r="O816" s="2" t="s">
        <v>1060</v>
      </c>
      <c r="P816" s="2" t="s">
        <v>1372</v>
      </c>
      <c r="Q816" s="2"/>
      <c r="R816" s="2">
        <v>2600</v>
      </c>
      <c r="S816" s="2">
        <v>4.0999999999999996</v>
      </c>
      <c r="T816" s="2"/>
      <c r="U816" s="39">
        <f>IF(I816="N",T816*Supuestos!$B$4,T816*Supuestos!$C$4)*100</f>
        <v>0</v>
      </c>
      <c r="V816" s="20">
        <f t="shared" si="64"/>
        <v>0</v>
      </c>
      <c r="W816" s="2">
        <f t="shared" si="62"/>
        <v>0</v>
      </c>
      <c r="X816" s="2">
        <f t="shared" si="63"/>
        <v>0</v>
      </c>
    </row>
    <row r="817" spans="1:24" x14ac:dyDescent="0.25">
      <c r="A817" s="6" t="s">
        <v>82</v>
      </c>
      <c r="B817" s="6" t="s">
        <v>652</v>
      </c>
      <c r="C817" s="6" t="s">
        <v>409</v>
      </c>
      <c r="D817" s="6" t="s">
        <v>399</v>
      </c>
      <c r="E817" s="11" t="str">
        <f t="shared" si="60"/>
        <v>UTILITARIO</v>
      </c>
      <c r="F817" s="6" t="s">
        <v>14</v>
      </c>
      <c r="G817" s="11">
        <v>2500</v>
      </c>
      <c r="H817" s="6" t="s">
        <v>1052</v>
      </c>
      <c r="I817" s="6" t="str">
        <f t="shared" si="61"/>
        <v>D</v>
      </c>
      <c r="J817" s="17" t="s">
        <v>22</v>
      </c>
      <c r="K817" s="6">
        <v>138</v>
      </c>
      <c r="L817" s="9">
        <v>4</v>
      </c>
      <c r="M817" s="2"/>
      <c r="N817" s="2"/>
      <c r="O817" s="2"/>
      <c r="P817" s="2"/>
      <c r="Q817" s="2"/>
      <c r="R817" s="2"/>
      <c r="S817" s="2"/>
      <c r="T817" s="2"/>
      <c r="U817" s="39">
        <f>IF(I817="N",T817*Supuestos!$B$4,T817*Supuestos!$C$4)*100</f>
        <v>0</v>
      </c>
      <c r="V817" s="20">
        <f t="shared" si="64"/>
        <v>0</v>
      </c>
      <c r="W817" s="2">
        <f t="shared" si="62"/>
        <v>0</v>
      </c>
      <c r="X817" s="2">
        <f t="shared" si="63"/>
        <v>0</v>
      </c>
    </row>
    <row r="818" spans="1:24" x14ac:dyDescent="0.25">
      <c r="A818" s="6" t="s">
        <v>67</v>
      </c>
      <c r="B818" s="6" t="s">
        <v>200</v>
      </c>
      <c r="C818" s="6" t="s">
        <v>409</v>
      </c>
      <c r="D818" s="6" t="s">
        <v>399</v>
      </c>
      <c r="E818" s="11" t="str">
        <f t="shared" si="60"/>
        <v>UTILITARIO</v>
      </c>
      <c r="F818" s="6" t="s">
        <v>14</v>
      </c>
      <c r="G818" s="11">
        <v>2400</v>
      </c>
      <c r="H818" s="6" t="s">
        <v>1050</v>
      </c>
      <c r="I818" s="6" t="str">
        <f t="shared" si="61"/>
        <v>N</v>
      </c>
      <c r="J818" s="17" t="s">
        <v>9</v>
      </c>
      <c r="K818" s="6">
        <v>120</v>
      </c>
      <c r="L818" s="9">
        <v>4</v>
      </c>
      <c r="M818" s="2">
        <v>4</v>
      </c>
      <c r="N818" s="2">
        <v>20990</v>
      </c>
      <c r="O818" s="2" t="s">
        <v>1053</v>
      </c>
      <c r="P818" s="2" t="s">
        <v>1265</v>
      </c>
      <c r="Q818" s="2" t="s">
        <v>429</v>
      </c>
      <c r="R818" s="2">
        <v>2710</v>
      </c>
      <c r="S818" s="2"/>
      <c r="T818" s="2">
        <v>272</v>
      </c>
      <c r="U818" s="39">
        <f>IF(I818="N",T818*Supuestos!$B$4,T818*Supuestos!$C$4)*100</f>
        <v>11.639512653605195</v>
      </c>
      <c r="V818" s="20">
        <f t="shared" si="64"/>
        <v>8.5914249999999992</v>
      </c>
      <c r="W818" s="2">
        <f t="shared" si="62"/>
        <v>1088</v>
      </c>
      <c r="X818" s="2">
        <f t="shared" si="63"/>
        <v>46.558050614420779</v>
      </c>
    </row>
    <row r="819" spans="1:24" x14ac:dyDescent="0.25">
      <c r="A819" s="6" t="s">
        <v>38</v>
      </c>
      <c r="B819" s="6" t="s">
        <v>763</v>
      </c>
      <c r="C819" s="6" t="s">
        <v>402</v>
      </c>
      <c r="D819" s="6" t="s">
        <v>399</v>
      </c>
      <c r="E819" s="11" t="str">
        <f t="shared" si="60"/>
        <v>UTILITARIO</v>
      </c>
      <c r="F819" s="6" t="s">
        <v>14</v>
      </c>
      <c r="G819" s="11"/>
      <c r="H819" s="6" t="s">
        <v>1051</v>
      </c>
      <c r="I819" s="6" t="str">
        <f t="shared" si="61"/>
        <v>E</v>
      </c>
      <c r="J819" s="17" t="s">
        <v>418</v>
      </c>
      <c r="K819" s="6">
        <v>161</v>
      </c>
      <c r="L819" s="9">
        <v>4</v>
      </c>
      <c r="M819" s="21">
        <v>4</v>
      </c>
      <c r="N819" s="2">
        <v>59768</v>
      </c>
      <c r="O819" s="2" t="s">
        <v>1060</v>
      </c>
      <c r="P819" s="2" t="s">
        <v>1378</v>
      </c>
      <c r="Q819" s="2"/>
      <c r="R819" s="2">
        <v>3490</v>
      </c>
      <c r="S819" s="2">
        <v>3.5</v>
      </c>
      <c r="T819" s="2"/>
      <c r="U819" s="39">
        <f>IF(I819="N",T819*Supuestos!$B$4,T819*Supuestos!$C$4)*100</f>
        <v>0</v>
      </c>
      <c r="V819" s="20">
        <f t="shared" si="64"/>
        <v>0</v>
      </c>
      <c r="W819" s="2">
        <f t="shared" si="62"/>
        <v>0</v>
      </c>
      <c r="X819" s="2">
        <f t="shared" si="63"/>
        <v>0</v>
      </c>
    </row>
    <row r="820" spans="1:24" x14ac:dyDescent="0.25">
      <c r="A820" s="6" t="s">
        <v>480</v>
      </c>
      <c r="B820" s="6" t="s">
        <v>807</v>
      </c>
      <c r="C820" s="6" t="s">
        <v>409</v>
      </c>
      <c r="D820" s="6" t="s">
        <v>399</v>
      </c>
      <c r="E820" s="11" t="str">
        <f t="shared" si="60"/>
        <v>UTILITARIO</v>
      </c>
      <c r="F820" s="6" t="s">
        <v>14</v>
      </c>
      <c r="G820" s="11">
        <v>2800</v>
      </c>
      <c r="H820" s="6" t="s">
        <v>1052</v>
      </c>
      <c r="I820" s="6" t="str">
        <f t="shared" si="61"/>
        <v>D</v>
      </c>
      <c r="J820" s="17" t="s">
        <v>22</v>
      </c>
      <c r="K820" s="6">
        <v>147</v>
      </c>
      <c r="L820" s="9">
        <v>4</v>
      </c>
      <c r="M820" s="2"/>
      <c r="N820" s="2"/>
      <c r="O820" s="2"/>
      <c r="P820" s="2"/>
      <c r="Q820" s="2"/>
      <c r="R820" s="2"/>
      <c r="S820" s="2"/>
      <c r="T820" s="2"/>
      <c r="U820" s="39">
        <f>IF(I820="N",T820*Supuestos!$B$4,T820*Supuestos!$C$4)*100</f>
        <v>0</v>
      </c>
      <c r="V820" s="20">
        <f t="shared" si="64"/>
        <v>0</v>
      </c>
      <c r="W820" s="2">
        <f t="shared" si="62"/>
        <v>0</v>
      </c>
      <c r="X820" s="2">
        <f t="shared" si="63"/>
        <v>0</v>
      </c>
    </row>
    <row r="821" spans="1:24" x14ac:dyDescent="0.25">
      <c r="A821" s="6" t="s">
        <v>480</v>
      </c>
      <c r="B821" s="6" t="s">
        <v>808</v>
      </c>
      <c r="C821" s="6" t="s">
        <v>409</v>
      </c>
      <c r="D821" s="6" t="s">
        <v>399</v>
      </c>
      <c r="E821" s="11" t="str">
        <f t="shared" si="60"/>
        <v>UTILITARIO</v>
      </c>
      <c r="F821" s="6" t="s">
        <v>14</v>
      </c>
      <c r="G821" s="11">
        <v>2800</v>
      </c>
      <c r="H821" s="6" t="s">
        <v>1052</v>
      </c>
      <c r="I821" s="6" t="str">
        <f t="shared" si="61"/>
        <v>D</v>
      </c>
      <c r="J821" s="17" t="s">
        <v>22</v>
      </c>
      <c r="K821" s="6">
        <v>147</v>
      </c>
      <c r="L821" s="9">
        <v>4</v>
      </c>
      <c r="M821" s="2"/>
      <c r="N821" s="2"/>
      <c r="O821" s="2"/>
      <c r="P821" s="2"/>
      <c r="Q821" s="2"/>
      <c r="R821" s="2"/>
      <c r="S821" s="2"/>
      <c r="T821" s="2"/>
      <c r="U821" s="39">
        <f>IF(I821="N",T821*Supuestos!$B$4,T821*Supuestos!$C$4)*100</f>
        <v>0</v>
      </c>
      <c r="V821" s="20">
        <f t="shared" si="64"/>
        <v>0</v>
      </c>
      <c r="W821" s="2">
        <f t="shared" si="62"/>
        <v>0</v>
      </c>
      <c r="X821" s="2">
        <f t="shared" si="63"/>
        <v>0</v>
      </c>
    </row>
    <row r="822" spans="1:24" x14ac:dyDescent="0.25">
      <c r="A822" s="6" t="s">
        <v>42</v>
      </c>
      <c r="B822" s="6" t="s">
        <v>844</v>
      </c>
      <c r="C822" s="6" t="s">
        <v>402</v>
      </c>
      <c r="D822" s="6" t="s">
        <v>399</v>
      </c>
      <c r="E822" s="11" t="str">
        <f t="shared" si="60"/>
        <v>UTILITARIO</v>
      </c>
      <c r="F822" s="6" t="s">
        <v>23</v>
      </c>
      <c r="G822" s="11">
        <v>2200</v>
      </c>
      <c r="H822" s="6" t="s">
        <v>1052</v>
      </c>
      <c r="I822" s="6" t="str">
        <f t="shared" si="61"/>
        <v>D</v>
      </c>
      <c r="J822" s="17" t="s">
        <v>22</v>
      </c>
      <c r="K822" s="6">
        <v>0</v>
      </c>
      <c r="L822" s="9">
        <v>4</v>
      </c>
      <c r="M822" s="2"/>
      <c r="N822" s="2"/>
      <c r="O822" s="2"/>
      <c r="P822" s="2"/>
      <c r="Q822" s="2"/>
      <c r="R822" s="2"/>
      <c r="S822" s="2"/>
      <c r="T822" s="2"/>
      <c r="U822" s="39">
        <f>IF(I822="N",T822*Supuestos!$B$4,T822*Supuestos!$C$4)*100</f>
        <v>0</v>
      </c>
      <c r="V822" s="20">
        <f t="shared" si="64"/>
        <v>0</v>
      </c>
      <c r="W822" s="2">
        <f t="shared" si="62"/>
        <v>0</v>
      </c>
      <c r="X822" s="2">
        <f t="shared" si="63"/>
        <v>0</v>
      </c>
    </row>
    <row r="823" spans="1:24" x14ac:dyDescent="0.25">
      <c r="A823" s="6" t="s">
        <v>62</v>
      </c>
      <c r="B823" s="6" t="s">
        <v>293</v>
      </c>
      <c r="C823" s="6" t="s">
        <v>402</v>
      </c>
      <c r="D823" s="6" t="s">
        <v>399</v>
      </c>
      <c r="E823" s="11" t="str">
        <f t="shared" si="60"/>
        <v>UTILITARIO</v>
      </c>
      <c r="F823" s="6" t="s">
        <v>26</v>
      </c>
      <c r="G823" s="11">
        <v>2200</v>
      </c>
      <c r="H823" s="6" t="s">
        <v>1052</v>
      </c>
      <c r="I823" s="6" t="str">
        <f t="shared" si="61"/>
        <v>D</v>
      </c>
      <c r="J823" s="17" t="s">
        <v>22</v>
      </c>
      <c r="K823" s="6">
        <v>130</v>
      </c>
      <c r="L823" s="9">
        <v>4</v>
      </c>
      <c r="M823" s="2"/>
      <c r="N823" s="2"/>
      <c r="O823" s="2"/>
      <c r="P823" s="2"/>
      <c r="Q823" s="2"/>
      <c r="R823" s="2"/>
      <c r="S823" s="2"/>
      <c r="T823" s="2"/>
      <c r="U823" s="39">
        <f>IF(I823="N",T823*Supuestos!$B$4,T823*Supuestos!$C$4)*100</f>
        <v>0</v>
      </c>
      <c r="V823" s="20">
        <f t="shared" si="64"/>
        <v>0</v>
      </c>
      <c r="W823" s="2">
        <f t="shared" si="62"/>
        <v>0</v>
      </c>
      <c r="X823" s="2">
        <f t="shared" si="63"/>
        <v>0</v>
      </c>
    </row>
    <row r="824" spans="1:24" x14ac:dyDescent="0.25">
      <c r="A824" s="6" t="s">
        <v>47</v>
      </c>
      <c r="B824" s="6" t="s">
        <v>914</v>
      </c>
      <c r="C824" s="6" t="s">
        <v>409</v>
      </c>
      <c r="D824" s="6" t="s">
        <v>399</v>
      </c>
      <c r="E824" s="11" t="str">
        <f t="shared" si="60"/>
        <v>UTILITARIO</v>
      </c>
      <c r="F824" s="6" t="s">
        <v>16</v>
      </c>
      <c r="G824" s="11">
        <v>3600</v>
      </c>
      <c r="H824" s="6" t="s">
        <v>1050</v>
      </c>
      <c r="I824" s="6" t="str">
        <f t="shared" si="61"/>
        <v>N</v>
      </c>
      <c r="J824" s="17" t="s">
        <v>419</v>
      </c>
      <c r="K824" s="6">
        <v>292</v>
      </c>
      <c r="L824" s="9">
        <v>4</v>
      </c>
      <c r="M824" s="2"/>
      <c r="N824" s="2"/>
      <c r="O824" s="2"/>
      <c r="P824" s="2"/>
      <c r="Q824" s="2"/>
      <c r="R824" s="2"/>
      <c r="S824" s="2"/>
      <c r="T824" s="2"/>
      <c r="U824" s="39">
        <f>IF(I824="N",T824*Supuestos!$B$4,T824*Supuestos!$C$4)*100</f>
        <v>0</v>
      </c>
      <c r="V824" s="20">
        <f t="shared" si="64"/>
        <v>0</v>
      </c>
      <c r="W824" s="2">
        <f t="shared" si="62"/>
        <v>0</v>
      </c>
      <c r="X824" s="2">
        <f t="shared" si="63"/>
        <v>0</v>
      </c>
    </row>
    <row r="825" spans="1:24" x14ac:dyDescent="0.25">
      <c r="A825" s="6" t="s">
        <v>81</v>
      </c>
      <c r="B825" s="6" t="s">
        <v>162</v>
      </c>
      <c r="C825" s="6" t="s">
        <v>66</v>
      </c>
      <c r="D825" s="6" t="s">
        <v>399</v>
      </c>
      <c r="E825" s="11" t="str">
        <f t="shared" si="60"/>
        <v>UTILITARIO</v>
      </c>
      <c r="F825" s="6" t="s">
        <v>57</v>
      </c>
      <c r="G825" s="11">
        <v>1600</v>
      </c>
      <c r="H825" s="6" t="s">
        <v>1050</v>
      </c>
      <c r="I825" s="6" t="str">
        <f t="shared" si="61"/>
        <v>N</v>
      </c>
      <c r="J825" s="17" t="s">
        <v>9</v>
      </c>
      <c r="K825" s="6">
        <v>115</v>
      </c>
      <c r="L825" s="9">
        <v>3</v>
      </c>
      <c r="M825" s="2">
        <v>3</v>
      </c>
      <c r="N825" s="2">
        <v>25790</v>
      </c>
      <c r="O825" s="2" t="s">
        <v>1055</v>
      </c>
      <c r="P825" s="2" t="s">
        <v>1249</v>
      </c>
      <c r="Q825" s="2" t="s">
        <v>429</v>
      </c>
      <c r="R825" s="2">
        <v>1660</v>
      </c>
      <c r="S825" s="2"/>
      <c r="T825" s="2">
        <v>205.58</v>
      </c>
      <c r="U825" s="39">
        <f>IF(I825="N",T825*Supuestos!$B$4,T825*Supuestos!$C$4)*100</f>
        <v>8.7972463651770436</v>
      </c>
      <c r="V825" s="20">
        <f t="shared" si="64"/>
        <v>11.3671933067419</v>
      </c>
      <c r="W825" s="2">
        <f t="shared" si="62"/>
        <v>616.74</v>
      </c>
      <c r="X825" s="2">
        <f t="shared" si="63"/>
        <v>26.391739095531129</v>
      </c>
    </row>
    <row r="826" spans="1:24" x14ac:dyDescent="0.25">
      <c r="A826" s="6" t="s">
        <v>82</v>
      </c>
      <c r="B826" s="6" t="s">
        <v>651</v>
      </c>
      <c r="C826" s="6" t="s">
        <v>409</v>
      </c>
      <c r="D826" s="6" t="s">
        <v>399</v>
      </c>
      <c r="E826" s="11" t="str">
        <f t="shared" si="60"/>
        <v>UTILITARIO</v>
      </c>
      <c r="F826" s="6" t="s">
        <v>14</v>
      </c>
      <c r="G826" s="11">
        <v>2500</v>
      </c>
      <c r="H826" s="6" t="s">
        <v>1052</v>
      </c>
      <c r="I826" s="6" t="str">
        <f t="shared" si="61"/>
        <v>D</v>
      </c>
      <c r="J826" s="17" t="s">
        <v>22</v>
      </c>
      <c r="K826" s="6">
        <v>138</v>
      </c>
      <c r="L826" s="9">
        <v>3</v>
      </c>
      <c r="M826" s="2"/>
      <c r="N826" s="2"/>
      <c r="O826" s="2"/>
      <c r="P826" s="2"/>
      <c r="Q826" s="2"/>
      <c r="R826" s="2"/>
      <c r="S826" s="2"/>
      <c r="T826" s="2"/>
      <c r="U826" s="39">
        <f>IF(I826="N",T826*Supuestos!$B$4,T826*Supuestos!$C$4)*100</f>
        <v>0</v>
      </c>
      <c r="V826" s="20">
        <f t="shared" si="64"/>
        <v>0</v>
      </c>
      <c r="W826" s="2">
        <f t="shared" si="62"/>
        <v>0</v>
      </c>
      <c r="X826" s="2">
        <f t="shared" si="63"/>
        <v>0</v>
      </c>
    </row>
    <row r="827" spans="1:24" x14ac:dyDescent="0.25">
      <c r="A827" s="6" t="s">
        <v>30</v>
      </c>
      <c r="B827" s="6" t="s">
        <v>185</v>
      </c>
      <c r="C827" s="6" t="s">
        <v>409</v>
      </c>
      <c r="D827" s="6" t="s">
        <v>399</v>
      </c>
      <c r="E827" s="11" t="str">
        <f t="shared" si="60"/>
        <v>UTILITARIO</v>
      </c>
      <c r="F827" s="6" t="s">
        <v>16</v>
      </c>
      <c r="G827" s="11">
        <v>3500</v>
      </c>
      <c r="H827" s="6" t="s">
        <v>1050</v>
      </c>
      <c r="I827" s="6" t="str">
        <f t="shared" si="61"/>
        <v>N</v>
      </c>
      <c r="J827" s="17" t="s">
        <v>9</v>
      </c>
      <c r="K827" s="6">
        <v>370</v>
      </c>
      <c r="L827" s="9">
        <v>3</v>
      </c>
      <c r="M827" s="2"/>
      <c r="N827" s="2"/>
      <c r="O827" s="2"/>
      <c r="P827" s="2"/>
      <c r="Q827" s="2"/>
      <c r="R827" s="2"/>
      <c r="S827" s="2"/>
      <c r="T827" s="2"/>
      <c r="U827" s="39">
        <f>IF(I827="N",T827*Supuestos!$B$4,T827*Supuestos!$C$4)*100</f>
        <v>0</v>
      </c>
      <c r="V827" s="20">
        <f t="shared" si="64"/>
        <v>0</v>
      </c>
      <c r="W827" s="2">
        <f t="shared" si="62"/>
        <v>0</v>
      </c>
      <c r="X827" s="2">
        <f t="shared" si="63"/>
        <v>0</v>
      </c>
    </row>
    <row r="828" spans="1:24" x14ac:dyDescent="0.25">
      <c r="A828" s="6" t="s">
        <v>67</v>
      </c>
      <c r="B828" s="6" t="s">
        <v>687</v>
      </c>
      <c r="C828" s="6" t="s">
        <v>409</v>
      </c>
      <c r="D828" s="6" t="s">
        <v>399</v>
      </c>
      <c r="E828" s="11" t="str">
        <f t="shared" si="60"/>
        <v>UTILITARIO</v>
      </c>
      <c r="F828" s="6" t="s">
        <v>14</v>
      </c>
      <c r="G828" s="11">
        <v>2000</v>
      </c>
      <c r="H828" s="6" t="s">
        <v>1052</v>
      </c>
      <c r="I828" s="6" t="str">
        <f t="shared" si="61"/>
        <v>D</v>
      </c>
      <c r="J828" s="17" t="s">
        <v>22</v>
      </c>
      <c r="K828" s="6">
        <v>156</v>
      </c>
      <c r="L828" s="9">
        <v>3</v>
      </c>
      <c r="M828" s="2"/>
      <c r="N828" s="2"/>
      <c r="O828" s="2"/>
      <c r="P828" s="2"/>
      <c r="Q828" s="2"/>
      <c r="R828" s="2"/>
      <c r="S828" s="2"/>
      <c r="T828" s="2"/>
      <c r="U828" s="39">
        <f>IF(I828="N",T828*Supuestos!$B$4,T828*Supuestos!$C$4)*100</f>
        <v>0</v>
      </c>
      <c r="V828" s="20">
        <f t="shared" si="64"/>
        <v>0</v>
      </c>
      <c r="W828" s="2">
        <f t="shared" si="62"/>
        <v>0</v>
      </c>
      <c r="X828" s="2">
        <f t="shared" si="63"/>
        <v>0</v>
      </c>
    </row>
    <row r="829" spans="1:24" x14ac:dyDescent="0.25">
      <c r="A829" s="6" t="s">
        <v>480</v>
      </c>
      <c r="B829" s="6" t="s">
        <v>810</v>
      </c>
      <c r="C829" s="6" t="s">
        <v>409</v>
      </c>
      <c r="D829" s="6" t="s">
        <v>399</v>
      </c>
      <c r="E829" s="11" t="str">
        <f t="shared" si="60"/>
        <v>UTILITARIO</v>
      </c>
      <c r="F829" s="6" t="s">
        <v>14</v>
      </c>
      <c r="G829" s="11"/>
      <c r="H829" s="6" t="s">
        <v>1051</v>
      </c>
      <c r="I829" s="6" t="str">
        <f t="shared" si="61"/>
        <v>E</v>
      </c>
      <c r="J829" s="17" t="s">
        <v>418</v>
      </c>
      <c r="K829" s="6">
        <v>174</v>
      </c>
      <c r="L829" s="9">
        <v>3</v>
      </c>
      <c r="M829" s="21">
        <v>3</v>
      </c>
      <c r="N829" s="2">
        <v>73188</v>
      </c>
      <c r="O829" s="2" t="s">
        <v>1341</v>
      </c>
      <c r="P829" s="2"/>
      <c r="Q829" s="2"/>
      <c r="R829" s="2"/>
      <c r="S829" s="2">
        <v>2.8</v>
      </c>
      <c r="T829" s="2"/>
      <c r="U829" s="39">
        <f>IF(I829="N",T829*Supuestos!$B$4,T829*Supuestos!$C$4)*100</f>
        <v>0</v>
      </c>
      <c r="V829" s="20">
        <f t="shared" si="64"/>
        <v>0</v>
      </c>
      <c r="W829" s="2">
        <f t="shared" si="62"/>
        <v>0</v>
      </c>
      <c r="X829" s="2">
        <f t="shared" si="63"/>
        <v>0</v>
      </c>
    </row>
    <row r="830" spans="1:24" x14ac:dyDescent="0.25">
      <c r="A830" s="6" t="s">
        <v>62</v>
      </c>
      <c r="B830" s="6" t="s">
        <v>292</v>
      </c>
      <c r="C830" s="6" t="s">
        <v>402</v>
      </c>
      <c r="D830" s="6" t="s">
        <v>399</v>
      </c>
      <c r="E830" s="11" t="str">
        <f t="shared" si="60"/>
        <v>UTILITARIO</v>
      </c>
      <c r="F830" s="6" t="s">
        <v>26</v>
      </c>
      <c r="G830" s="11">
        <v>2200</v>
      </c>
      <c r="H830" s="6" t="s">
        <v>1052</v>
      </c>
      <c r="I830" s="6" t="str">
        <f t="shared" si="61"/>
        <v>D</v>
      </c>
      <c r="J830" s="17" t="s">
        <v>22</v>
      </c>
      <c r="K830" s="6">
        <v>130</v>
      </c>
      <c r="L830" s="9">
        <v>3</v>
      </c>
      <c r="M830" s="2"/>
      <c r="N830" s="2"/>
      <c r="O830" s="2"/>
      <c r="P830" s="2"/>
      <c r="Q830" s="2"/>
      <c r="R830" s="2"/>
      <c r="S830" s="2"/>
      <c r="T830" s="2"/>
      <c r="U830" s="39">
        <f>IF(I830="N",T830*Supuestos!$B$4,T830*Supuestos!$C$4)*100</f>
        <v>0</v>
      </c>
      <c r="V830" s="20">
        <f t="shared" si="64"/>
        <v>0</v>
      </c>
      <c r="W830" s="2">
        <f t="shared" si="62"/>
        <v>0</v>
      </c>
      <c r="X830" s="2">
        <f t="shared" si="63"/>
        <v>0</v>
      </c>
    </row>
    <row r="831" spans="1:24" x14ac:dyDescent="0.25">
      <c r="A831" s="6" t="s">
        <v>62</v>
      </c>
      <c r="B831" s="6" t="s">
        <v>892</v>
      </c>
      <c r="C831" s="6" t="s">
        <v>409</v>
      </c>
      <c r="D831" s="6" t="s">
        <v>399</v>
      </c>
      <c r="E831" s="11" t="str">
        <f t="shared" si="60"/>
        <v>UTILITARIO</v>
      </c>
      <c r="F831" s="6" t="s">
        <v>413</v>
      </c>
      <c r="G831" s="11">
        <v>2200</v>
      </c>
      <c r="H831" s="6" t="s">
        <v>1052</v>
      </c>
      <c r="I831" s="6" t="str">
        <f t="shared" si="61"/>
        <v>D</v>
      </c>
      <c r="J831" s="17" t="s">
        <v>22</v>
      </c>
      <c r="K831" s="6">
        <v>180</v>
      </c>
      <c r="L831" s="9">
        <v>3</v>
      </c>
      <c r="M831" s="2"/>
      <c r="N831" s="2"/>
      <c r="O831" s="2"/>
      <c r="P831" s="2"/>
      <c r="Q831" s="2"/>
      <c r="R831" s="2"/>
      <c r="S831" s="2"/>
      <c r="T831" s="2"/>
      <c r="U831" s="39">
        <f>IF(I831="N",T831*Supuestos!$B$4,T831*Supuestos!$C$4)*100</f>
        <v>0</v>
      </c>
      <c r="V831" s="20">
        <f t="shared" si="64"/>
        <v>0</v>
      </c>
      <c r="W831" s="2">
        <f t="shared" si="62"/>
        <v>0</v>
      </c>
      <c r="X831" s="2">
        <f t="shared" si="63"/>
        <v>0</v>
      </c>
    </row>
    <row r="832" spans="1:24" x14ac:dyDescent="0.25">
      <c r="A832" s="6" t="s">
        <v>27</v>
      </c>
      <c r="B832" s="6" t="s">
        <v>640</v>
      </c>
      <c r="C832" s="6" t="s">
        <v>405</v>
      </c>
      <c r="D832" s="6" t="s">
        <v>399</v>
      </c>
      <c r="E832" s="11" t="str">
        <f t="shared" si="60"/>
        <v>UTILITARIO</v>
      </c>
      <c r="F832" s="6" t="s">
        <v>14</v>
      </c>
      <c r="G832" s="11"/>
      <c r="H832" s="6" t="s">
        <v>1051</v>
      </c>
      <c r="I832" s="6" t="str">
        <f t="shared" si="61"/>
        <v>E</v>
      </c>
      <c r="J832" s="17" t="s">
        <v>418</v>
      </c>
      <c r="K832" s="6">
        <v>80</v>
      </c>
      <c r="L832" s="9">
        <v>2</v>
      </c>
      <c r="M832" s="21">
        <v>2</v>
      </c>
      <c r="N832" s="2">
        <v>38950</v>
      </c>
      <c r="O832" s="2" t="s">
        <v>1060</v>
      </c>
      <c r="P832" s="2" t="s">
        <v>1373</v>
      </c>
      <c r="Q832" s="2"/>
      <c r="R832" s="2">
        <v>2600</v>
      </c>
      <c r="S832" s="2">
        <v>5.5</v>
      </c>
      <c r="T832" s="2"/>
      <c r="U832" s="39">
        <f>IF(I832="N",T832*Supuestos!$B$4,T832*Supuestos!$C$4)*100</f>
        <v>0</v>
      </c>
      <c r="V832" s="20">
        <f t="shared" si="64"/>
        <v>0</v>
      </c>
      <c r="W832" s="2">
        <f t="shared" si="62"/>
        <v>0</v>
      </c>
      <c r="X832" s="2">
        <f t="shared" si="63"/>
        <v>0</v>
      </c>
    </row>
    <row r="833" spans="1:24" x14ac:dyDescent="0.25">
      <c r="A833" s="6" t="s">
        <v>82</v>
      </c>
      <c r="B833" s="6" t="s">
        <v>648</v>
      </c>
      <c r="C833" s="6" t="s">
        <v>409</v>
      </c>
      <c r="D833" s="6" t="s">
        <v>399</v>
      </c>
      <c r="E833" s="11" t="str">
        <f t="shared" si="60"/>
        <v>UTILITARIO</v>
      </c>
      <c r="F833" s="6" t="s">
        <v>14</v>
      </c>
      <c r="G833" s="11"/>
      <c r="H833" s="6" t="s">
        <v>1051</v>
      </c>
      <c r="I833" s="6" t="str">
        <f t="shared" si="61"/>
        <v>E</v>
      </c>
      <c r="J833" s="17" t="s">
        <v>418</v>
      </c>
      <c r="K833" s="6">
        <v>161</v>
      </c>
      <c r="L833" s="9">
        <v>2</v>
      </c>
      <c r="M833" s="21">
        <v>2</v>
      </c>
      <c r="N833" s="2">
        <v>51545</v>
      </c>
      <c r="O833" s="2" t="s">
        <v>1341</v>
      </c>
      <c r="P833" s="2"/>
      <c r="Q833" s="2"/>
      <c r="R833" s="2"/>
      <c r="S833" s="2">
        <v>2.8</v>
      </c>
      <c r="T833" s="2"/>
      <c r="U833" s="39">
        <f>IF(I833="N",T833*Supuestos!$B$4,T833*Supuestos!$C$4)*100</f>
        <v>0</v>
      </c>
      <c r="V833" s="20">
        <f t="shared" si="64"/>
        <v>0</v>
      </c>
      <c r="W833" s="2">
        <f t="shared" si="62"/>
        <v>0</v>
      </c>
      <c r="X833" s="2">
        <f t="shared" si="63"/>
        <v>0</v>
      </c>
    </row>
    <row r="834" spans="1:24" x14ac:dyDescent="0.25">
      <c r="A834" s="6" t="s">
        <v>82</v>
      </c>
      <c r="B834" s="6" t="s">
        <v>649</v>
      </c>
      <c r="C834" s="6" t="s">
        <v>409</v>
      </c>
      <c r="D834" s="6" t="s">
        <v>399</v>
      </c>
      <c r="E834" s="11" t="str">
        <f t="shared" ref="E834:E867" si="65">IF(D834="COMERCIAL","UTILITARIO",IF(C834="SUV Y CROSSOVER","SUV","AUTOMOVIL"))</f>
        <v>UTILITARIO</v>
      </c>
      <c r="F834" s="6"/>
      <c r="G834" s="11">
        <v>2400</v>
      </c>
      <c r="H834" s="6" t="s">
        <v>1050</v>
      </c>
      <c r="I834" s="6" t="str">
        <f t="shared" ref="I834:I867" si="66">IF(H834="NAFTA","N",IF(H834="DIESEL","D",IF(H834="ELÉCTRICO","E","")))</f>
        <v>N</v>
      </c>
      <c r="J834" s="17" t="s">
        <v>9</v>
      </c>
      <c r="K834" s="6">
        <v>156</v>
      </c>
      <c r="L834" s="9">
        <v>2</v>
      </c>
      <c r="M834" s="2"/>
      <c r="N834" s="2"/>
      <c r="O834" s="2"/>
      <c r="P834" s="2"/>
      <c r="Q834" s="2"/>
      <c r="R834" s="2"/>
      <c r="S834" s="2"/>
      <c r="T834" s="2"/>
      <c r="U834" s="39">
        <f>IF(I834="N",T834*Supuestos!$B$4,T834*Supuestos!$C$4)*100</f>
        <v>0</v>
      </c>
      <c r="V834" s="20">
        <f t="shared" si="64"/>
        <v>0</v>
      </c>
      <c r="W834" s="2">
        <f t="shared" ref="W834:W867" si="67">T834*M834</f>
        <v>0</v>
      </c>
      <c r="X834" s="2">
        <f t="shared" ref="X834:X867" si="68">+U834*M834</f>
        <v>0</v>
      </c>
    </row>
    <row r="835" spans="1:24" x14ac:dyDescent="0.25">
      <c r="A835" s="6" t="s">
        <v>82</v>
      </c>
      <c r="B835" s="6" t="s">
        <v>650</v>
      </c>
      <c r="C835" s="6" t="s">
        <v>409</v>
      </c>
      <c r="D835" s="6" t="s">
        <v>399</v>
      </c>
      <c r="E835" s="11" t="str">
        <f t="shared" si="65"/>
        <v>UTILITARIO</v>
      </c>
      <c r="F835" s="6" t="s">
        <v>14</v>
      </c>
      <c r="G835" s="11">
        <v>2400</v>
      </c>
      <c r="H835" s="6" t="s">
        <v>1050</v>
      </c>
      <c r="I835" s="6" t="str">
        <f t="shared" si="66"/>
        <v>N</v>
      </c>
      <c r="J835" s="17" t="s">
        <v>9</v>
      </c>
      <c r="K835" s="6">
        <v>156</v>
      </c>
      <c r="L835" s="9">
        <v>2</v>
      </c>
      <c r="M835" s="2"/>
      <c r="N835" s="2"/>
      <c r="O835" s="2"/>
      <c r="P835" s="2"/>
      <c r="Q835" s="2"/>
      <c r="R835" s="2"/>
      <c r="S835" s="2"/>
      <c r="T835" s="2"/>
      <c r="U835" s="39">
        <f>IF(I835="N",T835*Supuestos!$B$4,T835*Supuestos!$C$4)*100</f>
        <v>0</v>
      </c>
      <c r="V835" s="20">
        <f t="shared" ref="V835:V867" si="69">IF(U835&gt;0,100/U835,0)</f>
        <v>0</v>
      </c>
      <c r="W835" s="2">
        <f t="shared" si="67"/>
        <v>0</v>
      </c>
      <c r="X835" s="2">
        <f t="shared" si="68"/>
        <v>0</v>
      </c>
    </row>
    <row r="836" spans="1:24" x14ac:dyDescent="0.25">
      <c r="A836" s="6" t="s">
        <v>67</v>
      </c>
      <c r="B836" s="6" t="s">
        <v>689</v>
      </c>
      <c r="C836" s="6" t="s">
        <v>409</v>
      </c>
      <c r="D836" s="6" t="s">
        <v>399</v>
      </c>
      <c r="E836" s="11" t="str">
        <f t="shared" si="65"/>
        <v>UTILITARIO</v>
      </c>
      <c r="F836" s="6" t="s">
        <v>14</v>
      </c>
      <c r="G836" s="11">
        <v>2000</v>
      </c>
      <c r="H836" s="6" t="s">
        <v>1052</v>
      </c>
      <c r="I836" s="6" t="str">
        <f t="shared" si="66"/>
        <v>D</v>
      </c>
      <c r="J836" s="17" t="s">
        <v>22</v>
      </c>
      <c r="K836" s="6">
        <v>156</v>
      </c>
      <c r="L836" s="9">
        <v>2</v>
      </c>
      <c r="M836" s="2">
        <v>2</v>
      </c>
      <c r="N836" s="2">
        <v>37990</v>
      </c>
      <c r="O836" s="2" t="s">
        <v>1060</v>
      </c>
      <c r="P836" s="2" t="s">
        <v>1292</v>
      </c>
      <c r="Q836" s="2" t="s">
        <v>424</v>
      </c>
      <c r="R836" s="2">
        <v>2960</v>
      </c>
      <c r="S836" s="2"/>
      <c r="T836" s="2">
        <v>251</v>
      </c>
      <c r="U836" s="39">
        <f>IF(I836="N",T836*Supuestos!$B$4,T836*Supuestos!$C$4)*100</f>
        <v>9.3503140997744829</v>
      </c>
      <c r="V836" s="20">
        <f t="shared" si="69"/>
        <v>10.694827888446214</v>
      </c>
      <c r="W836" s="2">
        <f t="shared" si="67"/>
        <v>502</v>
      </c>
      <c r="X836" s="2">
        <f t="shared" si="68"/>
        <v>18.700628199548966</v>
      </c>
    </row>
    <row r="837" spans="1:24" x14ac:dyDescent="0.25">
      <c r="A837" s="6" t="s">
        <v>36</v>
      </c>
      <c r="B837" s="6" t="s">
        <v>227</v>
      </c>
      <c r="C837" s="6" t="s">
        <v>402</v>
      </c>
      <c r="D837" s="6" t="s">
        <v>399</v>
      </c>
      <c r="E837" s="11" t="str">
        <f t="shared" si="65"/>
        <v>UTILITARIO</v>
      </c>
      <c r="F837" s="6" t="s">
        <v>14</v>
      </c>
      <c r="G837" s="11"/>
      <c r="H837" s="6" t="s">
        <v>1051</v>
      </c>
      <c r="I837" s="6" t="str">
        <f t="shared" si="66"/>
        <v>E</v>
      </c>
      <c r="J837" s="17" t="s">
        <v>418</v>
      </c>
      <c r="K837" s="6">
        <v>160</v>
      </c>
      <c r="L837" s="9">
        <v>2</v>
      </c>
      <c r="M837" s="21">
        <v>2</v>
      </c>
      <c r="N837" s="2">
        <v>59900</v>
      </c>
      <c r="O837" s="2" t="s">
        <v>1060</v>
      </c>
      <c r="P837" s="2" t="s">
        <v>1343</v>
      </c>
      <c r="Q837" s="2"/>
      <c r="R837" s="2">
        <v>3490</v>
      </c>
      <c r="S837" s="2">
        <v>3.7</v>
      </c>
      <c r="T837" s="2"/>
      <c r="U837" s="39">
        <f>IF(I837="N",T837*Supuestos!$B$4,T837*Supuestos!$C$4)*100</f>
        <v>0</v>
      </c>
      <c r="V837" s="20">
        <f t="shared" si="69"/>
        <v>0</v>
      </c>
      <c r="W837" s="2">
        <f t="shared" si="67"/>
        <v>0</v>
      </c>
      <c r="X837" s="2">
        <f t="shared" si="68"/>
        <v>0</v>
      </c>
    </row>
    <row r="838" spans="1:24" x14ac:dyDescent="0.25">
      <c r="A838" s="6" t="s">
        <v>37</v>
      </c>
      <c r="B838" s="6" t="s">
        <v>233</v>
      </c>
      <c r="C838" s="6" t="s">
        <v>409</v>
      </c>
      <c r="D838" s="6" t="s">
        <v>399</v>
      </c>
      <c r="E838" s="11" t="str">
        <f t="shared" si="65"/>
        <v>UTILITARIO</v>
      </c>
      <c r="F838" s="6" t="s">
        <v>16</v>
      </c>
      <c r="G838" s="11">
        <v>3600</v>
      </c>
      <c r="H838" s="6" t="s">
        <v>1050</v>
      </c>
      <c r="I838" s="6" t="str">
        <f t="shared" si="66"/>
        <v>N</v>
      </c>
      <c r="J838" s="17" t="s">
        <v>9</v>
      </c>
      <c r="K838" s="6">
        <v>285</v>
      </c>
      <c r="L838" s="9">
        <v>2</v>
      </c>
      <c r="M838" s="2"/>
      <c r="N838" s="2"/>
      <c r="O838" s="2"/>
      <c r="P838" s="2"/>
      <c r="Q838" s="2"/>
      <c r="R838" s="2"/>
      <c r="S838" s="2"/>
      <c r="T838" s="2"/>
      <c r="U838" s="39">
        <f>IF(I838="N",T838*Supuestos!$B$4,T838*Supuestos!$C$4)*100</f>
        <v>0</v>
      </c>
      <c r="V838" s="20">
        <f t="shared" si="69"/>
        <v>0</v>
      </c>
      <c r="W838" s="2">
        <f t="shared" si="67"/>
        <v>0</v>
      </c>
      <c r="X838" s="2">
        <f t="shared" si="68"/>
        <v>0</v>
      </c>
    </row>
    <row r="839" spans="1:24" x14ac:dyDescent="0.25">
      <c r="A839" s="6" t="s">
        <v>38</v>
      </c>
      <c r="B839" s="6" t="s">
        <v>765</v>
      </c>
      <c r="C839" s="6" t="s">
        <v>409</v>
      </c>
      <c r="D839" s="6" t="s">
        <v>399</v>
      </c>
      <c r="E839" s="11" t="str">
        <f t="shared" si="65"/>
        <v>UTILITARIO</v>
      </c>
      <c r="F839" s="6" t="s">
        <v>14</v>
      </c>
      <c r="G839" s="11"/>
      <c r="H839" s="6" t="s">
        <v>1051</v>
      </c>
      <c r="I839" s="6" t="str">
        <f t="shared" si="66"/>
        <v>E</v>
      </c>
      <c r="J839" s="17" t="s">
        <v>418</v>
      </c>
      <c r="K839" s="6">
        <v>160</v>
      </c>
      <c r="L839" s="9">
        <v>2</v>
      </c>
      <c r="M839" s="21">
        <v>2</v>
      </c>
      <c r="N839" s="2">
        <v>63428</v>
      </c>
      <c r="O839" s="2" t="s">
        <v>1060</v>
      </c>
      <c r="P839" s="2" t="s">
        <v>1379</v>
      </c>
      <c r="Q839" s="2"/>
      <c r="R839" s="2">
        <v>3495</v>
      </c>
      <c r="S839" s="2">
        <v>3.5</v>
      </c>
      <c r="T839" s="2"/>
      <c r="U839" s="39">
        <f>IF(I839="N",T839*Supuestos!$B$4,T839*Supuestos!$C$4)*100</f>
        <v>0</v>
      </c>
      <c r="V839" s="20">
        <f t="shared" si="69"/>
        <v>0</v>
      </c>
      <c r="W839" s="2">
        <f t="shared" si="67"/>
        <v>0</v>
      </c>
      <c r="X839" s="2">
        <f t="shared" si="68"/>
        <v>0</v>
      </c>
    </row>
    <row r="840" spans="1:24" x14ac:dyDescent="0.25">
      <c r="A840" s="6" t="s">
        <v>480</v>
      </c>
      <c r="B840" s="6" t="s">
        <v>804</v>
      </c>
      <c r="C840" s="6" t="s">
        <v>402</v>
      </c>
      <c r="D840" s="6" t="s">
        <v>399</v>
      </c>
      <c r="E840" s="11" t="str">
        <f t="shared" si="65"/>
        <v>UTILITARIO</v>
      </c>
      <c r="F840" s="6"/>
      <c r="G840" s="11"/>
      <c r="H840" s="6" t="s">
        <v>1052</v>
      </c>
      <c r="I840" s="6" t="str">
        <f t="shared" si="66"/>
        <v>D</v>
      </c>
      <c r="J840" s="17" t="s">
        <v>22</v>
      </c>
      <c r="K840" s="6"/>
      <c r="L840" s="9">
        <v>2</v>
      </c>
      <c r="M840" s="2"/>
      <c r="N840" s="2"/>
      <c r="O840" s="2"/>
      <c r="P840" s="2"/>
      <c r="Q840" s="2"/>
      <c r="R840" s="2"/>
      <c r="S840" s="2"/>
      <c r="T840" s="2"/>
      <c r="U840" s="39">
        <f>IF(I840="N",T840*Supuestos!$B$4,T840*Supuestos!$C$4)*100</f>
        <v>0</v>
      </c>
      <c r="V840" s="20">
        <f t="shared" si="69"/>
        <v>0</v>
      </c>
      <c r="W840" s="2">
        <f t="shared" si="67"/>
        <v>0</v>
      </c>
      <c r="X840" s="2">
        <f t="shared" si="68"/>
        <v>0</v>
      </c>
    </row>
    <row r="841" spans="1:24" x14ac:dyDescent="0.25">
      <c r="A841" s="6" t="s">
        <v>480</v>
      </c>
      <c r="B841" s="6" t="s">
        <v>809</v>
      </c>
      <c r="C841" s="6" t="s">
        <v>409</v>
      </c>
      <c r="D841" s="6" t="s">
        <v>399</v>
      </c>
      <c r="E841" s="11" t="str">
        <f t="shared" si="65"/>
        <v>UTILITARIO</v>
      </c>
      <c r="F841" s="6" t="s">
        <v>14</v>
      </c>
      <c r="G841" s="11">
        <v>2800</v>
      </c>
      <c r="H841" s="6" t="s">
        <v>1052</v>
      </c>
      <c r="I841" s="6" t="str">
        <f t="shared" si="66"/>
        <v>D</v>
      </c>
      <c r="J841" s="17" t="s">
        <v>22</v>
      </c>
      <c r="K841" s="6">
        <v>147</v>
      </c>
      <c r="L841" s="9">
        <v>2</v>
      </c>
      <c r="M841" s="2"/>
      <c r="N841" s="2"/>
      <c r="O841" s="2"/>
      <c r="P841" s="2"/>
      <c r="Q841" s="2"/>
      <c r="R841" s="2"/>
      <c r="S841" s="2"/>
      <c r="T841" s="2"/>
      <c r="U841" s="39">
        <f>IF(I841="N",T841*Supuestos!$B$4,T841*Supuestos!$C$4)*100</f>
        <v>0</v>
      </c>
      <c r="V841" s="20">
        <f t="shared" si="69"/>
        <v>0</v>
      </c>
      <c r="W841" s="2">
        <f t="shared" si="67"/>
        <v>0</v>
      </c>
      <c r="X841" s="2">
        <f t="shared" si="68"/>
        <v>0</v>
      </c>
    </row>
    <row r="842" spans="1:24" x14ac:dyDescent="0.25">
      <c r="A842" s="6" t="s">
        <v>41</v>
      </c>
      <c r="B842" s="6" t="s">
        <v>815</v>
      </c>
      <c r="C842" s="6" t="s">
        <v>409</v>
      </c>
      <c r="D842" s="6" t="s">
        <v>399</v>
      </c>
      <c r="E842" s="11" t="str">
        <f t="shared" si="65"/>
        <v>UTILITARIO</v>
      </c>
      <c r="F842" s="6" t="s">
        <v>25</v>
      </c>
      <c r="G842" s="11">
        <v>1900</v>
      </c>
      <c r="H842" s="6" t="s">
        <v>1052</v>
      </c>
      <c r="I842" s="6" t="str">
        <f t="shared" si="66"/>
        <v>D</v>
      </c>
      <c r="J842" s="17" t="s">
        <v>22</v>
      </c>
      <c r="K842" s="6">
        <v>148</v>
      </c>
      <c r="L842" s="9">
        <v>2</v>
      </c>
      <c r="M842" s="2"/>
      <c r="N842" s="2"/>
      <c r="O842" s="2"/>
      <c r="P842" s="2"/>
      <c r="Q842" s="2"/>
      <c r="R842" s="2"/>
      <c r="S842" s="2"/>
      <c r="T842" s="2"/>
      <c r="U842" s="39">
        <f>IF(I842="N",T842*Supuestos!$B$4,T842*Supuestos!$C$4)*100</f>
        <v>0</v>
      </c>
      <c r="V842" s="20">
        <f t="shared" si="69"/>
        <v>0</v>
      </c>
      <c r="W842" s="2">
        <f t="shared" si="67"/>
        <v>0</v>
      </c>
      <c r="X842" s="2">
        <f t="shared" si="68"/>
        <v>0</v>
      </c>
    </row>
    <row r="843" spans="1:24" x14ac:dyDescent="0.25">
      <c r="A843" s="6" t="s">
        <v>46</v>
      </c>
      <c r="B843" s="6" t="s">
        <v>867</v>
      </c>
      <c r="C843" s="6" t="s">
        <v>409</v>
      </c>
      <c r="D843" s="6" t="s">
        <v>399</v>
      </c>
      <c r="E843" s="11" t="str">
        <f t="shared" si="65"/>
        <v>UTILITARIO</v>
      </c>
      <c r="F843" s="6"/>
      <c r="G843" s="11">
        <v>2500</v>
      </c>
      <c r="H843" s="6" t="s">
        <v>1052</v>
      </c>
      <c r="I843" s="6" t="str">
        <f t="shared" si="66"/>
        <v>D</v>
      </c>
      <c r="J843" s="17" t="s">
        <v>22</v>
      </c>
      <c r="K843" s="6">
        <v>160</v>
      </c>
      <c r="L843" s="9">
        <v>2</v>
      </c>
      <c r="M843" s="2">
        <v>2</v>
      </c>
      <c r="N843" s="2">
        <v>54888</v>
      </c>
      <c r="O843" s="2" t="s">
        <v>1053</v>
      </c>
      <c r="P843" s="2" t="s">
        <v>1238</v>
      </c>
      <c r="Q843" s="2" t="s">
        <v>428</v>
      </c>
      <c r="R843" s="2">
        <v>3020</v>
      </c>
      <c r="S843" s="2"/>
      <c r="T843" s="2">
        <v>221</v>
      </c>
      <c r="U843" s="39">
        <f>IF(I843="N",T843*Supuestos!$B$4,T843*Supuestos!$C$4)*100</f>
        <v>8.2327466774906792</v>
      </c>
      <c r="V843" s="20">
        <f t="shared" si="69"/>
        <v>12.146614479638009</v>
      </c>
      <c r="W843" s="2">
        <f t="shared" si="67"/>
        <v>442</v>
      </c>
      <c r="X843" s="2">
        <f t="shared" si="68"/>
        <v>16.465493354981358</v>
      </c>
    </row>
    <row r="844" spans="1:24" x14ac:dyDescent="0.25">
      <c r="A844" s="6" t="s">
        <v>62</v>
      </c>
      <c r="B844" s="6" t="s">
        <v>294</v>
      </c>
      <c r="C844" s="6" t="s">
        <v>402</v>
      </c>
      <c r="D844" s="6" t="s">
        <v>399</v>
      </c>
      <c r="E844" s="11" t="str">
        <f t="shared" si="65"/>
        <v>UTILITARIO</v>
      </c>
      <c r="F844" s="6" t="s">
        <v>26</v>
      </c>
      <c r="G844" s="11">
        <v>2200</v>
      </c>
      <c r="H844" s="6" t="s">
        <v>1052</v>
      </c>
      <c r="I844" s="6" t="str">
        <f t="shared" si="66"/>
        <v>D</v>
      </c>
      <c r="J844" s="17" t="s">
        <v>22</v>
      </c>
      <c r="K844" s="6">
        <v>130</v>
      </c>
      <c r="L844" s="9">
        <v>2</v>
      </c>
      <c r="M844" s="2"/>
      <c r="N844" s="2"/>
      <c r="O844" s="2"/>
      <c r="P844" s="2"/>
      <c r="Q844" s="2"/>
      <c r="R844" s="2"/>
      <c r="S844" s="2"/>
      <c r="T844" s="2"/>
      <c r="U844" s="39">
        <f>IF(I844="N",T844*Supuestos!$B$4,T844*Supuestos!$C$4)*100</f>
        <v>0</v>
      </c>
      <c r="V844" s="20">
        <f t="shared" si="69"/>
        <v>0</v>
      </c>
      <c r="W844" s="2">
        <f t="shared" si="67"/>
        <v>0</v>
      </c>
      <c r="X844" s="2">
        <f t="shared" si="68"/>
        <v>0</v>
      </c>
    </row>
    <row r="845" spans="1:24" x14ac:dyDescent="0.25">
      <c r="A845" s="6" t="s">
        <v>62</v>
      </c>
      <c r="B845" s="6" t="s">
        <v>297</v>
      </c>
      <c r="C845" s="6" t="s">
        <v>409</v>
      </c>
      <c r="D845" s="6" t="s">
        <v>399</v>
      </c>
      <c r="E845" s="11" t="str">
        <f t="shared" si="65"/>
        <v>UTILITARIO</v>
      </c>
      <c r="F845" s="6" t="s">
        <v>14</v>
      </c>
      <c r="G845" s="11">
        <v>1900</v>
      </c>
      <c r="H845" s="6" t="s">
        <v>1052</v>
      </c>
      <c r="I845" s="6" t="str">
        <f t="shared" si="66"/>
        <v>D</v>
      </c>
      <c r="J845" s="17" t="s">
        <v>22</v>
      </c>
      <c r="K845" s="6">
        <v>150</v>
      </c>
      <c r="L845" s="9">
        <v>2</v>
      </c>
      <c r="M845" s="2"/>
      <c r="N845" s="2"/>
      <c r="O845" s="2"/>
      <c r="P845" s="2"/>
      <c r="Q845" s="2"/>
      <c r="R845" s="2"/>
      <c r="S845" s="2"/>
      <c r="T845" s="2"/>
      <c r="U845" s="39">
        <f>IF(I845="N",T845*Supuestos!$B$4,T845*Supuestos!$C$4)*100</f>
        <v>0</v>
      </c>
      <c r="V845" s="20">
        <f t="shared" si="69"/>
        <v>0</v>
      </c>
      <c r="W845" s="2">
        <f t="shared" si="67"/>
        <v>0</v>
      </c>
      <c r="X845" s="2">
        <f t="shared" si="68"/>
        <v>0</v>
      </c>
    </row>
    <row r="846" spans="1:24" x14ac:dyDescent="0.25">
      <c r="A846" s="6" t="s">
        <v>62</v>
      </c>
      <c r="B846" s="6" t="s">
        <v>894</v>
      </c>
      <c r="C846" s="6" t="s">
        <v>409</v>
      </c>
      <c r="D846" s="6" t="s">
        <v>399</v>
      </c>
      <c r="E846" s="11" t="str">
        <f t="shared" si="65"/>
        <v>UTILITARIO</v>
      </c>
      <c r="F846" s="6" t="s">
        <v>413</v>
      </c>
      <c r="G846" s="11">
        <v>2200</v>
      </c>
      <c r="H846" s="6" t="s">
        <v>1052</v>
      </c>
      <c r="I846" s="6" t="str">
        <f t="shared" si="66"/>
        <v>D</v>
      </c>
      <c r="J846" s="17" t="s">
        <v>22</v>
      </c>
      <c r="K846" s="6">
        <v>180</v>
      </c>
      <c r="L846" s="9">
        <v>2</v>
      </c>
      <c r="M846" s="2"/>
      <c r="N846" s="2"/>
      <c r="O846" s="2"/>
      <c r="P846" s="2"/>
      <c r="Q846" s="2"/>
      <c r="R846" s="2"/>
      <c r="S846" s="2"/>
      <c r="T846" s="2"/>
      <c r="U846" s="39">
        <f>IF(I846="N",T846*Supuestos!$B$4,T846*Supuestos!$C$4)*100</f>
        <v>0</v>
      </c>
      <c r="V846" s="20">
        <f t="shared" si="69"/>
        <v>0</v>
      </c>
      <c r="W846" s="2">
        <f t="shared" si="67"/>
        <v>0</v>
      </c>
      <c r="X846" s="2">
        <f t="shared" si="68"/>
        <v>0</v>
      </c>
    </row>
    <row r="847" spans="1:24" x14ac:dyDescent="0.25">
      <c r="A847" s="6" t="s">
        <v>47</v>
      </c>
      <c r="B847" s="6" t="s">
        <v>916</v>
      </c>
      <c r="C847" s="6" t="s">
        <v>409</v>
      </c>
      <c r="D847" s="6" t="s">
        <v>399</v>
      </c>
      <c r="E847" s="11" t="str">
        <f t="shared" si="65"/>
        <v>UTILITARIO</v>
      </c>
      <c r="F847" s="6" t="s">
        <v>24</v>
      </c>
      <c r="G847" s="11">
        <v>6400</v>
      </c>
      <c r="H847" s="6" t="s">
        <v>1050</v>
      </c>
      <c r="I847" s="6" t="str">
        <f t="shared" si="66"/>
        <v>N</v>
      </c>
      <c r="J847" s="17" t="s">
        <v>9</v>
      </c>
      <c r="K847" s="6">
        <v>410</v>
      </c>
      <c r="L847" s="9">
        <v>2</v>
      </c>
      <c r="M847" s="2"/>
      <c r="N847" s="2"/>
      <c r="O847" s="2"/>
      <c r="P847" s="2"/>
      <c r="Q847" s="2"/>
      <c r="R847" s="2"/>
      <c r="S847" s="2"/>
      <c r="T847" s="2"/>
      <c r="U847" s="39">
        <f>IF(I847="N",T847*Supuestos!$B$4,T847*Supuestos!$C$4)*100</f>
        <v>0</v>
      </c>
      <c r="V847" s="20">
        <f t="shared" si="69"/>
        <v>0</v>
      </c>
      <c r="W847" s="2">
        <f t="shared" si="67"/>
        <v>0</v>
      </c>
      <c r="X847" s="2">
        <f t="shared" si="68"/>
        <v>0</v>
      </c>
    </row>
    <row r="848" spans="1:24" x14ac:dyDescent="0.25">
      <c r="A848" s="6" t="s">
        <v>48</v>
      </c>
      <c r="B848" s="6" t="s">
        <v>938</v>
      </c>
      <c r="C848" s="6" t="s">
        <v>402</v>
      </c>
      <c r="D848" s="6" t="s">
        <v>399</v>
      </c>
      <c r="E848" s="11" t="str">
        <f t="shared" si="65"/>
        <v>UTILITARIO</v>
      </c>
      <c r="F848" s="6"/>
      <c r="G848" s="11">
        <v>2300</v>
      </c>
      <c r="H848" s="6" t="s">
        <v>1052</v>
      </c>
      <c r="I848" s="6" t="str">
        <f t="shared" si="66"/>
        <v>D</v>
      </c>
      <c r="J848" s="17" t="s">
        <v>22</v>
      </c>
      <c r="K848" s="6">
        <v>0</v>
      </c>
      <c r="L848" s="9">
        <v>2</v>
      </c>
      <c r="M848" s="2">
        <v>2</v>
      </c>
      <c r="N848" s="2">
        <v>35368</v>
      </c>
      <c r="O848" s="2" t="s">
        <v>1053</v>
      </c>
      <c r="P848" s="2" t="s">
        <v>1272</v>
      </c>
      <c r="Q848" s="2" t="s">
        <v>422</v>
      </c>
      <c r="R848" s="2">
        <v>3500</v>
      </c>
      <c r="S848" s="2"/>
      <c r="T848" s="2">
        <v>220</v>
      </c>
      <c r="U848" s="39">
        <f>IF(I848="N",T848*Supuestos!$B$4,T848*Supuestos!$C$4)*100</f>
        <v>8.1954944300812205</v>
      </c>
      <c r="V848" s="20">
        <f t="shared" si="69"/>
        <v>12.201826363636362</v>
      </c>
      <c r="W848" s="2">
        <f t="shared" si="67"/>
        <v>440</v>
      </c>
      <c r="X848" s="2">
        <f t="shared" si="68"/>
        <v>16.390988860162441</v>
      </c>
    </row>
    <row r="849" spans="1:24" x14ac:dyDescent="0.25">
      <c r="A849" s="6" t="s">
        <v>52</v>
      </c>
      <c r="B849" s="6" t="s">
        <v>353</v>
      </c>
      <c r="C849" s="6" t="s">
        <v>409</v>
      </c>
      <c r="D849" s="6" t="s">
        <v>399</v>
      </c>
      <c r="E849" s="11" t="str">
        <f t="shared" si="65"/>
        <v>UTILITARIO</v>
      </c>
      <c r="F849" s="6" t="s">
        <v>23</v>
      </c>
      <c r="G849" s="11">
        <v>4000</v>
      </c>
      <c r="H849" s="6" t="s">
        <v>1050</v>
      </c>
      <c r="I849" s="6" t="str">
        <f t="shared" si="66"/>
        <v>N</v>
      </c>
      <c r="J849" s="17" t="s">
        <v>9</v>
      </c>
      <c r="K849" s="6">
        <v>238</v>
      </c>
      <c r="L849" s="9">
        <v>2</v>
      </c>
      <c r="M849" s="2"/>
      <c r="N849" s="2"/>
      <c r="O849" s="2"/>
      <c r="P849" s="2"/>
      <c r="Q849" s="2"/>
      <c r="R849" s="2"/>
      <c r="S849" s="2"/>
      <c r="T849" s="2"/>
      <c r="U849" s="39">
        <f>IF(I849="N",T849*Supuestos!$B$4,T849*Supuestos!$C$4)*100</f>
        <v>0</v>
      </c>
      <c r="V849" s="20">
        <f t="shared" si="69"/>
        <v>0</v>
      </c>
      <c r="W849" s="2">
        <f t="shared" si="67"/>
        <v>0</v>
      </c>
      <c r="X849" s="2">
        <f t="shared" si="68"/>
        <v>0</v>
      </c>
    </row>
    <row r="850" spans="1:24" x14ac:dyDescent="0.25">
      <c r="A850" s="6" t="s">
        <v>94</v>
      </c>
      <c r="B850" s="6" t="s">
        <v>1007</v>
      </c>
      <c r="C850" s="6" t="s">
        <v>405</v>
      </c>
      <c r="D850" s="6" t="s">
        <v>399</v>
      </c>
      <c r="E850" s="11" t="str">
        <f t="shared" si="65"/>
        <v>UTILITARIO</v>
      </c>
      <c r="F850" s="6" t="s">
        <v>14</v>
      </c>
      <c r="G850" s="11"/>
      <c r="H850" s="6" t="s">
        <v>1051</v>
      </c>
      <c r="I850" s="6" t="str">
        <f t="shared" si="66"/>
        <v>E</v>
      </c>
      <c r="J850" s="17" t="s">
        <v>418</v>
      </c>
      <c r="K850" s="6">
        <v>0</v>
      </c>
      <c r="L850" s="9">
        <v>2</v>
      </c>
      <c r="M850" s="21">
        <v>2</v>
      </c>
      <c r="N850" s="2">
        <v>29890</v>
      </c>
      <c r="O850" s="2" t="s">
        <v>1341</v>
      </c>
      <c r="P850" s="2"/>
      <c r="Q850" s="2"/>
      <c r="R850" s="2"/>
      <c r="S850" s="2">
        <v>2.8</v>
      </c>
      <c r="T850" s="2"/>
      <c r="U850" s="39">
        <f>IF(I850="N",T850*Supuestos!$B$4,T850*Supuestos!$C$4)*100</f>
        <v>0</v>
      </c>
      <c r="V850" s="20">
        <f t="shared" si="69"/>
        <v>0</v>
      </c>
      <c r="W850" s="2">
        <f t="shared" si="67"/>
        <v>0</v>
      </c>
      <c r="X850" s="2">
        <f t="shared" si="68"/>
        <v>0</v>
      </c>
    </row>
    <row r="851" spans="1:24" x14ac:dyDescent="0.25">
      <c r="A851" s="6" t="s">
        <v>56</v>
      </c>
      <c r="B851" s="6" t="s">
        <v>1045</v>
      </c>
      <c r="C851" s="6" t="s">
        <v>409</v>
      </c>
      <c r="D851" s="6" t="s">
        <v>399</v>
      </c>
      <c r="E851" s="11" t="str">
        <f t="shared" si="65"/>
        <v>UTILITARIO</v>
      </c>
      <c r="F851" s="6" t="s">
        <v>14</v>
      </c>
      <c r="G851" s="11">
        <v>2400</v>
      </c>
      <c r="H851" s="6" t="s">
        <v>1050</v>
      </c>
      <c r="I851" s="6" t="str">
        <f t="shared" si="66"/>
        <v>N</v>
      </c>
      <c r="J851" s="17" t="s">
        <v>9</v>
      </c>
      <c r="K851" s="6">
        <v>218</v>
      </c>
      <c r="L851" s="9">
        <v>2</v>
      </c>
      <c r="M851" s="2"/>
      <c r="N851" s="2"/>
      <c r="O851" s="2"/>
      <c r="P851" s="2"/>
      <c r="Q851" s="2"/>
      <c r="R851" s="2"/>
      <c r="S851" s="2"/>
      <c r="T851" s="2"/>
      <c r="U851" s="39">
        <f>IF(I851="N",T851*Supuestos!$B$4,T851*Supuestos!$C$4)*100</f>
        <v>0</v>
      </c>
      <c r="V851" s="20">
        <f t="shared" si="69"/>
        <v>0</v>
      </c>
      <c r="W851" s="2">
        <f t="shared" si="67"/>
        <v>0</v>
      </c>
      <c r="X851" s="2">
        <f t="shared" si="68"/>
        <v>0</v>
      </c>
    </row>
    <row r="852" spans="1:24" x14ac:dyDescent="0.25">
      <c r="A852" s="6" t="s">
        <v>56</v>
      </c>
      <c r="B852" s="6" t="s">
        <v>1046</v>
      </c>
      <c r="C852" s="6" t="s">
        <v>409</v>
      </c>
      <c r="D852" s="6" t="s">
        <v>399</v>
      </c>
      <c r="E852" s="11" t="str">
        <f t="shared" si="65"/>
        <v>UTILITARIO</v>
      </c>
      <c r="F852" s="6" t="s">
        <v>14</v>
      </c>
      <c r="G852" s="11">
        <v>2400</v>
      </c>
      <c r="H852" s="6" t="s">
        <v>1050</v>
      </c>
      <c r="I852" s="6" t="str">
        <f t="shared" si="66"/>
        <v>N</v>
      </c>
      <c r="J852" s="17" t="s">
        <v>9</v>
      </c>
      <c r="K852" s="6">
        <v>218</v>
      </c>
      <c r="L852" s="9">
        <v>2</v>
      </c>
      <c r="M852" s="2"/>
      <c r="N852" s="2"/>
      <c r="O852" s="2"/>
      <c r="P852" s="2"/>
      <c r="Q852" s="2"/>
      <c r="R852" s="2"/>
      <c r="S852" s="2"/>
      <c r="T852" s="2"/>
      <c r="U852" s="39">
        <f>IF(I852="N",T852*Supuestos!$B$4,T852*Supuestos!$C$4)*100</f>
        <v>0</v>
      </c>
      <c r="V852" s="20">
        <f t="shared" si="69"/>
        <v>0</v>
      </c>
      <c r="W852" s="2">
        <f t="shared" si="67"/>
        <v>0</v>
      </c>
      <c r="X852" s="2">
        <f t="shared" si="68"/>
        <v>0</v>
      </c>
    </row>
    <row r="853" spans="1:24" x14ac:dyDescent="0.25">
      <c r="A853" s="6" t="s">
        <v>27</v>
      </c>
      <c r="B853" s="6" t="s">
        <v>646</v>
      </c>
      <c r="C853" s="6" t="s">
        <v>406</v>
      </c>
      <c r="D853" s="6" t="s">
        <v>399</v>
      </c>
      <c r="E853" s="11" t="str">
        <f t="shared" si="65"/>
        <v>UTILITARIO</v>
      </c>
      <c r="F853" s="6" t="s">
        <v>14</v>
      </c>
      <c r="G853" s="11">
        <v>1300</v>
      </c>
      <c r="H853" s="6" t="s">
        <v>1050</v>
      </c>
      <c r="I853" s="6" t="str">
        <f t="shared" si="66"/>
        <v>N</v>
      </c>
      <c r="J853" s="17" t="s">
        <v>9</v>
      </c>
      <c r="K853" s="6">
        <v>82</v>
      </c>
      <c r="L853" s="9">
        <v>1</v>
      </c>
      <c r="M853" s="2"/>
      <c r="N853" s="2"/>
      <c r="O853" s="2"/>
      <c r="P853" s="2"/>
      <c r="Q853" s="2"/>
      <c r="R853" s="2"/>
      <c r="S853" s="2"/>
      <c r="T853" s="2"/>
      <c r="U853" s="39">
        <f>IF(I853="N",T853*Supuestos!$B$4,T853*Supuestos!$C$4)*100</f>
        <v>0</v>
      </c>
      <c r="V853" s="20">
        <f t="shared" si="69"/>
        <v>0</v>
      </c>
      <c r="W853" s="2">
        <f t="shared" si="67"/>
        <v>0</v>
      </c>
      <c r="X853" s="2">
        <f t="shared" si="68"/>
        <v>0</v>
      </c>
    </row>
    <row r="854" spans="1:24" x14ac:dyDescent="0.25">
      <c r="A854" s="6" t="s">
        <v>30</v>
      </c>
      <c r="B854" s="6" t="s">
        <v>189</v>
      </c>
      <c r="C854" s="6" t="s">
        <v>409</v>
      </c>
      <c r="D854" s="6" t="s">
        <v>399</v>
      </c>
      <c r="E854" s="11" t="str">
        <f t="shared" si="65"/>
        <v>UTILITARIO</v>
      </c>
      <c r="F854" s="6" t="s">
        <v>23</v>
      </c>
      <c r="G854" s="11">
        <v>2500</v>
      </c>
      <c r="H854" s="6" t="s">
        <v>1050</v>
      </c>
      <c r="I854" s="6" t="str">
        <f t="shared" si="66"/>
        <v>N</v>
      </c>
      <c r="J854" s="17" t="s">
        <v>9</v>
      </c>
      <c r="K854" s="6">
        <v>166</v>
      </c>
      <c r="L854" s="9">
        <v>1</v>
      </c>
      <c r="M854" s="2">
        <v>1</v>
      </c>
      <c r="N854" s="2">
        <v>29990</v>
      </c>
      <c r="O854" s="2" t="s">
        <v>1060</v>
      </c>
      <c r="P854" s="2" t="s">
        <v>1259</v>
      </c>
      <c r="Q854" s="2" t="s">
        <v>424</v>
      </c>
      <c r="R854" s="2">
        <v>3200</v>
      </c>
      <c r="S854" s="2"/>
      <c r="T854" s="2">
        <v>264</v>
      </c>
      <c r="U854" s="39">
        <f>IF(I854="N",T854*Supuestos!$B$4,T854*Supuestos!$C$4)*100</f>
        <v>11.297174046146218</v>
      </c>
      <c r="V854" s="20">
        <f t="shared" si="69"/>
        <v>8.8517712121212124</v>
      </c>
      <c r="W854" s="2">
        <f t="shared" si="67"/>
        <v>264</v>
      </c>
      <c r="X854" s="2">
        <f t="shared" si="68"/>
        <v>11.297174046146218</v>
      </c>
    </row>
    <row r="855" spans="1:24" x14ac:dyDescent="0.25">
      <c r="A855" s="6" t="s">
        <v>31</v>
      </c>
      <c r="B855" s="6" t="s">
        <v>676</v>
      </c>
      <c r="C855" s="6" t="s">
        <v>402</v>
      </c>
      <c r="D855" s="6" t="s">
        <v>399</v>
      </c>
      <c r="E855" s="11" t="str">
        <f t="shared" si="65"/>
        <v>UTILITARIO</v>
      </c>
      <c r="F855" s="6" t="s">
        <v>14</v>
      </c>
      <c r="G855" s="11">
        <v>2800</v>
      </c>
      <c r="H855" s="6" t="s">
        <v>1050</v>
      </c>
      <c r="I855" s="6" t="str">
        <f t="shared" si="66"/>
        <v>N</v>
      </c>
      <c r="J855" s="17" t="s">
        <v>9</v>
      </c>
      <c r="K855" s="6">
        <v>0</v>
      </c>
      <c r="L855" s="9">
        <v>1</v>
      </c>
      <c r="M855" s="2"/>
      <c r="N855" s="2"/>
      <c r="O855" s="2"/>
      <c r="P855" s="2"/>
      <c r="Q855" s="2"/>
      <c r="R855" s="2"/>
      <c r="S855" s="2"/>
      <c r="T855" s="2"/>
      <c r="U855" s="39">
        <f>IF(I855="N",T855*Supuestos!$B$4,T855*Supuestos!$C$4)*100</f>
        <v>0</v>
      </c>
      <c r="V855" s="20">
        <f t="shared" si="69"/>
        <v>0</v>
      </c>
      <c r="W855" s="2">
        <f t="shared" si="67"/>
        <v>0</v>
      </c>
      <c r="X855" s="2">
        <f t="shared" si="68"/>
        <v>0</v>
      </c>
    </row>
    <row r="856" spans="1:24" x14ac:dyDescent="0.25">
      <c r="A856" s="6" t="s">
        <v>34</v>
      </c>
      <c r="B856" s="6" t="s">
        <v>207</v>
      </c>
      <c r="C856" s="6" t="s">
        <v>402</v>
      </c>
      <c r="D856" s="6" t="s">
        <v>399</v>
      </c>
      <c r="E856" s="11" t="str">
        <f t="shared" si="65"/>
        <v>UTILITARIO</v>
      </c>
      <c r="F856" s="6" t="s">
        <v>414</v>
      </c>
      <c r="G856" s="11">
        <v>2500</v>
      </c>
      <c r="H856" s="6" t="s">
        <v>1052</v>
      </c>
      <c r="I856" s="6" t="str">
        <f t="shared" si="66"/>
        <v>D</v>
      </c>
      <c r="J856" s="17" t="s">
        <v>22</v>
      </c>
      <c r="K856" s="6">
        <v>150</v>
      </c>
      <c r="L856" s="9">
        <v>1</v>
      </c>
      <c r="M856" s="2"/>
      <c r="N856" s="2"/>
      <c r="O856" s="2"/>
      <c r="P856" s="2"/>
      <c r="Q856" s="2"/>
      <c r="R856" s="2"/>
      <c r="S856" s="2"/>
      <c r="T856" s="2"/>
      <c r="U856" s="39">
        <f>IF(I856="N",T856*Supuestos!$B$4,T856*Supuestos!$C$4)*100</f>
        <v>0</v>
      </c>
      <c r="V856" s="20">
        <f t="shared" si="69"/>
        <v>0</v>
      </c>
      <c r="W856" s="2">
        <f t="shared" si="67"/>
        <v>0</v>
      </c>
      <c r="X856" s="2">
        <f t="shared" si="68"/>
        <v>0</v>
      </c>
    </row>
    <row r="857" spans="1:24" x14ac:dyDescent="0.25">
      <c r="A857" s="6" t="s">
        <v>59</v>
      </c>
      <c r="B857" s="6" t="s">
        <v>737</v>
      </c>
      <c r="C857" s="6" t="s">
        <v>402</v>
      </c>
      <c r="D857" s="6" t="s">
        <v>399</v>
      </c>
      <c r="E857" s="11" t="str">
        <f t="shared" si="65"/>
        <v>UTILITARIO</v>
      </c>
      <c r="F857" s="6"/>
      <c r="G857" s="11">
        <v>3000</v>
      </c>
      <c r="H857" s="6" t="s">
        <v>1052</v>
      </c>
      <c r="I857" s="6" t="str">
        <f t="shared" si="66"/>
        <v>D</v>
      </c>
      <c r="J857" s="17" t="s">
        <v>22</v>
      </c>
      <c r="K857" s="6"/>
      <c r="L857" s="9">
        <v>1</v>
      </c>
      <c r="M857" s="2"/>
      <c r="N857" s="2"/>
      <c r="O857" s="2"/>
      <c r="P857" s="2"/>
      <c r="Q857" s="2"/>
      <c r="R857" s="2"/>
      <c r="S857" s="2"/>
      <c r="T857" s="2"/>
      <c r="U857" s="39">
        <f>IF(I857="N",T857*Supuestos!$B$4,T857*Supuestos!$C$4)*100</f>
        <v>0</v>
      </c>
      <c r="V857" s="20">
        <f t="shared" si="69"/>
        <v>0</v>
      </c>
      <c r="W857" s="2">
        <f t="shared" si="67"/>
        <v>0</v>
      </c>
      <c r="X857" s="2">
        <f t="shared" si="68"/>
        <v>0</v>
      </c>
    </row>
    <row r="858" spans="1:24" x14ac:dyDescent="0.25">
      <c r="A858" s="6" t="s">
        <v>36</v>
      </c>
      <c r="B858" s="6" t="s">
        <v>232</v>
      </c>
      <c r="C858" s="6" t="s">
        <v>409</v>
      </c>
      <c r="D858" s="6" t="s">
        <v>399</v>
      </c>
      <c r="E858" s="11" t="str">
        <f t="shared" si="65"/>
        <v>UTILITARIO</v>
      </c>
      <c r="F858" s="6" t="s">
        <v>14</v>
      </c>
      <c r="G858" s="11">
        <v>2000</v>
      </c>
      <c r="H858" s="6" t="s">
        <v>1050</v>
      </c>
      <c r="I858" s="6" t="str">
        <f t="shared" si="66"/>
        <v>N</v>
      </c>
      <c r="J858" s="17" t="s">
        <v>9</v>
      </c>
      <c r="K858" s="6">
        <v>149</v>
      </c>
      <c r="L858" s="9">
        <v>1</v>
      </c>
      <c r="M858" s="2">
        <v>1</v>
      </c>
      <c r="N858" s="2">
        <v>22990</v>
      </c>
      <c r="O858" s="2" t="s">
        <v>1060</v>
      </c>
      <c r="P858" s="2" t="s">
        <v>1277</v>
      </c>
      <c r="Q858" s="2" t="s">
        <v>424</v>
      </c>
      <c r="R858" s="2">
        <v>2580</v>
      </c>
      <c r="S858" s="2"/>
      <c r="T858" s="2">
        <v>249</v>
      </c>
      <c r="U858" s="39">
        <f>IF(I858="N",T858*Supuestos!$B$4,T858*Supuestos!$C$4)*100</f>
        <v>10.655289157160636</v>
      </c>
      <c r="V858" s="20">
        <f t="shared" si="69"/>
        <v>9.3850104417670686</v>
      </c>
      <c r="W858" s="2">
        <f t="shared" si="67"/>
        <v>249</v>
      </c>
      <c r="X858" s="2">
        <f t="shared" si="68"/>
        <v>10.655289157160636</v>
      </c>
    </row>
    <row r="859" spans="1:24" x14ac:dyDescent="0.25">
      <c r="A859" s="6" t="s">
        <v>36</v>
      </c>
      <c r="B859" s="6" t="s">
        <v>745</v>
      </c>
      <c r="C859" s="6" t="s">
        <v>409</v>
      </c>
      <c r="D859" s="6" t="s">
        <v>399</v>
      </c>
      <c r="E859" s="11" t="str">
        <f t="shared" si="65"/>
        <v>UTILITARIO</v>
      </c>
      <c r="F859" s="6" t="s">
        <v>14</v>
      </c>
      <c r="G859" s="11">
        <v>2000</v>
      </c>
      <c r="H859" s="6" t="s">
        <v>1052</v>
      </c>
      <c r="I859" s="6" t="str">
        <f t="shared" si="66"/>
        <v>D</v>
      </c>
      <c r="J859" s="17" t="s">
        <v>22</v>
      </c>
      <c r="K859" s="6">
        <v>137</v>
      </c>
      <c r="L859" s="9">
        <v>1</v>
      </c>
      <c r="M859" s="2"/>
      <c r="N859" s="2"/>
      <c r="O859" s="2"/>
      <c r="P859" s="2"/>
      <c r="Q859" s="2"/>
      <c r="R859" s="2"/>
      <c r="S859" s="2"/>
      <c r="T859" s="2"/>
      <c r="U859" s="39">
        <f>IF(I859="N",T859*Supuestos!$B$4,T859*Supuestos!$C$4)*100</f>
        <v>0</v>
      </c>
      <c r="V859" s="20">
        <f t="shared" si="69"/>
        <v>0</v>
      </c>
      <c r="W859" s="2">
        <f t="shared" si="67"/>
        <v>0</v>
      </c>
      <c r="X859" s="2">
        <f t="shared" si="68"/>
        <v>0</v>
      </c>
    </row>
    <row r="860" spans="1:24" x14ac:dyDescent="0.25">
      <c r="A860" s="6" t="s">
        <v>37</v>
      </c>
      <c r="B860" s="6" t="s">
        <v>747</v>
      </c>
      <c r="C860" s="6" t="s">
        <v>409</v>
      </c>
      <c r="D860" s="6" t="s">
        <v>399</v>
      </c>
      <c r="E860" s="11" t="str">
        <f t="shared" si="65"/>
        <v>UTILITARIO</v>
      </c>
      <c r="F860" s="6" t="s">
        <v>16</v>
      </c>
      <c r="G860" s="11">
        <v>3600</v>
      </c>
      <c r="H860" s="6" t="s">
        <v>1050</v>
      </c>
      <c r="I860" s="6" t="str">
        <f t="shared" si="66"/>
        <v>N</v>
      </c>
      <c r="J860" s="17" t="s">
        <v>9</v>
      </c>
      <c r="K860" s="6">
        <v>285</v>
      </c>
      <c r="L860" s="9">
        <v>1</v>
      </c>
      <c r="M860" s="2"/>
      <c r="N860" s="2"/>
      <c r="O860" s="2"/>
      <c r="P860" s="2"/>
      <c r="Q860" s="2"/>
      <c r="R860" s="2"/>
      <c r="S860" s="2"/>
      <c r="T860" s="2"/>
      <c r="U860" s="39">
        <f>IF(I860="N",T860*Supuestos!$B$4,T860*Supuestos!$C$4)*100</f>
        <v>0</v>
      </c>
      <c r="V860" s="20">
        <f t="shared" si="69"/>
        <v>0</v>
      </c>
      <c r="W860" s="2">
        <f t="shared" si="67"/>
        <v>0</v>
      </c>
      <c r="X860" s="2">
        <f t="shared" si="68"/>
        <v>0</v>
      </c>
    </row>
    <row r="861" spans="1:24" x14ac:dyDescent="0.25">
      <c r="A861" s="6" t="s">
        <v>477</v>
      </c>
      <c r="B861" s="6" t="s">
        <v>769</v>
      </c>
      <c r="C861" s="6" t="s">
        <v>411</v>
      </c>
      <c r="D861" s="6" t="s">
        <v>399</v>
      </c>
      <c r="E861" s="11" t="str">
        <f t="shared" si="65"/>
        <v>UTILITARIO</v>
      </c>
      <c r="F861" s="6" t="s">
        <v>14</v>
      </c>
      <c r="G861" s="11"/>
      <c r="H861" s="6" t="s">
        <v>1051</v>
      </c>
      <c r="I861" s="6" t="str">
        <f t="shared" si="66"/>
        <v>E</v>
      </c>
      <c r="J861" s="17" t="s">
        <v>418</v>
      </c>
      <c r="K861" s="6">
        <v>7</v>
      </c>
      <c r="L861" s="9">
        <v>1</v>
      </c>
      <c r="M861" s="2"/>
      <c r="N861" s="2"/>
      <c r="O861" s="2"/>
      <c r="P861" s="2"/>
      <c r="Q861" s="2"/>
      <c r="R861" s="2"/>
      <c r="S861" s="2"/>
      <c r="T861" s="2"/>
      <c r="U861" s="39">
        <f>IF(I861="N",T861*Supuestos!$B$4,T861*Supuestos!$C$4)*100</f>
        <v>0</v>
      </c>
      <c r="V861" s="20">
        <f t="shared" si="69"/>
        <v>0</v>
      </c>
      <c r="W861" s="2">
        <f t="shared" si="67"/>
        <v>0</v>
      </c>
      <c r="X861" s="2">
        <f t="shared" si="68"/>
        <v>0</v>
      </c>
    </row>
    <row r="862" spans="1:24" x14ac:dyDescent="0.25">
      <c r="A862" s="6" t="s">
        <v>86</v>
      </c>
      <c r="B862" s="6" t="s">
        <v>771</v>
      </c>
      <c r="C862" s="6" t="s">
        <v>410</v>
      </c>
      <c r="D862" s="6" t="s">
        <v>399</v>
      </c>
      <c r="E862" s="11" t="str">
        <f t="shared" si="65"/>
        <v>UTILITARIO</v>
      </c>
      <c r="F862" s="6"/>
      <c r="G862" s="11">
        <v>1600</v>
      </c>
      <c r="H862" s="6" t="s">
        <v>1052</v>
      </c>
      <c r="I862" s="6" t="str">
        <f t="shared" si="66"/>
        <v>D</v>
      </c>
      <c r="J862" s="17" t="s">
        <v>22</v>
      </c>
      <c r="K862" s="6">
        <v>0</v>
      </c>
      <c r="L862" s="9">
        <v>1</v>
      </c>
      <c r="M862" s="2"/>
      <c r="N862" s="2"/>
      <c r="O862" s="2"/>
      <c r="P862" s="2"/>
      <c r="Q862" s="2"/>
      <c r="R862" s="2"/>
      <c r="S862" s="2"/>
      <c r="T862" s="2"/>
      <c r="U862" s="39">
        <f>IF(I862="N",T862*Supuestos!$B$4,T862*Supuestos!$C$4)*100</f>
        <v>0</v>
      </c>
      <c r="V862" s="20">
        <f t="shared" si="69"/>
        <v>0</v>
      </c>
      <c r="W862" s="2">
        <f t="shared" si="67"/>
        <v>0</v>
      </c>
      <c r="X862" s="2">
        <f t="shared" si="68"/>
        <v>0</v>
      </c>
    </row>
    <row r="863" spans="1:24" x14ac:dyDescent="0.25">
      <c r="A863" s="6" t="s">
        <v>480</v>
      </c>
      <c r="B863" s="6" t="s">
        <v>800</v>
      </c>
      <c r="C863" s="6" t="s">
        <v>402</v>
      </c>
      <c r="D863" s="6" t="s">
        <v>399</v>
      </c>
      <c r="E863" s="11" t="str">
        <f t="shared" si="65"/>
        <v>UTILITARIO</v>
      </c>
      <c r="F863" s="6" t="s">
        <v>14</v>
      </c>
      <c r="G863" s="11"/>
      <c r="H863" s="6" t="s">
        <v>1051</v>
      </c>
      <c r="I863" s="6" t="str">
        <f t="shared" si="66"/>
        <v>E</v>
      </c>
      <c r="J863" s="17" t="s">
        <v>418</v>
      </c>
      <c r="K863" s="6">
        <v>121</v>
      </c>
      <c r="L863" s="9">
        <v>1</v>
      </c>
      <c r="M863" s="2"/>
      <c r="N863" s="2"/>
      <c r="O863" s="2"/>
      <c r="P863" s="2"/>
      <c r="Q863" s="2"/>
      <c r="R863" s="2"/>
      <c r="S863" s="2"/>
      <c r="T863" s="2"/>
      <c r="U863" s="39">
        <f>IF(I863="N",T863*Supuestos!$B$4,T863*Supuestos!$C$4)*100</f>
        <v>0</v>
      </c>
      <c r="V863" s="20">
        <f t="shared" si="69"/>
        <v>0</v>
      </c>
      <c r="W863" s="2">
        <f t="shared" si="67"/>
        <v>0</v>
      </c>
      <c r="X863" s="2">
        <f t="shared" si="68"/>
        <v>0</v>
      </c>
    </row>
    <row r="864" spans="1:24" x14ac:dyDescent="0.25">
      <c r="A864" s="6" t="s">
        <v>480</v>
      </c>
      <c r="B864" s="6" t="s">
        <v>806</v>
      </c>
      <c r="C864" s="6" t="s">
        <v>409</v>
      </c>
      <c r="D864" s="6" t="s">
        <v>399</v>
      </c>
      <c r="E864" s="11" t="str">
        <f t="shared" si="65"/>
        <v>UTILITARIO</v>
      </c>
      <c r="F864" s="6"/>
      <c r="G864" s="11">
        <v>2400</v>
      </c>
      <c r="H864" s="6" t="s">
        <v>1050</v>
      </c>
      <c r="I864" s="6" t="str">
        <f t="shared" si="66"/>
        <v>N</v>
      </c>
      <c r="J864" s="17" t="s">
        <v>9</v>
      </c>
      <c r="K864" s="6"/>
      <c r="L864" s="9">
        <v>1</v>
      </c>
      <c r="M864" s="2"/>
      <c r="N864" s="2"/>
      <c r="O864" s="2"/>
      <c r="P864" s="2"/>
      <c r="Q864" s="2"/>
      <c r="R864" s="2"/>
      <c r="S864" s="2"/>
      <c r="T864" s="2"/>
      <c r="U864" s="39">
        <f>IF(I864="N",T864*Supuestos!$B$4,T864*Supuestos!$C$4)*100</f>
        <v>0</v>
      </c>
      <c r="V864" s="20">
        <f t="shared" si="69"/>
        <v>0</v>
      </c>
      <c r="W864" s="2">
        <f t="shared" si="67"/>
        <v>0</v>
      </c>
      <c r="X864" s="2">
        <f t="shared" si="68"/>
        <v>0</v>
      </c>
    </row>
    <row r="865" spans="1:24" x14ac:dyDescent="0.25">
      <c r="A865" s="6" t="s">
        <v>42</v>
      </c>
      <c r="B865" s="6" t="s">
        <v>840</v>
      </c>
      <c r="C865" s="6" t="s">
        <v>402</v>
      </c>
      <c r="D865" s="6" t="s">
        <v>399</v>
      </c>
      <c r="E865" s="11" t="str">
        <f t="shared" si="65"/>
        <v>UTILITARIO</v>
      </c>
      <c r="F865" s="6"/>
      <c r="G865" s="11">
        <v>2100</v>
      </c>
      <c r="H865" s="6" t="s">
        <v>1052</v>
      </c>
      <c r="I865" s="6" t="str">
        <f t="shared" si="66"/>
        <v>D</v>
      </c>
      <c r="J865" s="17" t="s">
        <v>22</v>
      </c>
      <c r="K865" s="6"/>
      <c r="L865" s="9">
        <v>1</v>
      </c>
      <c r="M865" s="2"/>
      <c r="N865" s="2"/>
      <c r="O865" s="2"/>
      <c r="P865" s="2"/>
      <c r="Q865" s="2"/>
      <c r="R865" s="2"/>
      <c r="S865" s="2"/>
      <c r="T865" s="2"/>
      <c r="U865" s="39">
        <f>IF(I865="N",T865*Supuestos!$B$4,T865*Supuestos!$C$4)*100</f>
        <v>0</v>
      </c>
      <c r="V865" s="20">
        <f t="shared" si="69"/>
        <v>0</v>
      </c>
      <c r="W865" s="2">
        <f t="shared" si="67"/>
        <v>0</v>
      </c>
      <c r="X865" s="2">
        <f t="shared" si="68"/>
        <v>0</v>
      </c>
    </row>
    <row r="866" spans="1:24" x14ac:dyDescent="0.25">
      <c r="A866" s="6" t="s">
        <v>62</v>
      </c>
      <c r="B866" s="6" t="s">
        <v>296</v>
      </c>
      <c r="C866" s="6" t="s">
        <v>409</v>
      </c>
      <c r="D866" s="6" t="s">
        <v>399</v>
      </c>
      <c r="E866" s="11" t="str">
        <f t="shared" si="65"/>
        <v>UTILITARIO</v>
      </c>
      <c r="F866" s="6" t="s">
        <v>14</v>
      </c>
      <c r="G866" s="11">
        <v>1900</v>
      </c>
      <c r="H866" s="6" t="s">
        <v>1052</v>
      </c>
      <c r="I866" s="6" t="str">
        <f t="shared" si="66"/>
        <v>D</v>
      </c>
      <c r="J866" s="17" t="s">
        <v>22</v>
      </c>
      <c r="K866" s="6">
        <v>150</v>
      </c>
      <c r="L866" s="9">
        <v>1</v>
      </c>
      <c r="M866" s="2"/>
      <c r="N866" s="2"/>
      <c r="O866" s="2"/>
      <c r="P866" s="2"/>
      <c r="Q866" s="2"/>
      <c r="R866" s="2"/>
      <c r="S866" s="2"/>
      <c r="T866" s="2"/>
      <c r="U866" s="39">
        <f>IF(I866="N",T866*Supuestos!$B$4,T866*Supuestos!$C$4)*100</f>
        <v>0</v>
      </c>
      <c r="V866" s="20">
        <f t="shared" si="69"/>
        <v>0</v>
      </c>
      <c r="W866" s="2">
        <f t="shared" si="67"/>
        <v>0</v>
      </c>
      <c r="X866" s="2">
        <f t="shared" si="68"/>
        <v>0</v>
      </c>
    </row>
    <row r="867" spans="1:24" x14ac:dyDescent="0.25">
      <c r="A867" s="6" t="s">
        <v>62</v>
      </c>
      <c r="B867" s="6" t="s">
        <v>890</v>
      </c>
      <c r="C867" s="6" t="s">
        <v>409</v>
      </c>
      <c r="D867" s="6" t="s">
        <v>399</v>
      </c>
      <c r="E867" s="11" t="str">
        <f t="shared" si="65"/>
        <v>UTILITARIO</v>
      </c>
      <c r="F867" s="6" t="s">
        <v>14</v>
      </c>
      <c r="G867" s="11">
        <v>1900</v>
      </c>
      <c r="H867" s="6" t="s">
        <v>1052</v>
      </c>
      <c r="I867" s="6" t="str">
        <f t="shared" si="66"/>
        <v>D</v>
      </c>
      <c r="J867" s="17" t="s">
        <v>22</v>
      </c>
      <c r="K867" s="6">
        <v>150</v>
      </c>
      <c r="L867" s="9">
        <v>1</v>
      </c>
      <c r="M867" s="2"/>
      <c r="N867" s="2"/>
      <c r="O867" s="2"/>
      <c r="P867" s="2"/>
      <c r="Q867" s="2"/>
      <c r="R867" s="2"/>
      <c r="S867" s="2"/>
      <c r="T867" s="2"/>
      <c r="U867" s="39">
        <f>IF(I867="N",T867*Supuestos!$B$4,T867*Supuestos!$C$4)*100</f>
        <v>0</v>
      </c>
      <c r="V867" s="20">
        <f t="shared" si="69"/>
        <v>0</v>
      </c>
      <c r="W867" s="2">
        <f t="shared" si="67"/>
        <v>0</v>
      </c>
      <c r="X867" s="2">
        <f t="shared" si="68"/>
        <v>0</v>
      </c>
    </row>
  </sheetData>
  <autoFilter ref="A1:X867" xr:uid="{991BADBE-267B-4F10-A194-731F567120AD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B477-DC82-4A85-84C6-B6BE3A247929}">
  <dimension ref="B1:W26"/>
  <sheetViews>
    <sheetView zoomScaleNormal="100" workbookViewId="0">
      <selection activeCell="F11" sqref="F11"/>
    </sheetView>
  </sheetViews>
  <sheetFormatPr baseColWidth="10" defaultRowHeight="15" x14ac:dyDescent="0.25"/>
  <cols>
    <col min="5" max="5" width="15.140625" bestFit="1" customWidth="1"/>
  </cols>
  <sheetData>
    <row r="1" spans="2:23" ht="15.75" thickBot="1" x14ac:dyDescent="0.3">
      <c r="J1" t="s">
        <v>4</v>
      </c>
      <c r="K1" t="s">
        <v>469</v>
      </c>
    </row>
    <row r="2" spans="2:23" ht="60.75" thickBot="1" x14ac:dyDescent="0.3">
      <c r="D2" s="32" t="s">
        <v>4</v>
      </c>
      <c r="E2" s="33" t="s">
        <v>5</v>
      </c>
      <c r="F2" s="34" t="s">
        <v>1122</v>
      </c>
      <c r="I2" t="s">
        <v>428</v>
      </c>
      <c r="J2" s="11">
        <f>SUMIF('2023'!Q2:Q867,"Euro 4",'2023'!L2:L867)</f>
        <v>2800</v>
      </c>
      <c r="K2" s="11">
        <f>SUMIF('2023'!Q2:Q867,"Euro 4",'2023'!M2:M867)</f>
        <v>2800</v>
      </c>
      <c r="M2" t="s">
        <v>428</v>
      </c>
      <c r="N2">
        <f>J2</f>
        <v>2800</v>
      </c>
    </row>
    <row r="3" spans="2:23" x14ac:dyDescent="0.25">
      <c r="B3" s="24" t="s">
        <v>72</v>
      </c>
      <c r="C3" s="25"/>
      <c r="D3" s="30">
        <f>SUMIF('2023'!E2:E867,"AUTOMOVIL",'2023'!L2:L867)</f>
        <v>24619</v>
      </c>
      <c r="E3" s="31">
        <f>SUMIF('2023'!E2:E867,"AUTOMOVIL",'2023'!M2:M867)</f>
        <v>24432</v>
      </c>
      <c r="F3" s="42">
        <f>E3/D3</f>
        <v>0.99240424062715793</v>
      </c>
      <c r="I3" t="s">
        <v>429</v>
      </c>
      <c r="J3" s="11">
        <f>SUMIF('2023'!Q2:Q867,"Euro 5",'2023'!L2:L867)</f>
        <v>17704</v>
      </c>
      <c r="K3" s="11">
        <f>SUMIF('2023'!Q2:Q867,"Euro 5",'2023'!M2:M867)</f>
        <v>17704</v>
      </c>
      <c r="M3" t="s">
        <v>429</v>
      </c>
      <c r="N3">
        <f>J3+J4+J5</f>
        <v>24969</v>
      </c>
      <c r="V3" t="s">
        <v>70</v>
      </c>
      <c r="W3" t="s">
        <v>70</v>
      </c>
    </row>
    <row r="4" spans="2:23" x14ac:dyDescent="0.25">
      <c r="B4" s="26" t="s">
        <v>78</v>
      </c>
      <c r="C4" s="27"/>
      <c r="D4" s="23">
        <f>SUMIF('2023'!E2:E867,"UTILITARIO",'2023'!L2:L867)</f>
        <v>19861</v>
      </c>
      <c r="E4" s="2">
        <f>SUMIF('2023'!E2:E867,"UTILITARIO",'2023'!M2:M867)</f>
        <v>19232</v>
      </c>
      <c r="F4" s="42">
        <f t="shared" ref="F4:F6" si="0">E4/D4</f>
        <v>0.96832989275464476</v>
      </c>
      <c r="I4" t="s">
        <v>1080</v>
      </c>
      <c r="J4" s="11">
        <f>SUMIF('2023'!Q2:Q867,"Euro 5 a",'2023'!L2:L867)</f>
        <v>1445</v>
      </c>
      <c r="K4" s="11">
        <f>SUMIF('2023'!Q2:Q867,"Euro 5 a",'2023'!M2:M867)</f>
        <v>1445</v>
      </c>
      <c r="M4" t="s">
        <v>422</v>
      </c>
      <c r="N4">
        <f>J6+J7+J8+J9</f>
        <v>24740</v>
      </c>
      <c r="T4" t="s">
        <v>63</v>
      </c>
      <c r="V4">
        <f>SUM('2023'!X2:X867)/'Calculos adicionales 2023'!E6</f>
        <v>6.2580348390466058</v>
      </c>
      <c r="W4">
        <f>SUM('2023'!W2:W867)/'Calculos adicionales 2023'!E6</f>
        <v>148.28711854921923</v>
      </c>
    </row>
    <row r="5" spans="2:23" x14ac:dyDescent="0.25">
      <c r="B5" s="26" t="s">
        <v>12</v>
      </c>
      <c r="C5" s="27"/>
      <c r="D5" s="23">
        <f>SUMIF('2023'!E2:E867,"SUV",'2023'!L2:L867)</f>
        <v>13887</v>
      </c>
      <c r="E5" s="2">
        <f>SUMIF('2023'!E2:E867,"SUV",'2023'!M2:M867)</f>
        <v>13519</v>
      </c>
      <c r="F5" s="42">
        <f t="shared" si="0"/>
        <v>0.97350039605386329</v>
      </c>
      <c r="I5" t="s">
        <v>1054</v>
      </c>
      <c r="J5" s="11">
        <f>SUMIF('2023'!Q2:Q867,"Euro 5 b",'2023'!L2:L867)</f>
        <v>5820</v>
      </c>
      <c r="K5" s="11">
        <f>SUMIF('2023'!Q2:Q867,"Euro 5 b",'2023'!M2:M867)</f>
        <v>5820</v>
      </c>
      <c r="M5" t="s">
        <v>1303</v>
      </c>
      <c r="N5">
        <f>J10</f>
        <v>1385</v>
      </c>
      <c r="T5" t="s">
        <v>472</v>
      </c>
      <c r="V5">
        <f>SUMIFS('2023'!X2:X867,'2023'!I2:I867,"N")/'Calculos adicionales 2023'!C15</f>
        <v>6.4373210564113172</v>
      </c>
      <c r="W5">
        <f>SUMIFS('2023'!W2:W867,'2023'!I2:I867,"N")/'Calculos adicionales 2023'!C15</f>
        <v>150.43167007525366</v>
      </c>
    </row>
    <row r="6" spans="2:23" ht="15.75" thickBot="1" x14ac:dyDescent="0.3">
      <c r="B6" s="28" t="s">
        <v>69</v>
      </c>
      <c r="C6" s="29"/>
      <c r="D6" s="23">
        <f>SUM(D3:D5)</f>
        <v>58367</v>
      </c>
      <c r="E6" s="2">
        <f>SUM(E3:E5)</f>
        <v>57183</v>
      </c>
      <c r="F6" s="42">
        <f t="shared" si="0"/>
        <v>0.97971456473692331</v>
      </c>
      <c r="I6" t="s">
        <v>422</v>
      </c>
      <c r="J6" s="11">
        <f>SUMIF('2023'!Q2:Q867,"Euro 6",'2023'!L2:L867)</f>
        <v>8287</v>
      </c>
      <c r="K6" s="11">
        <f>SUMIF('2023'!Q2:Q867,"Euro 6",'2023'!M2:M867)</f>
        <v>8287</v>
      </c>
      <c r="M6" t="s">
        <v>1304</v>
      </c>
      <c r="N6">
        <f>J10+J11+J12+J13+J14</f>
        <v>2338</v>
      </c>
      <c r="T6" t="s">
        <v>473</v>
      </c>
      <c r="V6">
        <f ca="1">SUMIFS('2023'!X2:X867,'2023'!I2:I867,"D")/'Calculos adicionales 2023'!C16</f>
        <v>7.0105012160747844</v>
      </c>
      <c r="W6">
        <f ca="1">SUMIFS('2023'!W2:W867,'2023'!I2:I867,"D")/'Calculos adicionales 2023'!C16</f>
        <v>188.19002083333334</v>
      </c>
    </row>
    <row r="7" spans="2:23" ht="15.75" thickBot="1" x14ac:dyDescent="0.3">
      <c r="I7" t="s">
        <v>424</v>
      </c>
      <c r="J7" s="11">
        <f>SUMIF('2023'!Q2:Q867,"Euro 6 b",'2023'!L2:L867)</f>
        <v>14989</v>
      </c>
      <c r="K7" s="11">
        <f>SUMIF('2023'!Q2:Q867,"Euro 6 b",'2023'!M2:M867)</f>
        <v>14989</v>
      </c>
    </row>
    <row r="8" spans="2:23" x14ac:dyDescent="0.25">
      <c r="B8" s="24" t="s">
        <v>1119</v>
      </c>
      <c r="C8" s="40"/>
      <c r="D8" s="2">
        <f>SUMIFS('2023'!L2:L867,'2023'!E2:E867,"AUTOMOVIL",'2023'!H2:H867,"ELÉCTRICO")</f>
        <v>997</v>
      </c>
      <c r="E8" s="2">
        <f>SUMIFS('2023'!M2:M867,'2023'!E2:E867,"AUTOMOVIL",'2023'!I2:I867,"E")</f>
        <v>984</v>
      </c>
      <c r="I8" t="s">
        <v>444</v>
      </c>
      <c r="J8" s="11">
        <f>SUMIF('2023'!Q2:Q867,"Euro 6 c",'2023'!L2:L867)</f>
        <v>1130</v>
      </c>
      <c r="K8" s="11">
        <f>SUMIF('2023'!Q2:Q867,"Euro 6 c",'2023'!M2:M867)</f>
        <v>1130</v>
      </c>
    </row>
    <row r="9" spans="2:23" x14ac:dyDescent="0.25">
      <c r="B9" s="26" t="s">
        <v>1120</v>
      </c>
      <c r="C9" s="4"/>
      <c r="D9" s="2">
        <f>SUMIFS('2023'!L2:L867,'2023'!E2:E867,"UTILITARIO",'2023'!H2:H867,"ELÉCTRICO")</f>
        <v>389</v>
      </c>
      <c r="E9" s="2">
        <f>SUMIFS('2023'!M2:M867,'2023'!E2:E867,"UTILITARIO",'2023'!I2:I867,"E")</f>
        <v>387</v>
      </c>
      <c r="I9" t="s">
        <v>456</v>
      </c>
      <c r="J9" s="11">
        <f>SUMIF('2023'!Q2:Q867,"Euro 6 d",'2023'!L2:L867)</f>
        <v>334</v>
      </c>
      <c r="K9" s="11">
        <f>SUMIF('2023'!Q2:Q867,"Euro 6 d",'2023'!M2:M867)</f>
        <v>334</v>
      </c>
      <c r="V9" s="3" t="s">
        <v>441</v>
      </c>
      <c r="W9" t="s">
        <v>468</v>
      </c>
    </row>
    <row r="10" spans="2:23" ht="60" x14ac:dyDescent="0.25">
      <c r="B10" s="26" t="s">
        <v>1121</v>
      </c>
      <c r="C10" s="4"/>
      <c r="D10" s="2">
        <f>SUMIFS('2023'!L2:L867,'2023'!E2:E867,"SUV",'2023'!H2:H867,"ELÉCTRICO")</f>
        <v>656</v>
      </c>
      <c r="E10" s="2">
        <f>SUMIFS('2023'!M2:M867,'2023'!E2:E867,"SUV",'2023'!I2:I867,"E")</f>
        <v>649</v>
      </c>
      <c r="I10" t="s">
        <v>423</v>
      </c>
      <c r="J10" s="11">
        <f>SUMIF('2023'!Q2:Q867,"Tier 2 b5",'2023'!L2:L867)</f>
        <v>1385</v>
      </c>
      <c r="K10" s="11">
        <f>SUMIF('2023'!Q2:Q867,"Tier 2 b5",'2023'!M2:M867)</f>
        <v>1385</v>
      </c>
      <c r="U10" s="13" t="s">
        <v>437</v>
      </c>
      <c r="V10" s="15">
        <f>SUMIFS('2023'!X2:X867,'2023'!E2:E867,"AUTOMOVIL",'2023'!I2:I867,"N")/'Calculos adicionales 2023'!C17</f>
        <v>5.6514094794491001</v>
      </c>
      <c r="W10" s="15">
        <f t="shared" ref="W10:W18" si="1">100/V10</f>
        <v>17.694700828818373</v>
      </c>
    </row>
    <row r="11" spans="2:23" ht="30.75" thickBot="1" x14ac:dyDescent="0.3">
      <c r="B11" s="28" t="s">
        <v>69</v>
      </c>
      <c r="C11" s="41"/>
      <c r="D11" s="2">
        <f>SUM(D8:D10)</f>
        <v>2042</v>
      </c>
      <c r="E11" s="2">
        <f>SUM(E8:E10)</f>
        <v>2020</v>
      </c>
      <c r="I11" t="s">
        <v>443</v>
      </c>
      <c r="J11" s="11">
        <f>SUMIF('2023'!Q2:Q867,"Tier 3 b160",'2023'!L2:L867)</f>
        <v>7</v>
      </c>
      <c r="K11" s="11">
        <f>SUMIF('2023'!Q2:Q867,"Tier 3 b160",'2023'!M2:M867)</f>
        <v>7</v>
      </c>
      <c r="U11" s="13" t="s">
        <v>438</v>
      </c>
      <c r="V11" s="15">
        <f>SUMIFS('2023'!X2:X867,'2023'!E2:E867,"AUTOMOVIL",'2023'!I2:I867,"D")/'Calculos adicionales 2023'!C18</f>
        <v>4.0716706418539879</v>
      </c>
      <c r="W11" s="15">
        <f t="shared" si="1"/>
        <v>24.559943275388836</v>
      </c>
    </row>
    <row r="12" spans="2:23" ht="45" x14ac:dyDescent="0.25">
      <c r="I12" t="s">
        <v>453</v>
      </c>
      <c r="J12" s="11">
        <f>SUMIF('2023'!Q2:Q867,"Tier 3 b30",'2023'!L2:L867)</f>
        <v>89</v>
      </c>
      <c r="K12" s="11">
        <f>SUMIF('2023'!Q2:Q867,"Tier 3 b30",'2023'!M2:M867)</f>
        <v>89</v>
      </c>
      <c r="U12" s="13" t="s">
        <v>1293</v>
      </c>
      <c r="V12" s="15">
        <f>SUMIFS('2023'!X2:X867,'2023'!E2:E867,"AUTOMOVIL",'2023'!I2:I867,"N",'2023'!J2:J867,"N")/'Calculos adicionales 2023'!C19</f>
        <v>5.7130164950140117</v>
      </c>
      <c r="W12" s="15">
        <f t="shared" si="1"/>
        <v>17.503887847562524</v>
      </c>
    </row>
    <row r="13" spans="2:23" ht="45" x14ac:dyDescent="0.25">
      <c r="I13" t="s">
        <v>1301</v>
      </c>
      <c r="J13" s="11">
        <f>SUMIF('2023'!Q2:Q867,"Tier 3 b70",'2023'!L2:L867)</f>
        <v>153</v>
      </c>
      <c r="K13" s="11">
        <f>SUMIF('2023'!Q2:Q867,"Tier 3 b70",'2023'!M2:M867)</f>
        <v>153</v>
      </c>
      <c r="U13" s="13" t="s">
        <v>440</v>
      </c>
      <c r="V13" s="15">
        <f>(SUMIFS('2023'!X2:X867,'2023'!E2:E867,"AUTOMOVIL",'2023'!I2:I867,"N",'2023'!J2:J867,"HEV")+SUMIFS('2023'!X2:X867,'2023'!E2:E867,"AUTOMOVIL",'2023'!I2:I867,"N",'2023'!J2:J867,"MHEV"))/('Calculos adicionales 2023'!C17-'Calculos adicionales 2023'!C19)</f>
        <v>4.0279926267774293</v>
      </c>
      <c r="W13" s="15">
        <f t="shared" si="1"/>
        <v>24.826261928886495</v>
      </c>
    </row>
    <row r="14" spans="2:23" x14ac:dyDescent="0.25">
      <c r="B14" s="36"/>
      <c r="C14" s="14" t="s">
        <v>442</v>
      </c>
      <c r="I14" t="s">
        <v>1302</v>
      </c>
      <c r="J14" s="11">
        <f>SUMIF('2023'!Q2:Q867,"Tier 3 b125",'2023'!L2:L867)</f>
        <v>704</v>
      </c>
      <c r="K14" s="11">
        <f>SUMIF('2023'!Q2:Q867,"Tier 3 b125",'2023'!M2:M867)</f>
        <v>704</v>
      </c>
      <c r="U14" s="11" t="s">
        <v>434</v>
      </c>
      <c r="V14" s="15">
        <f>SUMIFS('2023'!X2:X867,'2023'!E2:E867,"UTILITARIO",'2023'!I2:I867,"N",'2023'!J2:J867,"N")/'Calculos adicionales 2023'!C21</f>
        <v>7.6110783002874927</v>
      </c>
      <c r="W14" s="15">
        <f t="shared" si="1"/>
        <v>13.13874277133934</v>
      </c>
    </row>
    <row r="15" spans="2:23" ht="30" x14ac:dyDescent="0.25">
      <c r="B15" s="35" t="s">
        <v>432</v>
      </c>
      <c r="C15" s="2">
        <f>SUMIF('2023'!I2:I867,"N",'2023'!M2:M867)</f>
        <v>50363</v>
      </c>
      <c r="I15" s="5" t="s">
        <v>470</v>
      </c>
      <c r="J15">
        <f>SUM(J2:J14)</f>
        <v>54847</v>
      </c>
      <c r="K15">
        <f>SUM(K2:K14)</f>
        <v>54847</v>
      </c>
      <c r="U15" s="11" t="s">
        <v>435</v>
      </c>
      <c r="V15" s="15">
        <f>SUMIFS('2023'!X2:X867,'2023'!E2:E867,"UTILITARIO",'2023'!I2:I867,"D",'2023'!J2:J867,"D")/'Calculos adicionales 2023'!C23</f>
        <v>7.7661571306403721</v>
      </c>
      <c r="W15" s="15">
        <f t="shared" si="1"/>
        <v>12.87638124207697</v>
      </c>
    </row>
    <row r="16" spans="2:23" ht="45" x14ac:dyDescent="0.25">
      <c r="B16" s="35" t="s">
        <v>433</v>
      </c>
      <c r="C16" s="2">
        <f ca="1">SUMIF('2023'!I3:I868,"D",'2023'!M3:M867)</f>
        <v>4800</v>
      </c>
      <c r="I16" s="5" t="s">
        <v>471</v>
      </c>
      <c r="J16">
        <f>'Calculos adicionales 2023'!D6-J15</f>
        <v>3520</v>
      </c>
      <c r="K16">
        <f>'Calculos adicionales 2023'!E6-K15</f>
        <v>2336</v>
      </c>
      <c r="U16" s="12" t="s">
        <v>467</v>
      </c>
      <c r="V16" s="15">
        <f>SUMIFS('2023'!X2:X867,'2023'!E2:E867,"SUV",'2023'!I2:I867,"N")/'Calculos adicionales 2023'!C24</f>
        <v>6.4391504026867086</v>
      </c>
      <c r="W16" s="15">
        <f t="shared" si="1"/>
        <v>15.529999106446624</v>
      </c>
    </row>
    <row r="17" spans="2:23" ht="60" x14ac:dyDescent="0.25">
      <c r="B17" s="35" t="s">
        <v>437</v>
      </c>
      <c r="C17" s="2">
        <f>SUMIFS('2023'!M2:M867,'2023'!I2:I867,"N",'2023'!E2:E867,"AUTOMOVIL")</f>
        <v>22501</v>
      </c>
      <c r="U17" s="12" t="s">
        <v>1299</v>
      </c>
      <c r="V17" s="15">
        <f>SUMIFS('2023'!X2:X867,'2023'!E2:E867,"SUV",'2023'!I2:I867,"N",'2023'!J2:J867,"N")/'Calculos adicionales 2023'!C26</f>
        <v>6.8265622539725639</v>
      </c>
      <c r="W17" s="15">
        <f t="shared" si="1"/>
        <v>14.6486615487623</v>
      </c>
    </row>
    <row r="18" spans="2:23" ht="45" x14ac:dyDescent="0.25">
      <c r="B18" s="35" t="s">
        <v>438</v>
      </c>
      <c r="C18" s="2">
        <f>SUMIFS('2023'!M2:M867,'2023'!I2:I867,"D",'2023'!E2:E867,"AUTOMOVIL")</f>
        <v>947</v>
      </c>
      <c r="D18" s="4" t="s">
        <v>439</v>
      </c>
      <c r="U18" s="12" t="s">
        <v>1300</v>
      </c>
      <c r="V18" s="15">
        <f>(SUMIFS('2023'!X2:X867,'2023'!E2:E867,"SUV",'2023'!I2:I867,"N",'2023'!J2:J867,"HEV")+SUMIFS('2023'!X2:X867,'2023'!E2:E867,"SUV",'2023'!I2:I867,"N",'2023'!J2:J867,"MHEV"))/('Calculos adicionales 2023'!C24-'Calculos adicionales 2023'!C26)</f>
        <v>4.428776259923219</v>
      </c>
      <c r="W18" s="15">
        <f t="shared" si="1"/>
        <v>22.579600804158414</v>
      </c>
    </row>
    <row r="19" spans="2:23" ht="45" x14ac:dyDescent="0.25">
      <c r="B19" s="35" t="s">
        <v>1293</v>
      </c>
      <c r="C19" s="2">
        <f>SUMIFS('2023'!M2:M867,'2023'!I2:I867,"N",'2023'!E2:E867,"AUTOMOVIL",'2023'!J2:J867,"N")</f>
        <v>21593</v>
      </c>
    </row>
    <row r="20" spans="2:23" ht="45" x14ac:dyDescent="0.25">
      <c r="B20" s="35" t="s">
        <v>1294</v>
      </c>
      <c r="C20" s="2">
        <f>SUMIFS('2023'!M2:M867,'2023'!I2:I867,"D",'2023'!E2:E867,"AUTOMOVIL",'2023'!J2:J867,"D")</f>
        <v>947</v>
      </c>
    </row>
    <row r="21" spans="2:23" ht="60" x14ac:dyDescent="0.25">
      <c r="B21" s="35" t="s">
        <v>1295</v>
      </c>
      <c r="C21" s="2">
        <f>SUMIFS('2023'!M2:M867,'2023'!I2:I867,"N",'2023'!E2:E867,"UTILITARIO")</f>
        <v>15046</v>
      </c>
    </row>
    <row r="22" spans="2:23" ht="45" x14ac:dyDescent="0.25">
      <c r="B22" s="35" t="s">
        <v>1296</v>
      </c>
      <c r="C22" s="2">
        <f>SUMIFS('2023'!M2:M867,'2023'!I2:I867,"N",'2023'!E2:E867,"UTILITARIO",'2023'!J2:J867,"N")</f>
        <v>15046</v>
      </c>
    </row>
    <row r="23" spans="2:23" x14ac:dyDescent="0.25">
      <c r="B23" s="35" t="s">
        <v>435</v>
      </c>
      <c r="C23" s="2">
        <f>SUMIFS('2023'!M2:M867,'2023'!I2:I867,"D",'2023'!E2:E867,"UTILITARIO",'2023'!J2:J867,"D")</f>
        <v>3799</v>
      </c>
    </row>
    <row r="24" spans="2:23" ht="60" x14ac:dyDescent="0.25">
      <c r="B24" s="35" t="s">
        <v>1297</v>
      </c>
      <c r="C24" s="2">
        <f>SUMIFS('2023'!M2:M867,'2023'!I2:I867,"N",'2023'!E2:E867,"SUV")</f>
        <v>12816</v>
      </c>
    </row>
    <row r="25" spans="2:23" x14ac:dyDescent="0.25">
      <c r="B25" s="35" t="s">
        <v>436</v>
      </c>
      <c r="C25" s="2">
        <f>SUMIFS('2023'!M2:M867,'2023'!I2:I867,"D",'2023'!E2:E867,"SUV")</f>
        <v>54</v>
      </c>
    </row>
    <row r="26" spans="2:23" ht="45" x14ac:dyDescent="0.25">
      <c r="B26" s="35" t="s">
        <v>1298</v>
      </c>
      <c r="C26" s="2">
        <f>SUMIFS('2023'!M2:M867,'2023'!I2:I867,"N",'2023'!E2:E867,"SUV",'2023'!J2:J867,"N")</f>
        <v>10485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66BD-87BF-49F2-8A6E-0FCB3633D332}">
  <dimension ref="A1:E4"/>
  <sheetViews>
    <sheetView workbookViewId="0">
      <selection activeCell="D13" sqref="D13"/>
    </sheetView>
  </sheetViews>
  <sheetFormatPr baseColWidth="10" defaultRowHeight="15" x14ac:dyDescent="0.25"/>
  <sheetData>
    <row r="1" spans="1:5" x14ac:dyDescent="0.25">
      <c r="A1" s="4" t="s">
        <v>1322</v>
      </c>
    </row>
    <row r="2" spans="1:5" x14ac:dyDescent="0.25">
      <c r="B2" s="2" t="s">
        <v>1323</v>
      </c>
      <c r="C2" s="2" t="s">
        <v>1324</v>
      </c>
    </row>
    <row r="3" spans="1:5" x14ac:dyDescent="0.25">
      <c r="A3" s="3" t="s">
        <v>1325</v>
      </c>
      <c r="B3" s="11">
        <v>2336.8676</v>
      </c>
      <c r="C3" s="2">
        <v>2684.4018000000001</v>
      </c>
      <c r="D3" t="s">
        <v>1327</v>
      </c>
      <c r="E3" s="37" t="s">
        <v>1328</v>
      </c>
    </row>
    <row r="4" spans="1:5" x14ac:dyDescent="0.25">
      <c r="A4" s="3" t="s">
        <v>1326</v>
      </c>
      <c r="B4" s="38">
        <f>1/B3</f>
        <v>4.2792325932372035E-4</v>
      </c>
      <c r="C4" s="20">
        <f>1/C3</f>
        <v>3.7252247409460089E-4</v>
      </c>
    </row>
  </sheetData>
  <hyperlinks>
    <hyperlink ref="E3" r:id="rId1" xr:uid="{F9190D8B-B958-4E47-BE26-64CDC59F15D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46548D00A78B4D89617D11D5F07BFA" ma:contentTypeVersion="0" ma:contentTypeDescription="Crear nuevo documento." ma:contentTypeScope="" ma:versionID="1e679358dd2bb71ccdb238f347f7329a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8EDA351-8EB5-48D8-8992-6AF0FF4039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2AA438-F22B-4461-9EEF-5ADC749CA134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31EEBFF-CD58-47AE-B12B-67735FA43C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2023</vt:lpstr>
      <vt:lpstr>Calculos adicionales 2023</vt:lpstr>
      <vt:lpstr>Supuestos</vt:lpstr>
    </vt:vector>
  </TitlesOfParts>
  <Company>Ranpak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Emiliano RO</cp:lastModifiedBy>
  <dcterms:created xsi:type="dcterms:W3CDTF">2018-03-16T14:45:19Z</dcterms:created>
  <dcterms:modified xsi:type="dcterms:W3CDTF">2025-04-24T22:23:59Z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0x010100F746548D00A78B4D89617D11D5F07BFA</vt:lpwstr>
  </property>
</Properties>
</file>