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jonzimmerman/Desktop/Data Projects/OT Data Analysis/"/>
    </mc:Choice>
  </mc:AlternateContent>
  <xr:revisionPtr revIDLastSave="0" documentId="13_ncr:1_{22EA5DF6-9667-8F4C-9712-46AF51E19173}" xr6:coauthVersionLast="45" xr6:coauthVersionMax="45" xr10:uidLastSave="{00000000-0000-0000-0000-000000000000}"/>
  <bookViews>
    <workbookView xWindow="0" yWindow="620" windowWidth="15380" windowHeight="16380" activeTab="2" xr2:uid="{5CB9EE5D-ADAC-C242-B9AA-DD06B2D8F980}"/>
  </bookViews>
  <sheets>
    <sheet name="Data" sheetId="1" r:id="rId1"/>
    <sheet name="TimelineData" sheetId="14" r:id="rId2"/>
    <sheet name="Tab for Charts" sheetId="13" r:id="rId3"/>
    <sheet name="Dashboard" sheetId="27" r:id="rId4"/>
  </sheets>
  <definedNames>
    <definedName name="_xlnm._FilterDatabase" localSheetId="0" hidden="1">Data!$A$1:$AL$63</definedName>
    <definedName name="AvgHR">OFFSET(Data!$G$2,0,0,COUNTA(Data!$G:$G)-1)</definedName>
    <definedName name="Calories">OFFSET(Data!$F$2,0,0,COUNTA(Data!$F:$F)-1)</definedName>
    <definedName name="CaloriesPerMonth">OFFSET(Data!$AG$2,0,0,COUNTA(Data!$AG:$AG)-1)</definedName>
    <definedName name="Date">OFFSET(Data!$C$2,0,0,COUNTA(Data!$C:$C)-1)</definedName>
    <definedName name="MaxHR">OFFSET(Data!$H$2,0,0,COUNTA(Data!$H:$H)-1)</definedName>
    <definedName name="Splat">OFFSET(Data!$E$2,0,0,COUNTA(Data!$E:$E)-1)</definedName>
    <definedName name="SplatPerMonth">OFFSET(Data!$AH$2,0,0,COUNTA(Data!$AH:$AH)-1)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Y2" i="1" l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X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W45" i="1" l="1"/>
  <c r="AW39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40" i="1"/>
  <c r="AW41" i="1"/>
  <c r="AW42" i="1"/>
  <c r="AW43" i="1"/>
  <c r="AW44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V2" i="1" l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P33" i="13" l="1"/>
  <c r="AP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V5" i="1"/>
  <c r="V6" i="1"/>
  <c r="V7" i="1"/>
  <c r="V8" i="1"/>
  <c r="V9" i="1"/>
  <c r="V10" i="1"/>
  <c r="V13" i="1"/>
  <c r="V14" i="1"/>
  <c r="V16" i="1"/>
  <c r="V17" i="1"/>
  <c r="V18" i="1"/>
  <c r="V19" i="1"/>
  <c r="V20" i="1"/>
  <c r="V21" i="1"/>
  <c r="V23" i="1"/>
  <c r="V24" i="1"/>
  <c r="V25" i="1"/>
  <c r="V26" i="1"/>
  <c r="V27" i="1"/>
  <c r="V28" i="1"/>
  <c r="V29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2" i="1"/>
  <c r="V53" i="1"/>
  <c r="V56" i="1"/>
  <c r="V57" i="1"/>
  <c r="V60" i="1"/>
  <c r="V61" i="1"/>
  <c r="V62" i="1"/>
  <c r="V63" i="1"/>
  <c r="V64" i="1"/>
  <c r="V65" i="1"/>
  <c r="V66" i="1"/>
  <c r="V67" i="1"/>
  <c r="V68" i="1"/>
  <c r="V69" i="1"/>
  <c r="V71" i="1"/>
  <c r="V72" i="1"/>
  <c r="V74" i="1"/>
  <c r="V75" i="1"/>
  <c r="V76" i="1"/>
  <c r="V77" i="1"/>
  <c r="V78" i="1"/>
  <c r="V79" i="1"/>
  <c r="V81" i="1"/>
  <c r="V82" i="1"/>
  <c r="V83" i="1"/>
  <c r="V84" i="1"/>
  <c r="V85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K144" i="1"/>
  <c r="AB144" i="1" s="1"/>
  <c r="J144" i="1"/>
  <c r="I144" i="1"/>
  <c r="G144" i="1"/>
  <c r="F144" i="1"/>
  <c r="E144" i="1"/>
  <c r="X144" i="1" s="1"/>
  <c r="D144" i="1"/>
  <c r="AC144" i="1" s="1"/>
  <c r="Q144" i="1"/>
  <c r="R144" i="1"/>
  <c r="S144" i="1"/>
  <c r="T144" i="1"/>
  <c r="W144" i="1"/>
  <c r="Z144" i="1"/>
  <c r="AA144" i="1"/>
  <c r="AD144" i="1"/>
  <c r="AE144" i="1"/>
  <c r="AI144" i="1"/>
  <c r="AL144" i="1"/>
  <c r="AM144" i="1"/>
  <c r="AO144" i="1"/>
  <c r="AQ144" i="1"/>
  <c r="AR144" i="1"/>
  <c r="AS144" i="1"/>
  <c r="AT144" i="1"/>
  <c r="AU144" i="1"/>
  <c r="AB9" i="13"/>
  <c r="T13" i="13"/>
  <c r="M143" i="1"/>
  <c r="L143" i="1"/>
  <c r="K143" i="1"/>
  <c r="J143" i="1"/>
  <c r="I143" i="1"/>
  <c r="G143" i="1"/>
  <c r="F143" i="1"/>
  <c r="E143" i="1"/>
  <c r="Y143" i="1" s="1"/>
  <c r="D143" i="1"/>
  <c r="AC143" i="1" s="1"/>
  <c r="Q143" i="1"/>
  <c r="R143" i="1"/>
  <c r="S143" i="1"/>
  <c r="T143" i="1"/>
  <c r="W143" i="1"/>
  <c r="X143" i="1"/>
  <c r="AB143" i="1"/>
  <c r="AE143" i="1"/>
  <c r="AI143" i="1"/>
  <c r="AL143" i="1"/>
  <c r="AM143" i="1"/>
  <c r="AO143" i="1"/>
  <c r="AQ143" i="1"/>
  <c r="AR143" i="1"/>
  <c r="AS143" i="1"/>
  <c r="AT143" i="1"/>
  <c r="AU143" i="1"/>
  <c r="P32" i="13"/>
  <c r="M142" i="1"/>
  <c r="L142" i="1"/>
  <c r="K142" i="1"/>
  <c r="J142" i="1"/>
  <c r="I142" i="1"/>
  <c r="G142" i="1"/>
  <c r="F142" i="1"/>
  <c r="E142" i="1"/>
  <c r="Y142" i="1" s="1"/>
  <c r="D142" i="1"/>
  <c r="Q142" i="1"/>
  <c r="S142" i="1"/>
  <c r="T142" i="1"/>
  <c r="AE142" i="1"/>
  <c r="AI142" i="1"/>
  <c r="AM142" i="1"/>
  <c r="AO142" i="1"/>
  <c r="AQ142" i="1"/>
  <c r="AR142" i="1"/>
  <c r="AS142" i="1"/>
  <c r="Y144" i="1" l="1"/>
  <c r="U144" i="1"/>
  <c r="AN144" i="1"/>
  <c r="U143" i="1"/>
  <c r="AA143" i="1"/>
  <c r="AD143" i="1"/>
  <c r="Z143" i="1"/>
  <c r="AN143" i="1"/>
  <c r="AC142" i="1"/>
  <c r="AD142" i="1"/>
  <c r="AN142" i="1"/>
  <c r="W142" i="1"/>
  <c r="X142" i="1"/>
  <c r="AT142" i="1"/>
  <c r="AL142" i="1"/>
  <c r="U142" i="1"/>
  <c r="Z142" i="1"/>
  <c r="AA142" i="1"/>
  <c r="AU142" i="1"/>
  <c r="R142" i="1"/>
  <c r="AB142" i="1"/>
  <c r="M141" i="1"/>
  <c r="L141" i="1"/>
  <c r="K141" i="1"/>
  <c r="J141" i="1"/>
  <c r="I141" i="1"/>
  <c r="G141" i="1"/>
  <c r="F141" i="1"/>
  <c r="E141" i="1"/>
  <c r="AR141" i="1" s="1"/>
  <c r="D141" i="1"/>
  <c r="Q141" i="1"/>
  <c r="S141" i="1"/>
  <c r="T141" i="1"/>
  <c r="AE141" i="1"/>
  <c r="AI141" i="1"/>
  <c r="AM141" i="1"/>
  <c r="AO141" i="1"/>
  <c r="AQ141" i="1"/>
  <c r="AS141" i="1" l="1"/>
  <c r="AC141" i="1"/>
  <c r="AD141" i="1"/>
  <c r="X141" i="1"/>
  <c r="AA141" i="1"/>
  <c r="AU141" i="1"/>
  <c r="AT141" i="1"/>
  <c r="Z141" i="1"/>
  <c r="AL141" i="1"/>
  <c r="W141" i="1"/>
  <c r="R141" i="1"/>
  <c r="AB141" i="1"/>
  <c r="Y141" i="1"/>
  <c r="U141" i="1"/>
  <c r="AN141" i="1"/>
  <c r="M140" i="1"/>
  <c r="L140" i="1"/>
  <c r="K140" i="1"/>
  <c r="J140" i="1"/>
  <c r="I140" i="1"/>
  <c r="G140" i="1"/>
  <c r="F140" i="1"/>
  <c r="E140" i="1"/>
  <c r="D140" i="1"/>
  <c r="Q140" i="1"/>
  <c r="S140" i="1"/>
  <c r="T140" i="1"/>
  <c r="AE140" i="1"/>
  <c r="AI140" i="1"/>
  <c r="AM140" i="1"/>
  <c r="AO140" i="1"/>
  <c r="AQ140" i="1"/>
  <c r="M139" i="1"/>
  <c r="L139" i="1"/>
  <c r="K139" i="1"/>
  <c r="J139" i="1"/>
  <c r="I139" i="1"/>
  <c r="G139" i="1"/>
  <c r="F139" i="1"/>
  <c r="E139" i="1"/>
  <c r="D139" i="1"/>
  <c r="Q139" i="1"/>
  <c r="S139" i="1"/>
  <c r="AN139" i="1" s="1"/>
  <c r="T139" i="1"/>
  <c r="Z139" i="1"/>
  <c r="AE139" i="1"/>
  <c r="AI139" i="1"/>
  <c r="AM139" i="1"/>
  <c r="AO139" i="1"/>
  <c r="AQ139" i="1"/>
  <c r="W139" i="1" l="1"/>
  <c r="AT139" i="1"/>
  <c r="AD139" i="1"/>
  <c r="AL139" i="1"/>
  <c r="X139" i="1"/>
  <c r="AA139" i="1"/>
  <c r="AR139" i="1"/>
  <c r="AS139" i="1"/>
  <c r="AB139" i="1"/>
  <c r="R139" i="1"/>
  <c r="AU139" i="1"/>
  <c r="U139" i="1"/>
  <c r="Y139" i="1"/>
  <c r="AC139" i="1"/>
  <c r="AU140" i="1"/>
  <c r="Y140" i="1"/>
  <c r="AC140" i="1"/>
  <c r="AR140" i="1"/>
  <c r="X140" i="1"/>
  <c r="R140" i="1"/>
  <c r="U140" i="1"/>
  <c r="W140" i="1"/>
  <c r="AS140" i="1"/>
  <c r="AT140" i="1"/>
  <c r="AB140" i="1"/>
  <c r="AA140" i="1"/>
  <c r="AD140" i="1"/>
  <c r="Z140" i="1"/>
  <c r="AL140" i="1"/>
  <c r="AN140" i="1"/>
  <c r="M138" i="1"/>
  <c r="L138" i="1"/>
  <c r="K138" i="1"/>
  <c r="J138" i="1"/>
  <c r="I138" i="1"/>
  <c r="G138" i="1"/>
  <c r="F138" i="1"/>
  <c r="E138" i="1"/>
  <c r="D138" i="1"/>
  <c r="H138" i="1"/>
  <c r="Q138" i="1"/>
  <c r="S138" i="1"/>
  <c r="T138" i="1"/>
  <c r="AE138" i="1"/>
  <c r="AI138" i="1"/>
  <c r="AM138" i="1"/>
  <c r="AO138" i="1"/>
  <c r="AQ138" i="1"/>
  <c r="M137" i="1"/>
  <c r="L137" i="1"/>
  <c r="K137" i="1"/>
  <c r="J137" i="1"/>
  <c r="I137" i="1"/>
  <c r="G137" i="1"/>
  <c r="F137" i="1"/>
  <c r="E137" i="1"/>
  <c r="U137" i="1" s="1"/>
  <c r="D137" i="1"/>
  <c r="Q137" i="1"/>
  <c r="S137" i="1"/>
  <c r="AN137" i="1" s="1"/>
  <c r="T137" i="1"/>
  <c r="Z137" i="1"/>
  <c r="AE137" i="1"/>
  <c r="AI137" i="1"/>
  <c r="AM137" i="1"/>
  <c r="AO137" i="1"/>
  <c r="AQ137" i="1"/>
  <c r="AD138" i="1" l="1"/>
  <c r="AD137" i="1"/>
  <c r="AA138" i="1"/>
  <c r="AB137" i="1"/>
  <c r="R137" i="1"/>
  <c r="AR137" i="1"/>
  <c r="AS137" i="1"/>
  <c r="W137" i="1"/>
  <c r="Y138" i="1"/>
  <c r="R138" i="1"/>
  <c r="AB138" i="1"/>
  <c r="AU137" i="1"/>
  <c r="Z138" i="1"/>
  <c r="AL137" i="1"/>
  <c r="X138" i="1"/>
  <c r="AT137" i="1"/>
  <c r="Y137" i="1"/>
  <c r="AC137" i="1"/>
  <c r="AC138" i="1"/>
  <c r="W138" i="1"/>
  <c r="X137" i="1"/>
  <c r="AA137" i="1"/>
  <c r="AU138" i="1"/>
  <c r="U138" i="1"/>
  <c r="AS138" i="1"/>
  <c r="AT138" i="1"/>
  <c r="AR138" i="1"/>
  <c r="AL138" i="1"/>
  <c r="AN138" i="1"/>
  <c r="M136" i="1"/>
  <c r="L136" i="1"/>
  <c r="K136" i="1"/>
  <c r="J136" i="1"/>
  <c r="I136" i="1"/>
  <c r="G136" i="1"/>
  <c r="F136" i="1"/>
  <c r="E136" i="1"/>
  <c r="D136" i="1"/>
  <c r="Q136" i="1"/>
  <c r="S136" i="1"/>
  <c r="T136" i="1"/>
  <c r="AE136" i="1"/>
  <c r="AI136" i="1"/>
  <c r="AM136" i="1"/>
  <c r="AO136" i="1"/>
  <c r="AQ136" i="1"/>
  <c r="AU136" i="1" l="1"/>
  <c r="Y136" i="1"/>
  <c r="AC136" i="1"/>
  <c r="W136" i="1"/>
  <c r="R136" i="1"/>
  <c r="U136" i="1"/>
  <c r="AR136" i="1"/>
  <c r="X136" i="1"/>
  <c r="AS136" i="1"/>
  <c r="Z136" i="1"/>
  <c r="AT136" i="1"/>
  <c r="AB136" i="1"/>
  <c r="AA136" i="1"/>
  <c r="AD136" i="1"/>
  <c r="AL136" i="1"/>
  <c r="AN136" i="1"/>
  <c r="T12" i="13"/>
  <c r="M135" i="1"/>
  <c r="L135" i="1"/>
  <c r="K135" i="1"/>
  <c r="J135" i="1"/>
  <c r="I135" i="1"/>
  <c r="G135" i="1"/>
  <c r="F135" i="1"/>
  <c r="E135" i="1"/>
  <c r="D135" i="1"/>
  <c r="AC135" i="1" s="1"/>
  <c r="Q135" i="1"/>
  <c r="S135" i="1"/>
  <c r="T135" i="1"/>
  <c r="Z135" i="1"/>
  <c r="AE135" i="1"/>
  <c r="AI135" i="1"/>
  <c r="AM135" i="1"/>
  <c r="AO135" i="1"/>
  <c r="AQ135" i="1"/>
  <c r="M134" i="1"/>
  <c r="L134" i="1"/>
  <c r="K134" i="1"/>
  <c r="J134" i="1"/>
  <c r="AA134" i="1" s="1"/>
  <c r="I134" i="1"/>
  <c r="G134" i="1"/>
  <c r="F134" i="1"/>
  <c r="E134" i="1"/>
  <c r="U134" i="1" s="1"/>
  <c r="D134" i="1"/>
  <c r="AD134" i="1" s="1"/>
  <c r="Q134" i="1"/>
  <c r="S134" i="1"/>
  <c r="T134" i="1"/>
  <c r="AE134" i="1"/>
  <c r="AI134" i="1"/>
  <c r="AM134" i="1"/>
  <c r="AO134" i="1"/>
  <c r="AQ134" i="1"/>
  <c r="Z134" i="1" l="1"/>
  <c r="AT135" i="1"/>
  <c r="AB135" i="1"/>
  <c r="AS134" i="1"/>
  <c r="R134" i="1"/>
  <c r="AL135" i="1"/>
  <c r="X135" i="1"/>
  <c r="AA135" i="1"/>
  <c r="AU134" i="1"/>
  <c r="AL134" i="1"/>
  <c r="AB134" i="1"/>
  <c r="AR134" i="1"/>
  <c r="AT134" i="1"/>
  <c r="AU135" i="1"/>
  <c r="AD135" i="1"/>
  <c r="AN134" i="1"/>
  <c r="W135" i="1"/>
  <c r="AR135" i="1"/>
  <c r="Y135" i="1"/>
  <c r="U135" i="1"/>
  <c r="AS135" i="1"/>
  <c r="R135" i="1"/>
  <c r="AN135" i="1"/>
  <c r="X134" i="1"/>
  <c r="AC134" i="1"/>
  <c r="Y134" i="1"/>
  <c r="W134" i="1"/>
  <c r="M133" i="1"/>
  <c r="L133" i="1"/>
  <c r="K133" i="1"/>
  <c r="J133" i="1"/>
  <c r="I133" i="1"/>
  <c r="G133" i="1"/>
  <c r="F133" i="1"/>
  <c r="E133" i="1"/>
  <c r="D133" i="1"/>
  <c r="Q133" i="1"/>
  <c r="S133" i="1"/>
  <c r="T133" i="1"/>
  <c r="Z133" i="1"/>
  <c r="AE133" i="1"/>
  <c r="AI133" i="1"/>
  <c r="AM133" i="1"/>
  <c r="AO133" i="1"/>
  <c r="AQ133" i="1"/>
  <c r="AL133" i="1" l="1"/>
  <c r="AB133" i="1"/>
  <c r="AD133" i="1"/>
  <c r="AA133" i="1"/>
  <c r="AT133" i="1"/>
  <c r="AU133" i="1"/>
  <c r="X133" i="1"/>
  <c r="AC133" i="1"/>
  <c r="W133" i="1"/>
  <c r="AS133" i="1"/>
  <c r="R133" i="1"/>
  <c r="Y133" i="1"/>
  <c r="U133" i="1"/>
  <c r="AR133" i="1"/>
  <c r="AN133" i="1"/>
  <c r="AU2" i="1"/>
  <c r="AU3" i="1"/>
  <c r="AU4" i="1"/>
  <c r="M132" i="1" l="1"/>
  <c r="L132" i="1"/>
  <c r="K132" i="1"/>
  <c r="J132" i="1"/>
  <c r="I132" i="1"/>
  <c r="G132" i="1"/>
  <c r="F132" i="1"/>
  <c r="E132" i="1"/>
  <c r="X132" i="1" s="1"/>
  <c r="D132" i="1"/>
  <c r="Q132" i="1"/>
  <c r="S132" i="1"/>
  <c r="AN132" i="1" s="1"/>
  <c r="T132" i="1"/>
  <c r="AE132" i="1"/>
  <c r="AI132" i="1"/>
  <c r="AL132" i="1"/>
  <c r="AM132" i="1"/>
  <c r="AO132" i="1"/>
  <c r="AQ132" i="1"/>
  <c r="AT132" i="1"/>
  <c r="AB132" i="1" l="1"/>
  <c r="AC132" i="1"/>
  <c r="AU132" i="1"/>
  <c r="AA132" i="1"/>
  <c r="Z132" i="1"/>
  <c r="AD132" i="1"/>
  <c r="AR132" i="1"/>
  <c r="W132" i="1"/>
  <c r="R132" i="1"/>
  <c r="Y132" i="1"/>
  <c r="U132" i="1"/>
  <c r="AS132" i="1"/>
  <c r="M131" i="1"/>
  <c r="L131" i="1"/>
  <c r="K131" i="1"/>
  <c r="J131" i="1"/>
  <c r="I131" i="1"/>
  <c r="G131" i="1"/>
  <c r="F131" i="1"/>
  <c r="E131" i="1"/>
  <c r="D131" i="1"/>
  <c r="Q131" i="1"/>
  <c r="S131" i="1"/>
  <c r="T131" i="1"/>
  <c r="AE131" i="1"/>
  <c r="AI131" i="1"/>
  <c r="AM131" i="1"/>
  <c r="AO131" i="1"/>
  <c r="AQ131" i="1"/>
  <c r="AL131" i="1" l="1"/>
  <c r="X131" i="1"/>
  <c r="AT131" i="1"/>
  <c r="AB131" i="1"/>
  <c r="AU131" i="1"/>
  <c r="AA131" i="1"/>
  <c r="AC131" i="1"/>
  <c r="Z131" i="1"/>
  <c r="AD131" i="1"/>
  <c r="AS131" i="1"/>
  <c r="R131" i="1"/>
  <c r="Y131" i="1"/>
  <c r="U131" i="1"/>
  <c r="W131" i="1"/>
  <c r="AR131" i="1"/>
  <c r="AN131" i="1"/>
  <c r="M130" i="1"/>
  <c r="L130" i="1"/>
  <c r="K130" i="1"/>
  <c r="J130" i="1"/>
  <c r="I130" i="1"/>
  <c r="G130" i="1"/>
  <c r="F130" i="1"/>
  <c r="E130" i="1"/>
  <c r="D130" i="1"/>
  <c r="Q130" i="1"/>
  <c r="S130" i="1"/>
  <c r="T130" i="1"/>
  <c r="AE130" i="1"/>
  <c r="AI130" i="1"/>
  <c r="AM130" i="1"/>
  <c r="AO130" i="1"/>
  <c r="AQ130" i="1"/>
  <c r="AC130" i="1" l="1"/>
  <c r="Y130" i="1"/>
  <c r="AU130" i="1"/>
  <c r="W130" i="1"/>
  <c r="R130" i="1"/>
  <c r="U130" i="1"/>
  <c r="AR130" i="1"/>
  <c r="X130" i="1"/>
  <c r="AS130" i="1"/>
  <c r="AT130" i="1"/>
  <c r="AB130" i="1"/>
  <c r="AA130" i="1"/>
  <c r="AD130" i="1"/>
  <c r="Z130" i="1"/>
  <c r="AL130" i="1"/>
  <c r="AN130" i="1"/>
  <c r="M129" i="1"/>
  <c r="L129" i="1"/>
  <c r="K129" i="1"/>
  <c r="AB129" i="1" s="1"/>
  <c r="J129" i="1"/>
  <c r="I129" i="1"/>
  <c r="G129" i="1"/>
  <c r="F129" i="1"/>
  <c r="E129" i="1"/>
  <c r="R129" i="1" s="1"/>
  <c r="D129" i="1"/>
  <c r="Q129" i="1"/>
  <c r="S129" i="1"/>
  <c r="T129" i="1"/>
  <c r="AD129" i="1"/>
  <c r="AE129" i="1"/>
  <c r="AI129" i="1"/>
  <c r="AM129" i="1"/>
  <c r="AO129" i="1"/>
  <c r="AQ129" i="1"/>
  <c r="U129" i="1" l="1"/>
  <c r="W129" i="1"/>
  <c r="Z129" i="1"/>
  <c r="X129" i="1"/>
  <c r="AR129" i="1"/>
  <c r="Y129" i="1"/>
  <c r="AC129" i="1"/>
  <c r="AU129" i="1"/>
  <c r="AS129" i="1"/>
  <c r="AA129" i="1"/>
  <c r="AL129" i="1"/>
  <c r="AT129" i="1"/>
  <c r="AN129" i="1"/>
  <c r="I123" i="1"/>
  <c r="M128" i="1" l="1"/>
  <c r="L128" i="1"/>
  <c r="K128" i="1"/>
  <c r="J128" i="1"/>
  <c r="I128" i="1"/>
  <c r="G128" i="1"/>
  <c r="F128" i="1"/>
  <c r="E128" i="1"/>
  <c r="U128" i="1" s="1"/>
  <c r="D128" i="1"/>
  <c r="Q128" i="1"/>
  <c r="S128" i="1"/>
  <c r="T128" i="1"/>
  <c r="AE128" i="1"/>
  <c r="AI128" i="1"/>
  <c r="AM128" i="1"/>
  <c r="AO128" i="1"/>
  <c r="AQ128" i="1"/>
  <c r="AS128" i="1" l="1"/>
  <c r="AR128" i="1"/>
  <c r="AU128" i="1"/>
  <c r="AC128" i="1"/>
  <c r="W128" i="1"/>
  <c r="Y128" i="1"/>
  <c r="R128" i="1"/>
  <c r="X128" i="1"/>
  <c r="AD128" i="1"/>
  <c r="AT128" i="1"/>
  <c r="AB128" i="1"/>
  <c r="AA128" i="1"/>
  <c r="Z128" i="1"/>
  <c r="AL128" i="1"/>
  <c r="AN128" i="1"/>
  <c r="AT5" i="1"/>
  <c r="AT7" i="1"/>
  <c r="AT8" i="1"/>
  <c r="AT9" i="1"/>
  <c r="AT20" i="1"/>
  <c r="AB7" i="13" l="1"/>
  <c r="AB8" i="13"/>
  <c r="T11" i="13"/>
  <c r="M127" i="1"/>
  <c r="L127" i="1"/>
  <c r="K127" i="1"/>
  <c r="J127" i="1"/>
  <c r="I127" i="1"/>
  <c r="G127" i="1"/>
  <c r="F127" i="1"/>
  <c r="E127" i="1"/>
  <c r="D127" i="1"/>
  <c r="Q127" i="1"/>
  <c r="S127" i="1"/>
  <c r="T127" i="1"/>
  <c r="AE127" i="1"/>
  <c r="AI127" i="1"/>
  <c r="AM127" i="1"/>
  <c r="AO127" i="1"/>
  <c r="AQ127" i="1"/>
  <c r="AB127" i="1" l="1"/>
  <c r="AS127" i="1"/>
  <c r="Z127" i="1"/>
  <c r="AC127" i="1"/>
  <c r="AL127" i="1"/>
  <c r="AR127" i="1"/>
  <c r="U127" i="1"/>
  <c r="AT127" i="1"/>
  <c r="W127" i="1"/>
  <c r="AA127" i="1"/>
  <c r="AU127" i="1"/>
  <c r="R127" i="1"/>
  <c r="AD127" i="1"/>
  <c r="Y127" i="1"/>
  <c r="X127" i="1"/>
  <c r="AN127" i="1"/>
  <c r="M126" i="1"/>
  <c r="L126" i="1"/>
  <c r="K126" i="1"/>
  <c r="J126" i="1"/>
  <c r="I126" i="1"/>
  <c r="G126" i="1"/>
  <c r="F126" i="1"/>
  <c r="E126" i="1"/>
  <c r="U126" i="1" s="1"/>
  <c r="D126" i="1"/>
  <c r="Q126" i="1"/>
  <c r="S126" i="1"/>
  <c r="T126" i="1"/>
  <c r="AE126" i="1"/>
  <c r="AI126" i="1"/>
  <c r="AM126" i="1"/>
  <c r="AO126" i="1"/>
  <c r="AQ126" i="1"/>
  <c r="AT126" i="1" l="1"/>
  <c r="AD126" i="1"/>
  <c r="AB126" i="1"/>
  <c r="R126" i="1"/>
  <c r="Z126" i="1"/>
  <c r="AA126" i="1"/>
  <c r="AU126" i="1"/>
  <c r="Y126" i="1"/>
  <c r="X126" i="1"/>
  <c r="W126" i="1"/>
  <c r="AC126" i="1"/>
  <c r="AL126" i="1"/>
  <c r="AS126" i="1"/>
  <c r="AR126" i="1"/>
  <c r="AN126" i="1"/>
  <c r="P31" i="13"/>
  <c r="M125" i="1"/>
  <c r="L125" i="1"/>
  <c r="K125" i="1"/>
  <c r="AB125" i="1" s="1"/>
  <c r="J125" i="1"/>
  <c r="I125" i="1"/>
  <c r="G125" i="1"/>
  <c r="F125" i="1"/>
  <c r="AL125" i="1" s="1"/>
  <c r="E125" i="1"/>
  <c r="D125" i="1"/>
  <c r="Q125" i="1"/>
  <c r="S125" i="1"/>
  <c r="T125" i="1"/>
  <c r="AD125" i="1"/>
  <c r="AE125" i="1"/>
  <c r="AI125" i="1"/>
  <c r="AM125" i="1"/>
  <c r="AO125" i="1"/>
  <c r="AQ125" i="1"/>
  <c r="X125" i="1" l="1"/>
  <c r="AA125" i="1"/>
  <c r="AU125" i="1"/>
  <c r="AT125" i="1"/>
  <c r="AC125" i="1"/>
  <c r="Z125" i="1"/>
  <c r="AS125" i="1"/>
  <c r="R125" i="1"/>
  <c r="Y125" i="1"/>
  <c r="U125" i="1"/>
  <c r="W125" i="1"/>
  <c r="AR125" i="1"/>
  <c r="AN125" i="1"/>
  <c r="M124" i="1"/>
  <c r="L124" i="1"/>
  <c r="K124" i="1"/>
  <c r="J124" i="1"/>
  <c r="I124" i="1"/>
  <c r="G124" i="1"/>
  <c r="F124" i="1"/>
  <c r="E124" i="1"/>
  <c r="D124" i="1"/>
  <c r="Q124" i="1"/>
  <c r="S124" i="1"/>
  <c r="T124" i="1"/>
  <c r="AE124" i="1"/>
  <c r="AI124" i="1"/>
  <c r="AM124" i="1"/>
  <c r="AO124" i="1"/>
  <c r="AQ124" i="1"/>
  <c r="Y124" i="1" l="1"/>
  <c r="AU124" i="1"/>
  <c r="AT124" i="1"/>
  <c r="AC124" i="1"/>
  <c r="W124" i="1"/>
  <c r="R124" i="1"/>
  <c r="U124" i="1"/>
  <c r="AR124" i="1"/>
  <c r="X124" i="1"/>
  <c r="AS124" i="1"/>
  <c r="AB124" i="1"/>
  <c r="AA124" i="1"/>
  <c r="AD124" i="1"/>
  <c r="Z124" i="1"/>
  <c r="AL124" i="1"/>
  <c r="AN124" i="1"/>
  <c r="P30" i="13"/>
  <c r="M123" i="1"/>
  <c r="L123" i="1"/>
  <c r="K123" i="1"/>
  <c r="J123" i="1"/>
  <c r="G123" i="1"/>
  <c r="F123" i="1"/>
  <c r="E123" i="1"/>
  <c r="D123" i="1"/>
  <c r="Q123" i="1"/>
  <c r="S123" i="1"/>
  <c r="T123" i="1"/>
  <c r="AE123" i="1"/>
  <c r="AI123" i="1"/>
  <c r="AM123" i="1"/>
  <c r="AO123" i="1"/>
  <c r="AQ123" i="1"/>
  <c r="AT123" i="1" l="1"/>
  <c r="AD123" i="1"/>
  <c r="AU123" i="1"/>
  <c r="AC123" i="1"/>
  <c r="Z123" i="1"/>
  <c r="AL123" i="1"/>
  <c r="X123" i="1"/>
  <c r="AA123" i="1"/>
  <c r="AB123" i="1"/>
  <c r="AS123" i="1"/>
  <c r="R123" i="1"/>
  <c r="Y123" i="1"/>
  <c r="U123" i="1"/>
  <c r="W123" i="1"/>
  <c r="AR123" i="1"/>
  <c r="AN123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3" i="1"/>
  <c r="AS54" i="1"/>
  <c r="AS55" i="1"/>
  <c r="AS56" i="1"/>
  <c r="AS57" i="1"/>
  <c r="AS58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3" i="1"/>
  <c r="AR54" i="1"/>
  <c r="AR55" i="1"/>
  <c r="AR56" i="1"/>
  <c r="AR57" i="1"/>
  <c r="AR58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M122" i="1"/>
  <c r="L122" i="1"/>
  <c r="K122" i="1"/>
  <c r="J122" i="1"/>
  <c r="I122" i="1"/>
  <c r="G122" i="1"/>
  <c r="F122" i="1"/>
  <c r="E122" i="1"/>
  <c r="D122" i="1"/>
  <c r="Q122" i="1"/>
  <c r="S122" i="1"/>
  <c r="T122" i="1"/>
  <c r="AE122" i="1"/>
  <c r="AI122" i="1"/>
  <c r="AM122" i="1"/>
  <c r="AO122" i="1"/>
  <c r="AQ122" i="1"/>
  <c r="AT122" i="1" l="1"/>
  <c r="AU122" i="1"/>
  <c r="AL122" i="1"/>
  <c r="AR122" i="1"/>
  <c r="AD122" i="1"/>
  <c r="AS122" i="1"/>
  <c r="Z122" i="1"/>
  <c r="AA122" i="1"/>
  <c r="AB122" i="1"/>
  <c r="R122" i="1"/>
  <c r="AC122" i="1"/>
  <c r="X122" i="1"/>
  <c r="W122" i="1"/>
  <c r="Y122" i="1"/>
  <c r="U122" i="1"/>
  <c r="AN122" i="1"/>
  <c r="M121" i="1"/>
  <c r="L121" i="1"/>
  <c r="K121" i="1"/>
  <c r="J121" i="1"/>
  <c r="I121" i="1"/>
  <c r="G121" i="1"/>
  <c r="F121" i="1"/>
  <c r="E121" i="1"/>
  <c r="U121" i="1" s="1"/>
  <c r="D121" i="1"/>
  <c r="Q121" i="1"/>
  <c r="S121" i="1"/>
  <c r="T121" i="1"/>
  <c r="AE121" i="1"/>
  <c r="AI121" i="1"/>
  <c r="AM121" i="1"/>
  <c r="AO121" i="1"/>
  <c r="AQ121" i="1"/>
  <c r="W121" i="1" l="1"/>
  <c r="AB121" i="1"/>
  <c r="AT121" i="1"/>
  <c r="AA121" i="1"/>
  <c r="AU121" i="1"/>
  <c r="Z121" i="1"/>
  <c r="AD121" i="1"/>
  <c r="AC121" i="1"/>
  <c r="AL121" i="1"/>
  <c r="X121" i="1"/>
  <c r="R121" i="1"/>
  <c r="AS121" i="1"/>
  <c r="AR121" i="1"/>
  <c r="Y121" i="1"/>
  <c r="AN121" i="1"/>
  <c r="M120" i="1"/>
  <c r="L120" i="1"/>
  <c r="K120" i="1"/>
  <c r="J120" i="1"/>
  <c r="I120" i="1"/>
  <c r="G120" i="1"/>
  <c r="F120" i="1"/>
  <c r="E120" i="1"/>
  <c r="D120" i="1"/>
  <c r="Q120" i="1"/>
  <c r="S120" i="1"/>
  <c r="T120" i="1"/>
  <c r="Z120" i="1"/>
  <c r="AE120" i="1"/>
  <c r="AI120" i="1"/>
  <c r="AM120" i="1"/>
  <c r="AO120" i="1"/>
  <c r="AQ120" i="1"/>
  <c r="M119" i="1"/>
  <c r="L119" i="1"/>
  <c r="K119" i="1"/>
  <c r="J119" i="1"/>
  <c r="I119" i="1"/>
  <c r="G119" i="1"/>
  <c r="F119" i="1"/>
  <c r="E119" i="1"/>
  <c r="D119" i="1"/>
  <c r="Q119" i="1"/>
  <c r="S119" i="1"/>
  <c r="T119" i="1"/>
  <c r="AE119" i="1"/>
  <c r="AI119" i="1"/>
  <c r="AM119" i="1"/>
  <c r="AO119" i="1"/>
  <c r="AQ119" i="1"/>
  <c r="X120" i="1" l="1"/>
  <c r="AC120" i="1"/>
  <c r="AD120" i="1"/>
  <c r="AU119" i="1"/>
  <c r="AB120" i="1"/>
  <c r="AA120" i="1"/>
  <c r="AU120" i="1"/>
  <c r="AT119" i="1"/>
  <c r="AT120" i="1"/>
  <c r="AS119" i="1"/>
  <c r="AR119" i="1"/>
  <c r="AB119" i="1"/>
  <c r="W120" i="1"/>
  <c r="AR120" i="1"/>
  <c r="AS120" i="1"/>
  <c r="R120" i="1"/>
  <c r="AL120" i="1"/>
  <c r="Y120" i="1"/>
  <c r="U120" i="1"/>
  <c r="R119" i="1"/>
  <c r="AA119" i="1"/>
  <c r="AN120" i="1"/>
  <c r="Y119" i="1"/>
  <c r="W119" i="1"/>
  <c r="AC119" i="1"/>
  <c r="U119" i="1"/>
  <c r="Z119" i="1"/>
  <c r="AD119" i="1"/>
  <c r="X119" i="1"/>
  <c r="AL119" i="1"/>
  <c r="AN119" i="1"/>
  <c r="M118" i="1"/>
  <c r="L118" i="1"/>
  <c r="K118" i="1"/>
  <c r="J118" i="1"/>
  <c r="I118" i="1"/>
  <c r="G118" i="1"/>
  <c r="F118" i="1"/>
  <c r="E118" i="1"/>
  <c r="U118" i="1" s="1"/>
  <c r="D118" i="1"/>
  <c r="Q118" i="1"/>
  <c r="S118" i="1"/>
  <c r="T118" i="1"/>
  <c r="AE118" i="1"/>
  <c r="AI118" i="1"/>
  <c r="AM118" i="1"/>
  <c r="AO118" i="1"/>
  <c r="AQ118" i="1"/>
  <c r="AU118" i="1" l="1"/>
  <c r="AT118" i="1"/>
  <c r="AS118" i="1"/>
  <c r="AR118" i="1"/>
  <c r="Z118" i="1"/>
  <c r="R118" i="1"/>
  <c r="Y118" i="1"/>
  <c r="W118" i="1"/>
  <c r="AD118" i="1"/>
  <c r="AC118" i="1"/>
  <c r="AL118" i="1"/>
  <c r="AB118" i="1"/>
  <c r="X118" i="1"/>
  <c r="AA118" i="1"/>
  <c r="AN118" i="1"/>
  <c r="AQ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M117" i="1" l="1"/>
  <c r="L117" i="1"/>
  <c r="K117" i="1"/>
  <c r="J117" i="1"/>
  <c r="I117" i="1"/>
  <c r="G117" i="1"/>
  <c r="F117" i="1"/>
  <c r="E117" i="1"/>
  <c r="D117" i="1"/>
  <c r="AD117" i="1" s="1"/>
  <c r="Q117" i="1"/>
  <c r="S117" i="1"/>
  <c r="T117" i="1"/>
  <c r="Z117" i="1"/>
  <c r="AE117" i="1"/>
  <c r="AI117" i="1"/>
  <c r="AM117" i="1"/>
  <c r="AO117" i="1"/>
  <c r="R117" i="1" l="1"/>
  <c r="AB117" i="1"/>
  <c r="AA117" i="1"/>
  <c r="AU117" i="1"/>
  <c r="AT117" i="1"/>
  <c r="AC117" i="1"/>
  <c r="AS117" i="1"/>
  <c r="AR117" i="1"/>
  <c r="Y117" i="1"/>
  <c r="U117" i="1"/>
  <c r="X117" i="1"/>
  <c r="W117" i="1"/>
  <c r="AL117" i="1"/>
  <c r="AN117" i="1"/>
  <c r="M116" i="1"/>
  <c r="L116" i="1"/>
  <c r="K116" i="1"/>
  <c r="J116" i="1"/>
  <c r="I116" i="1"/>
  <c r="G116" i="1"/>
  <c r="F116" i="1"/>
  <c r="E116" i="1"/>
  <c r="U116" i="1" s="1"/>
  <c r="D116" i="1"/>
  <c r="Q116" i="1"/>
  <c r="S116" i="1"/>
  <c r="T116" i="1"/>
  <c r="AE116" i="1"/>
  <c r="AI116" i="1"/>
  <c r="AM116" i="1"/>
  <c r="AO116" i="1"/>
  <c r="AU116" i="1" l="1"/>
  <c r="AT116" i="1"/>
  <c r="W116" i="1"/>
  <c r="AC116" i="1"/>
  <c r="AR116" i="1"/>
  <c r="AS116" i="1"/>
  <c r="AB116" i="1"/>
  <c r="Z116" i="1"/>
  <c r="AD116" i="1"/>
  <c r="AA116" i="1"/>
  <c r="AL116" i="1"/>
  <c r="X116" i="1"/>
  <c r="R116" i="1"/>
  <c r="Y116" i="1"/>
  <c r="AN116" i="1"/>
  <c r="M115" i="1"/>
  <c r="L115" i="1"/>
  <c r="K115" i="1"/>
  <c r="J115" i="1"/>
  <c r="I115" i="1"/>
  <c r="G115" i="1"/>
  <c r="F115" i="1"/>
  <c r="E115" i="1"/>
  <c r="D115" i="1"/>
  <c r="Q115" i="1"/>
  <c r="S115" i="1"/>
  <c r="T115" i="1"/>
  <c r="AE115" i="1"/>
  <c r="AI115" i="1"/>
  <c r="AM115" i="1"/>
  <c r="AO115" i="1"/>
  <c r="M114" i="1"/>
  <c r="L114" i="1"/>
  <c r="K114" i="1"/>
  <c r="J114" i="1"/>
  <c r="I114" i="1"/>
  <c r="G114" i="1"/>
  <c r="F114" i="1"/>
  <c r="E114" i="1"/>
  <c r="U114" i="1" s="1"/>
  <c r="D114" i="1"/>
  <c r="Q114" i="1"/>
  <c r="S114" i="1"/>
  <c r="AN114" i="1" s="1"/>
  <c r="T114" i="1"/>
  <c r="Z114" i="1"/>
  <c r="AE114" i="1"/>
  <c r="AI114" i="1"/>
  <c r="AM114" i="1"/>
  <c r="AO114" i="1"/>
  <c r="AU114" i="1" l="1"/>
  <c r="AT114" i="1"/>
  <c r="AT115" i="1"/>
  <c r="AA115" i="1"/>
  <c r="AU115" i="1"/>
  <c r="AA114" i="1"/>
  <c r="AR114" i="1"/>
  <c r="AS114" i="1"/>
  <c r="AS115" i="1"/>
  <c r="AR115" i="1"/>
  <c r="W114" i="1"/>
  <c r="Z115" i="1"/>
  <c r="AD115" i="1"/>
  <c r="AD114" i="1"/>
  <c r="X115" i="1"/>
  <c r="Y114" i="1"/>
  <c r="W115" i="1"/>
  <c r="R115" i="1"/>
  <c r="AB115" i="1"/>
  <c r="AL114" i="1"/>
  <c r="AC114" i="1"/>
  <c r="R114" i="1"/>
  <c r="AB114" i="1"/>
  <c r="AC115" i="1"/>
  <c r="X114" i="1"/>
  <c r="AL115" i="1"/>
  <c r="Y115" i="1"/>
  <c r="U115" i="1"/>
  <c r="AN115" i="1"/>
  <c r="M113" i="1"/>
  <c r="L113" i="1"/>
  <c r="K113" i="1"/>
  <c r="J113" i="1"/>
  <c r="I113" i="1"/>
  <c r="G113" i="1"/>
  <c r="F113" i="1"/>
  <c r="E113" i="1"/>
  <c r="D113" i="1"/>
  <c r="Q113" i="1"/>
  <c r="S113" i="1"/>
  <c r="AN113" i="1" s="1"/>
  <c r="T113" i="1"/>
  <c r="AE113" i="1"/>
  <c r="AI113" i="1"/>
  <c r="AM113" i="1"/>
  <c r="AO113" i="1"/>
  <c r="AU113" i="1" l="1"/>
  <c r="AT113" i="1"/>
  <c r="AB113" i="1"/>
  <c r="AC113" i="1"/>
  <c r="AS113" i="1"/>
  <c r="AR113" i="1"/>
  <c r="AL113" i="1"/>
  <c r="R113" i="1"/>
  <c r="Y113" i="1"/>
  <c r="W113" i="1"/>
  <c r="U113" i="1"/>
  <c r="Z113" i="1"/>
  <c r="AD113" i="1"/>
  <c r="X113" i="1"/>
  <c r="AA113" i="1"/>
  <c r="M112" i="1"/>
  <c r="L112" i="1"/>
  <c r="K112" i="1"/>
  <c r="J112" i="1"/>
  <c r="I112" i="1"/>
  <c r="G112" i="1"/>
  <c r="F112" i="1"/>
  <c r="E112" i="1"/>
  <c r="D112" i="1"/>
  <c r="Z112" i="1" s="1"/>
  <c r="Q112" i="1"/>
  <c r="S112" i="1"/>
  <c r="T112" i="1"/>
  <c r="AE112" i="1"/>
  <c r="AI112" i="1"/>
  <c r="AM112" i="1"/>
  <c r="AO112" i="1"/>
  <c r="AD112" i="1" l="1"/>
  <c r="AU112" i="1"/>
  <c r="AC112" i="1"/>
  <c r="AT112" i="1"/>
  <c r="AB112" i="1"/>
  <c r="W112" i="1"/>
  <c r="AR112" i="1"/>
  <c r="AS112" i="1"/>
  <c r="X112" i="1"/>
  <c r="AA112" i="1"/>
  <c r="R112" i="1"/>
  <c r="U112" i="1"/>
  <c r="Y112" i="1"/>
  <c r="AL112" i="1"/>
  <c r="AN112" i="1"/>
  <c r="M111" i="1"/>
  <c r="L111" i="1"/>
  <c r="K111" i="1"/>
  <c r="J111" i="1"/>
  <c r="I111" i="1"/>
  <c r="F111" i="1"/>
  <c r="E111" i="1"/>
  <c r="D111" i="1"/>
  <c r="Q111" i="1"/>
  <c r="S111" i="1"/>
  <c r="T111" i="1"/>
  <c r="AE111" i="1"/>
  <c r="AI111" i="1"/>
  <c r="AM111" i="1"/>
  <c r="AO111" i="1"/>
  <c r="M110" i="1"/>
  <c r="L110" i="1"/>
  <c r="K110" i="1"/>
  <c r="J110" i="1"/>
  <c r="I110" i="1"/>
  <c r="G110" i="1"/>
  <c r="F110" i="1"/>
  <c r="E110" i="1"/>
  <c r="U110" i="1" s="1"/>
  <c r="D110" i="1"/>
  <c r="Q110" i="1"/>
  <c r="S110" i="1"/>
  <c r="T110" i="1"/>
  <c r="AE110" i="1"/>
  <c r="AI110" i="1"/>
  <c r="AM110" i="1"/>
  <c r="AO110" i="1"/>
  <c r="AU110" i="1" l="1"/>
  <c r="AT111" i="1"/>
  <c r="AU111" i="1"/>
  <c r="AT110" i="1"/>
  <c r="AS110" i="1"/>
  <c r="AR110" i="1"/>
  <c r="AB110" i="1"/>
  <c r="AS111" i="1"/>
  <c r="AR111" i="1"/>
  <c r="AA111" i="1"/>
  <c r="X111" i="1"/>
  <c r="AB111" i="1"/>
  <c r="AC110" i="1"/>
  <c r="X110" i="1"/>
  <c r="R110" i="1"/>
  <c r="Z110" i="1"/>
  <c r="Y110" i="1"/>
  <c r="W111" i="1"/>
  <c r="AC111" i="1"/>
  <c r="AA110" i="1"/>
  <c r="W110" i="1"/>
  <c r="AD111" i="1"/>
  <c r="Z111" i="1"/>
  <c r="R111" i="1"/>
  <c r="AD110" i="1"/>
  <c r="AL111" i="1"/>
  <c r="Y111" i="1"/>
  <c r="U111" i="1"/>
  <c r="AL110" i="1"/>
  <c r="AN111" i="1"/>
  <c r="AN110" i="1"/>
  <c r="M109" i="1"/>
  <c r="L109" i="1"/>
  <c r="K109" i="1"/>
  <c r="J109" i="1"/>
  <c r="I109" i="1"/>
  <c r="G109" i="1"/>
  <c r="F109" i="1"/>
  <c r="E109" i="1"/>
  <c r="D109" i="1"/>
  <c r="Z109" i="1" s="1"/>
  <c r="Q109" i="1"/>
  <c r="S109" i="1"/>
  <c r="AN109" i="1" s="1"/>
  <c r="T109" i="1"/>
  <c r="AE109" i="1"/>
  <c r="AI109" i="1"/>
  <c r="AM109" i="1"/>
  <c r="AO109" i="1"/>
  <c r="AU109" i="1" l="1"/>
  <c r="AT109" i="1"/>
  <c r="AD109" i="1"/>
  <c r="AA109" i="1"/>
  <c r="AS109" i="1"/>
  <c r="AR109" i="1"/>
  <c r="AC109" i="1"/>
  <c r="X109" i="1"/>
  <c r="W109" i="1"/>
  <c r="AB109" i="1"/>
  <c r="R109" i="1"/>
  <c r="AL109" i="1"/>
  <c r="Y109" i="1"/>
  <c r="U109" i="1"/>
  <c r="M108" i="1"/>
  <c r="L108" i="1"/>
  <c r="K108" i="1"/>
  <c r="J108" i="1"/>
  <c r="I108" i="1"/>
  <c r="G108" i="1"/>
  <c r="F108" i="1"/>
  <c r="E108" i="1"/>
  <c r="D108" i="1"/>
  <c r="Q108" i="1"/>
  <c r="S108" i="1"/>
  <c r="T108" i="1"/>
  <c r="AE108" i="1"/>
  <c r="AI108" i="1"/>
  <c r="AM108" i="1"/>
  <c r="AO108" i="1"/>
  <c r="AU108" i="1" l="1"/>
  <c r="AT108" i="1"/>
  <c r="AR108" i="1"/>
  <c r="AS108" i="1"/>
  <c r="AB108" i="1"/>
  <c r="X108" i="1"/>
  <c r="AA108" i="1"/>
  <c r="AL108" i="1"/>
  <c r="U108" i="1"/>
  <c r="Z108" i="1"/>
  <c r="Y108" i="1"/>
  <c r="AC108" i="1"/>
  <c r="W108" i="1"/>
  <c r="AD108" i="1"/>
  <c r="R108" i="1"/>
  <c r="AN108" i="1"/>
  <c r="N3" i="13"/>
  <c r="N2" i="13"/>
  <c r="M3" i="13"/>
  <c r="M2" i="13"/>
  <c r="L3" i="13"/>
  <c r="L2" i="13"/>
  <c r="C71" i="13"/>
  <c r="B66" i="13" s="1"/>
  <c r="F79" i="13"/>
  <c r="A75" i="13" s="1"/>
  <c r="M107" i="1"/>
  <c r="L107" i="1"/>
  <c r="K107" i="1"/>
  <c r="J107" i="1"/>
  <c r="I107" i="1"/>
  <c r="E107" i="1"/>
  <c r="U107" i="1" s="1"/>
  <c r="F107" i="1"/>
  <c r="D107" i="1"/>
  <c r="AT107" i="1" s="1"/>
  <c r="Q107" i="1"/>
  <c r="S107" i="1"/>
  <c r="T107" i="1"/>
  <c r="AE107" i="1"/>
  <c r="AI107" i="1"/>
  <c r="AM107" i="1"/>
  <c r="AO107" i="1"/>
  <c r="AU107" i="1" l="1"/>
  <c r="AS107" i="1"/>
  <c r="AR107" i="1"/>
  <c r="AB107" i="1"/>
  <c r="W107" i="1"/>
  <c r="C55" i="13"/>
  <c r="C56" i="13"/>
  <c r="C60" i="13"/>
  <c r="B55" i="13"/>
  <c r="B59" i="13"/>
  <c r="B63" i="13"/>
  <c r="B56" i="13"/>
  <c r="B60" i="13"/>
  <c r="B64" i="13"/>
  <c r="B57" i="13"/>
  <c r="B61" i="13"/>
  <c r="B65" i="13"/>
  <c r="B58" i="13"/>
  <c r="B62" i="13"/>
  <c r="B78" i="13"/>
  <c r="B82" i="13"/>
  <c r="B86" i="13"/>
  <c r="B79" i="13"/>
  <c r="B83" i="13"/>
  <c r="B87" i="13"/>
  <c r="B80" i="13"/>
  <c r="B84" i="13"/>
  <c r="B88" i="13"/>
  <c r="B81" i="13"/>
  <c r="B85" i="13"/>
  <c r="B89" i="13"/>
  <c r="A53" i="13"/>
  <c r="AA107" i="1"/>
  <c r="AL107" i="1"/>
  <c r="AC107" i="1"/>
  <c r="X107" i="1"/>
  <c r="AD107" i="1"/>
  <c r="Z107" i="1"/>
  <c r="R107" i="1"/>
  <c r="Y107" i="1"/>
  <c r="AN107" i="1"/>
  <c r="AO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M106" i="1"/>
  <c r="L106" i="1"/>
  <c r="K106" i="1"/>
  <c r="J106" i="1"/>
  <c r="I106" i="1"/>
  <c r="G106" i="1"/>
  <c r="F106" i="1"/>
  <c r="E106" i="1"/>
  <c r="D106" i="1"/>
  <c r="Q106" i="1"/>
  <c r="S106" i="1"/>
  <c r="T106" i="1"/>
  <c r="AE106" i="1"/>
  <c r="AI106" i="1"/>
  <c r="AM106" i="1"/>
  <c r="M105" i="1"/>
  <c r="L105" i="1"/>
  <c r="K105" i="1"/>
  <c r="J105" i="1"/>
  <c r="I105" i="1"/>
  <c r="G105" i="1"/>
  <c r="F105" i="1"/>
  <c r="E105" i="1"/>
  <c r="D105" i="1"/>
  <c r="AT105" i="1" s="1"/>
  <c r="Q105" i="1"/>
  <c r="S105" i="1"/>
  <c r="AN105" i="1" s="1"/>
  <c r="T105" i="1"/>
  <c r="AD105" i="1"/>
  <c r="AE105" i="1"/>
  <c r="AI105" i="1"/>
  <c r="AM105" i="1"/>
  <c r="M104" i="1"/>
  <c r="L104" i="1"/>
  <c r="K104" i="1"/>
  <c r="J104" i="1"/>
  <c r="I104" i="1"/>
  <c r="G104" i="1"/>
  <c r="F104" i="1"/>
  <c r="E104" i="1"/>
  <c r="D104" i="1"/>
  <c r="Q104" i="1"/>
  <c r="S104" i="1"/>
  <c r="T104" i="1"/>
  <c r="AE104" i="1"/>
  <c r="AI104" i="1"/>
  <c r="AM104" i="1"/>
  <c r="M103" i="1"/>
  <c r="L103" i="1"/>
  <c r="K103" i="1"/>
  <c r="J103" i="1"/>
  <c r="I103" i="1"/>
  <c r="G103" i="1"/>
  <c r="F103" i="1"/>
  <c r="E103" i="1"/>
  <c r="D103" i="1"/>
  <c r="AT103" i="1" s="1"/>
  <c r="Q103" i="1"/>
  <c r="S103" i="1"/>
  <c r="AN103" i="1" s="1"/>
  <c r="T103" i="1"/>
  <c r="AE103" i="1"/>
  <c r="AI103" i="1"/>
  <c r="AM103" i="1"/>
  <c r="M102" i="1"/>
  <c r="L102" i="1"/>
  <c r="K102" i="1"/>
  <c r="J102" i="1"/>
  <c r="I102" i="1"/>
  <c r="G102" i="1"/>
  <c r="F102" i="1"/>
  <c r="E102" i="1"/>
  <c r="U102" i="1" s="1"/>
  <c r="D102" i="1"/>
  <c r="Q102" i="1"/>
  <c r="S102" i="1"/>
  <c r="AN102" i="1" s="1"/>
  <c r="T102" i="1"/>
  <c r="AE102" i="1"/>
  <c r="AI102" i="1"/>
  <c r="AM102" i="1"/>
  <c r="AT102" i="1" l="1"/>
  <c r="AT106" i="1"/>
  <c r="AT104" i="1"/>
  <c r="AU106" i="1"/>
  <c r="AU102" i="1"/>
  <c r="AA103" i="1"/>
  <c r="AU103" i="1"/>
  <c r="AU104" i="1"/>
  <c r="AU105" i="1"/>
  <c r="Z104" i="1"/>
  <c r="AS105" i="1"/>
  <c r="AR105" i="1"/>
  <c r="AR102" i="1"/>
  <c r="AS102" i="1"/>
  <c r="AC104" i="1"/>
  <c r="AS103" i="1"/>
  <c r="AR103" i="1"/>
  <c r="AR104" i="1"/>
  <c r="AS104" i="1"/>
  <c r="AS106" i="1"/>
  <c r="AR106" i="1"/>
  <c r="Y106" i="1"/>
  <c r="W105" i="1"/>
  <c r="AA105" i="1"/>
  <c r="AB102" i="1"/>
  <c r="AC103" i="1"/>
  <c r="W103" i="1"/>
  <c r="W106" i="1"/>
  <c r="AA104" i="1"/>
  <c r="AC105" i="1"/>
  <c r="Z105" i="1"/>
  <c r="AD106" i="1"/>
  <c r="Z106" i="1"/>
  <c r="AD104" i="1"/>
  <c r="X102" i="1"/>
  <c r="AD103" i="1"/>
  <c r="AA106" i="1"/>
  <c r="Z103" i="1"/>
  <c r="X103" i="1"/>
  <c r="AC106" i="1"/>
  <c r="X106" i="1"/>
  <c r="AL103" i="1"/>
  <c r="R102" i="1"/>
  <c r="U106" i="1"/>
  <c r="X104" i="1"/>
  <c r="AB105" i="1"/>
  <c r="X105" i="1"/>
  <c r="AC102" i="1"/>
  <c r="Z102" i="1"/>
  <c r="Y102" i="1"/>
  <c r="AB103" i="1"/>
  <c r="AB104" i="1"/>
  <c r="AL104" i="1"/>
  <c r="AL105" i="1"/>
  <c r="R106" i="1"/>
  <c r="AL106" i="1"/>
  <c r="AB106" i="1"/>
  <c r="R103" i="1"/>
  <c r="R104" i="1"/>
  <c r="R105" i="1"/>
  <c r="W104" i="1"/>
  <c r="AD102" i="1"/>
  <c r="Y103" i="1"/>
  <c r="U103" i="1"/>
  <c r="Y104" i="1"/>
  <c r="U104" i="1"/>
  <c r="Y105" i="1"/>
  <c r="U105" i="1"/>
  <c r="AA102" i="1"/>
  <c r="W102" i="1"/>
  <c r="AL102" i="1"/>
  <c r="AN104" i="1"/>
  <c r="AN106" i="1"/>
  <c r="M101" i="1"/>
  <c r="L101" i="1"/>
  <c r="K101" i="1"/>
  <c r="J101" i="1"/>
  <c r="I101" i="1"/>
  <c r="G101" i="1"/>
  <c r="F101" i="1"/>
  <c r="E101" i="1"/>
  <c r="D101" i="1"/>
  <c r="Q101" i="1"/>
  <c r="S101" i="1"/>
  <c r="AN101" i="1" s="1"/>
  <c r="T101" i="1"/>
  <c r="AE101" i="1"/>
  <c r="AI101" i="1"/>
  <c r="AM101" i="1"/>
  <c r="M100" i="1"/>
  <c r="L100" i="1"/>
  <c r="K100" i="1"/>
  <c r="J100" i="1"/>
  <c r="AU100" i="1" s="1"/>
  <c r="I100" i="1"/>
  <c r="G100" i="1"/>
  <c r="F100" i="1"/>
  <c r="E100" i="1"/>
  <c r="D100" i="1"/>
  <c r="Q100" i="1"/>
  <c r="S100" i="1"/>
  <c r="AN100" i="1" s="1"/>
  <c r="T100" i="1"/>
  <c r="AD100" i="1"/>
  <c r="AE100" i="1"/>
  <c r="AI100" i="1"/>
  <c r="AM100" i="1"/>
  <c r="AT100" i="1" l="1"/>
  <c r="AT101" i="1"/>
  <c r="AU101" i="1"/>
  <c r="AS101" i="1"/>
  <c r="AR101" i="1"/>
  <c r="AR100" i="1"/>
  <c r="AS100" i="1"/>
  <c r="AB100" i="1"/>
  <c r="AC101" i="1"/>
  <c r="AL100" i="1"/>
  <c r="AA101" i="1"/>
  <c r="AC100" i="1"/>
  <c r="Y101" i="1"/>
  <c r="W100" i="1"/>
  <c r="AA100" i="1"/>
  <c r="X100" i="1"/>
  <c r="Z101" i="1"/>
  <c r="AD101" i="1"/>
  <c r="U100" i="1"/>
  <c r="R100" i="1"/>
  <c r="AL101" i="1"/>
  <c r="AB101" i="1"/>
  <c r="W101" i="1"/>
  <c r="X101" i="1"/>
  <c r="Y100" i="1"/>
  <c r="R101" i="1"/>
  <c r="Z100" i="1"/>
  <c r="U101" i="1"/>
  <c r="E5" i="1"/>
  <c r="E4" i="1"/>
  <c r="E3" i="1"/>
  <c r="E2" i="1"/>
  <c r="AS5" i="1" l="1"/>
  <c r="AR5" i="1"/>
  <c r="AS3" i="1"/>
  <c r="AR3" i="1"/>
  <c r="AR4" i="1"/>
  <c r="AS4" i="1"/>
  <c r="AS2" i="1"/>
  <c r="AR2" i="1"/>
  <c r="Y2" i="13" a="1"/>
  <c r="Y2" i="13" s="1"/>
  <c r="M99" i="1"/>
  <c r="L99" i="1"/>
  <c r="K99" i="1"/>
  <c r="J99" i="1"/>
  <c r="AU99" i="1" s="1"/>
  <c r="I99" i="1"/>
  <c r="F99" i="1"/>
  <c r="E99" i="1"/>
  <c r="D99" i="1"/>
  <c r="Q99" i="1"/>
  <c r="S99" i="1"/>
  <c r="AN99" i="1" s="1"/>
  <c r="T99" i="1"/>
  <c r="U99" i="1"/>
  <c r="AE99" i="1"/>
  <c r="AI99" i="1"/>
  <c r="AM99" i="1"/>
  <c r="AT99" i="1" l="1"/>
  <c r="AS99" i="1"/>
  <c r="AR99" i="1"/>
  <c r="R99" i="1"/>
  <c r="Y99" i="1"/>
  <c r="Z99" i="1"/>
  <c r="W99" i="1"/>
  <c r="X99" i="1"/>
  <c r="AA99" i="1"/>
  <c r="AD99" i="1"/>
  <c r="AB99" i="1"/>
  <c r="AL99" i="1"/>
  <c r="AC99" i="1"/>
  <c r="M98" i="1"/>
  <c r="L98" i="1"/>
  <c r="K98" i="1"/>
  <c r="J98" i="1"/>
  <c r="I98" i="1"/>
  <c r="G98" i="1"/>
  <c r="F98" i="1"/>
  <c r="E98" i="1"/>
  <c r="U98" i="1" s="1"/>
  <c r="D98" i="1"/>
  <c r="Q98" i="1"/>
  <c r="S98" i="1"/>
  <c r="AN98" i="1" s="1"/>
  <c r="T98" i="1"/>
  <c r="AE98" i="1"/>
  <c r="AI98" i="1"/>
  <c r="AM98" i="1"/>
  <c r="M97" i="1"/>
  <c r="L97" i="1"/>
  <c r="K97" i="1"/>
  <c r="J97" i="1"/>
  <c r="I97" i="1"/>
  <c r="F97" i="1"/>
  <c r="E97" i="1"/>
  <c r="U97" i="1" s="1"/>
  <c r="D97" i="1"/>
  <c r="Q97" i="1"/>
  <c r="S97" i="1"/>
  <c r="AN97" i="1" s="1"/>
  <c r="T97" i="1"/>
  <c r="AE97" i="1"/>
  <c r="AI97" i="1"/>
  <c r="AM97" i="1"/>
  <c r="AT98" i="1" l="1"/>
  <c r="AT97" i="1"/>
  <c r="AU97" i="1"/>
  <c r="AU98" i="1"/>
  <c r="AS98" i="1"/>
  <c r="AR98" i="1"/>
  <c r="AS97" i="1"/>
  <c r="AR97" i="1"/>
  <c r="Z98" i="1"/>
  <c r="W98" i="1"/>
  <c r="AD97" i="1"/>
  <c r="AD98" i="1"/>
  <c r="AC97" i="1"/>
  <c r="AL97" i="1"/>
  <c r="Z97" i="1"/>
  <c r="AB97" i="1"/>
  <c r="AA98" i="1"/>
  <c r="Y98" i="1"/>
  <c r="R97" i="1"/>
  <c r="W97" i="1"/>
  <c r="X98" i="1"/>
  <c r="R98" i="1"/>
  <c r="AL98" i="1"/>
  <c r="AB98" i="1"/>
  <c r="X97" i="1"/>
  <c r="AA97" i="1"/>
  <c r="AC98" i="1"/>
  <c r="Y97" i="1"/>
  <c r="M96" i="1"/>
  <c r="L96" i="1"/>
  <c r="K96" i="1"/>
  <c r="J96" i="1"/>
  <c r="I96" i="1"/>
  <c r="G96" i="1"/>
  <c r="F96" i="1"/>
  <c r="E96" i="1"/>
  <c r="U96" i="1" s="1"/>
  <c r="D96" i="1"/>
  <c r="Q96" i="1"/>
  <c r="S96" i="1"/>
  <c r="AN96" i="1" s="1"/>
  <c r="T96" i="1"/>
  <c r="AE96" i="1"/>
  <c r="AI96" i="1"/>
  <c r="AM96" i="1"/>
  <c r="M95" i="1"/>
  <c r="L95" i="1"/>
  <c r="K95" i="1"/>
  <c r="J95" i="1"/>
  <c r="I95" i="1"/>
  <c r="G95" i="1"/>
  <c r="F95" i="1"/>
  <c r="E95" i="1"/>
  <c r="U95" i="1" s="1"/>
  <c r="D95" i="1"/>
  <c r="Q95" i="1"/>
  <c r="S95" i="1"/>
  <c r="AN95" i="1" s="1"/>
  <c r="T95" i="1"/>
  <c r="AD95" i="1"/>
  <c r="AE95" i="1"/>
  <c r="AI95" i="1"/>
  <c r="AM95" i="1"/>
  <c r="M94" i="1"/>
  <c r="L94" i="1"/>
  <c r="K94" i="1"/>
  <c r="J94" i="1"/>
  <c r="I94" i="1"/>
  <c r="F94" i="1"/>
  <c r="E94" i="1"/>
  <c r="U94" i="1" s="1"/>
  <c r="D94" i="1"/>
  <c r="Q94" i="1"/>
  <c r="S94" i="1"/>
  <c r="AN94" i="1" s="1"/>
  <c r="T94" i="1"/>
  <c r="AE94" i="1"/>
  <c r="AI94" i="1"/>
  <c r="AM94" i="1"/>
  <c r="AE21" i="1"/>
  <c r="AE16" i="1"/>
  <c r="AE17" i="1"/>
  <c r="AE18" i="1"/>
  <c r="AE19" i="1"/>
  <c r="AE20" i="1"/>
  <c r="M93" i="1"/>
  <c r="L93" i="1"/>
  <c r="K93" i="1"/>
  <c r="J93" i="1"/>
  <c r="I93" i="1"/>
  <c r="G93" i="1"/>
  <c r="F93" i="1"/>
  <c r="E93" i="1"/>
  <c r="D93" i="1"/>
  <c r="Q93" i="1"/>
  <c r="S93" i="1"/>
  <c r="AN93" i="1" s="1"/>
  <c r="T93" i="1"/>
  <c r="AD93" i="1"/>
  <c r="AI93" i="1"/>
  <c r="AM93" i="1"/>
  <c r="M92" i="1"/>
  <c r="L92" i="1"/>
  <c r="K92" i="1"/>
  <c r="J92" i="1"/>
  <c r="I92" i="1"/>
  <c r="F92" i="1"/>
  <c r="E92" i="1"/>
  <c r="D92" i="1"/>
  <c r="M91" i="1"/>
  <c r="L91" i="1"/>
  <c r="K91" i="1"/>
  <c r="J91" i="1"/>
  <c r="I91" i="1"/>
  <c r="G91" i="1"/>
  <c r="F91" i="1"/>
  <c r="E91" i="1"/>
  <c r="U91" i="1" s="1"/>
  <c r="D91" i="1"/>
  <c r="Q92" i="1"/>
  <c r="S92" i="1"/>
  <c r="AN92" i="1" s="1"/>
  <c r="T92" i="1"/>
  <c r="AI92" i="1"/>
  <c r="AM92" i="1"/>
  <c r="Q91" i="1"/>
  <c r="S91" i="1"/>
  <c r="AN91" i="1" s="1"/>
  <c r="T91" i="1"/>
  <c r="AI91" i="1"/>
  <c r="AM91" i="1"/>
  <c r="AT92" i="1" l="1"/>
  <c r="AT96" i="1"/>
  <c r="AT95" i="1"/>
  <c r="AT91" i="1"/>
  <c r="AU93" i="1"/>
  <c r="AT94" i="1"/>
  <c r="AU94" i="1"/>
  <c r="AU95" i="1"/>
  <c r="AU91" i="1"/>
  <c r="AU92" i="1"/>
  <c r="AT93" i="1"/>
  <c r="AU96" i="1"/>
  <c r="AS91" i="1"/>
  <c r="AR91" i="1"/>
  <c r="AR92" i="1"/>
  <c r="AS92" i="1"/>
  <c r="AR96" i="1"/>
  <c r="AS96" i="1"/>
  <c r="AS95" i="1"/>
  <c r="AR95" i="1"/>
  <c r="AS93" i="1"/>
  <c r="AR93" i="1"/>
  <c r="AR94" i="1"/>
  <c r="AS94" i="1"/>
  <c r="Y96" i="1"/>
  <c r="AD92" i="1"/>
  <c r="AL94" i="1"/>
  <c r="R96" i="1"/>
  <c r="Z92" i="1"/>
  <c r="AL93" i="1"/>
  <c r="AB93" i="1"/>
  <c r="AL95" i="1"/>
  <c r="X94" i="1"/>
  <c r="W94" i="1"/>
  <c r="AC94" i="1"/>
  <c r="AA94" i="1"/>
  <c r="Y95" i="1"/>
  <c r="R95" i="1"/>
  <c r="AD96" i="1"/>
  <c r="AB96" i="1"/>
  <c r="Z96" i="1"/>
  <c r="X95" i="1"/>
  <c r="AC95" i="1"/>
  <c r="W95" i="1"/>
  <c r="AA95" i="1"/>
  <c r="W96" i="1"/>
  <c r="X96" i="1"/>
  <c r="AA96" i="1"/>
  <c r="Y91" i="1"/>
  <c r="Z95" i="1"/>
  <c r="AB94" i="1"/>
  <c r="AB95" i="1"/>
  <c r="AL96" i="1"/>
  <c r="AC96" i="1"/>
  <c r="AL91" i="1"/>
  <c r="Y93" i="1"/>
  <c r="Z94" i="1"/>
  <c r="R94" i="1"/>
  <c r="AL92" i="1"/>
  <c r="AC92" i="1"/>
  <c r="AC93" i="1"/>
  <c r="AD94" i="1"/>
  <c r="Y94" i="1"/>
  <c r="AD91" i="1"/>
  <c r="R92" i="1"/>
  <c r="R91" i="1"/>
  <c r="X93" i="1"/>
  <c r="AA93" i="1"/>
  <c r="AA92" i="1"/>
  <c r="R93" i="1"/>
  <c r="Z91" i="1"/>
  <c r="X91" i="1"/>
  <c r="W93" i="1"/>
  <c r="W91" i="1"/>
  <c r="Y92" i="1"/>
  <c r="AB91" i="1"/>
  <c r="AB92" i="1"/>
  <c r="U93" i="1"/>
  <c r="W92" i="1"/>
  <c r="AC91" i="1"/>
  <c r="Z93" i="1"/>
  <c r="U92" i="1"/>
  <c r="X92" i="1"/>
  <c r="AA91" i="1"/>
  <c r="AB4" i="13"/>
  <c r="AB5" i="13" s="1"/>
  <c r="AB6" i="13" s="1"/>
  <c r="T4" i="13"/>
  <c r="T5" i="13" s="1"/>
  <c r="T6" i="13" s="1"/>
  <c r="T7" i="13" s="1"/>
  <c r="T8" i="13" s="1"/>
  <c r="T9" i="13" s="1"/>
  <c r="T10" i="13" s="1"/>
  <c r="M90" i="1" l="1"/>
  <c r="L90" i="1"/>
  <c r="K90" i="1"/>
  <c r="J90" i="1"/>
  <c r="I90" i="1"/>
  <c r="G90" i="1"/>
  <c r="F90" i="1"/>
  <c r="E90" i="1"/>
  <c r="D90" i="1"/>
  <c r="Q90" i="1"/>
  <c r="S90" i="1"/>
  <c r="AN90" i="1" s="1"/>
  <c r="T90" i="1"/>
  <c r="Z90" i="1"/>
  <c r="AI90" i="1"/>
  <c r="AM90" i="1"/>
  <c r="Q88" i="1"/>
  <c r="Q89" i="1"/>
  <c r="M89" i="1"/>
  <c r="L89" i="1"/>
  <c r="K89" i="1"/>
  <c r="J89" i="1"/>
  <c r="I89" i="1"/>
  <c r="G89" i="1"/>
  <c r="F89" i="1"/>
  <c r="E89" i="1"/>
  <c r="U89" i="1" s="1"/>
  <c r="D89" i="1"/>
  <c r="S89" i="1"/>
  <c r="T89" i="1"/>
  <c r="AI89" i="1"/>
  <c r="AM89" i="1"/>
  <c r="F88" i="1"/>
  <c r="Q84" i="1"/>
  <c r="Q85" i="1"/>
  <c r="Q86" i="1"/>
  <c r="Q87" i="1"/>
  <c r="M88" i="1"/>
  <c r="L88" i="1"/>
  <c r="K88" i="1"/>
  <c r="J88" i="1"/>
  <c r="I88" i="1"/>
  <c r="E88" i="1"/>
  <c r="D88" i="1"/>
  <c r="AT88" i="1" s="1"/>
  <c r="S88" i="1"/>
  <c r="AN88" i="1" s="1"/>
  <c r="T88" i="1"/>
  <c r="AI88" i="1"/>
  <c r="AL88" i="1"/>
  <c r="AM88" i="1"/>
  <c r="O3" i="27"/>
  <c r="O2" i="27"/>
  <c r="E3" i="27"/>
  <c r="M87" i="1"/>
  <c r="L87" i="1"/>
  <c r="AC87" i="1" s="1"/>
  <c r="K87" i="1"/>
  <c r="J87" i="1"/>
  <c r="I87" i="1"/>
  <c r="G87" i="1"/>
  <c r="F87" i="1"/>
  <c r="E87" i="1"/>
  <c r="U87" i="1" s="1"/>
  <c r="D87" i="1"/>
  <c r="AT87" i="1" s="1"/>
  <c r="S87" i="1"/>
  <c r="AN87" i="1" s="1"/>
  <c r="T87" i="1"/>
  <c r="AI87" i="1"/>
  <c r="AM87" i="1"/>
  <c r="AU87" i="1" l="1"/>
  <c r="AU88" i="1"/>
  <c r="AU90" i="1"/>
  <c r="AT89" i="1"/>
  <c r="AU89" i="1"/>
  <c r="AD90" i="1"/>
  <c r="AT90" i="1"/>
  <c r="AS89" i="1"/>
  <c r="AR89" i="1"/>
  <c r="AS90" i="1"/>
  <c r="AR90" i="1"/>
  <c r="AR88" i="1"/>
  <c r="AS88" i="1"/>
  <c r="AS87" i="1"/>
  <c r="AR87" i="1"/>
  <c r="AL90" i="1"/>
  <c r="AA87" i="1"/>
  <c r="X90" i="1"/>
  <c r="AL87" i="1"/>
  <c r="AC90" i="1"/>
  <c r="AA90" i="1"/>
  <c r="AB90" i="1"/>
  <c r="AL89" i="1"/>
  <c r="AB89" i="1"/>
  <c r="AD89" i="1"/>
  <c r="W87" i="1"/>
  <c r="W89" i="1"/>
  <c r="R90" i="1"/>
  <c r="AC88" i="1"/>
  <c r="Z88" i="1"/>
  <c r="W88" i="1"/>
  <c r="W90" i="1"/>
  <c r="AA89" i="1"/>
  <c r="AD88" i="1"/>
  <c r="X89" i="1"/>
  <c r="AC89" i="1"/>
  <c r="X88" i="1"/>
  <c r="X87" i="1"/>
  <c r="Z87" i="1"/>
  <c r="AA88" i="1"/>
  <c r="R88" i="1"/>
  <c r="R89" i="1"/>
  <c r="AD87" i="1"/>
  <c r="AB87" i="1"/>
  <c r="AB88" i="1"/>
  <c r="Y89" i="1"/>
  <c r="Z89" i="1"/>
  <c r="Y90" i="1"/>
  <c r="U90" i="1"/>
  <c r="Y88" i="1"/>
  <c r="U88" i="1"/>
  <c r="R87" i="1"/>
  <c r="Y87" i="1"/>
  <c r="Q80" i="1"/>
  <c r="Q81" i="1"/>
  <c r="Q82" i="1"/>
  <c r="Q83" i="1"/>
  <c r="M86" i="1"/>
  <c r="L86" i="1"/>
  <c r="K86" i="1"/>
  <c r="J86" i="1"/>
  <c r="I86" i="1"/>
  <c r="F86" i="1"/>
  <c r="E86" i="1"/>
  <c r="U86" i="1" s="1"/>
  <c r="S86" i="1"/>
  <c r="AN86" i="1" s="1"/>
  <c r="T86" i="1"/>
  <c r="AI86" i="1"/>
  <c r="AM86" i="1"/>
  <c r="AU86" i="1" l="1"/>
  <c r="AS86" i="1"/>
  <c r="AR86" i="1"/>
  <c r="R86" i="1"/>
  <c r="W86" i="1"/>
  <c r="D86" i="1"/>
  <c r="V86" i="1" s="1"/>
  <c r="X86" i="1"/>
  <c r="Y86" i="1"/>
  <c r="AF2" i="1"/>
  <c r="Z86" i="1" l="1"/>
  <c r="AT86" i="1"/>
  <c r="AL86" i="1"/>
  <c r="AB86" i="1"/>
  <c r="AD86" i="1"/>
  <c r="AC86" i="1"/>
  <c r="AA86" i="1"/>
  <c r="M85" i="1"/>
  <c r="L85" i="1"/>
  <c r="K85" i="1"/>
  <c r="J85" i="1"/>
  <c r="I85" i="1"/>
  <c r="F85" i="1"/>
  <c r="E85" i="1"/>
  <c r="D85" i="1"/>
  <c r="S85" i="1"/>
  <c r="AN85" i="1" s="1"/>
  <c r="T85" i="1"/>
  <c r="AI85" i="1"/>
  <c r="AM85" i="1"/>
  <c r="AU85" i="1" l="1"/>
  <c r="AT85" i="1"/>
  <c r="AS85" i="1"/>
  <c r="AR85" i="1"/>
  <c r="AD85" i="1"/>
  <c r="AB85" i="1"/>
  <c r="AL85" i="1"/>
  <c r="AC85" i="1"/>
  <c r="Z85" i="1"/>
  <c r="AA85" i="1"/>
  <c r="X85" i="1"/>
  <c r="W85" i="1"/>
  <c r="R85" i="1"/>
  <c r="Y85" i="1"/>
  <c r="U85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2" i="1"/>
  <c r="M84" i="1"/>
  <c r="L84" i="1"/>
  <c r="K84" i="1"/>
  <c r="J84" i="1"/>
  <c r="I84" i="1"/>
  <c r="F84" i="1"/>
  <c r="E84" i="1"/>
  <c r="D84" i="1"/>
  <c r="S84" i="1"/>
  <c r="AN84" i="1" s="1"/>
  <c r="T84" i="1"/>
  <c r="AM84" i="1"/>
  <c r="M83" i="1"/>
  <c r="L83" i="1"/>
  <c r="K83" i="1"/>
  <c r="J83" i="1"/>
  <c r="I83" i="1"/>
  <c r="F83" i="1"/>
  <c r="E83" i="1"/>
  <c r="D83" i="1"/>
  <c r="S83" i="1"/>
  <c r="AN83" i="1" s="1"/>
  <c r="T83" i="1"/>
  <c r="AM83" i="1"/>
  <c r="AT84" i="1" l="1"/>
  <c r="AU84" i="1"/>
  <c r="AT83" i="1"/>
  <c r="AU83" i="1"/>
  <c r="AR84" i="1"/>
  <c r="AS84" i="1"/>
  <c r="AS83" i="1"/>
  <c r="AR83" i="1"/>
  <c r="AD84" i="1"/>
  <c r="R84" i="1"/>
  <c r="AB84" i="1"/>
  <c r="Z84" i="1"/>
  <c r="X84" i="1"/>
  <c r="AC83" i="1"/>
  <c r="AD83" i="1"/>
  <c r="AC84" i="1"/>
  <c r="AL84" i="1"/>
  <c r="W84" i="1"/>
  <c r="G3" i="27"/>
  <c r="X83" i="1"/>
  <c r="AB83" i="1"/>
  <c r="Y84" i="1"/>
  <c r="U84" i="1"/>
  <c r="AA84" i="1"/>
  <c r="AL83" i="1"/>
  <c r="Z83" i="1"/>
  <c r="AA83" i="1"/>
  <c r="W83" i="1"/>
  <c r="R83" i="1"/>
  <c r="Y83" i="1"/>
  <c r="U83" i="1"/>
  <c r="Q79" i="1"/>
  <c r="M82" i="1"/>
  <c r="L82" i="1"/>
  <c r="K82" i="1"/>
  <c r="J82" i="1"/>
  <c r="I82" i="1"/>
  <c r="F82" i="1"/>
  <c r="E82" i="1"/>
  <c r="D82" i="1"/>
  <c r="S82" i="1"/>
  <c r="AN82" i="1" s="1"/>
  <c r="T82" i="1"/>
  <c r="AM82" i="1"/>
  <c r="AT82" i="1" l="1"/>
  <c r="AU82" i="1"/>
  <c r="AS82" i="1"/>
  <c r="AR82" i="1"/>
  <c r="AD82" i="1"/>
  <c r="AL82" i="1"/>
  <c r="AC82" i="1"/>
  <c r="AA82" i="1"/>
  <c r="X82" i="1"/>
  <c r="AB82" i="1"/>
  <c r="Z82" i="1"/>
  <c r="W82" i="1"/>
  <c r="R82" i="1"/>
  <c r="Y82" i="1"/>
  <c r="U82" i="1"/>
  <c r="AL5" i="1"/>
  <c r="AL7" i="1"/>
  <c r="AL8" i="1"/>
  <c r="AL9" i="1"/>
  <c r="AL20" i="1"/>
  <c r="Q74" i="1"/>
  <c r="Q75" i="1"/>
  <c r="Q76" i="1"/>
  <c r="Q77" i="1"/>
  <c r="Q78" i="1"/>
  <c r="M81" i="1"/>
  <c r="L81" i="1"/>
  <c r="K81" i="1"/>
  <c r="J81" i="1"/>
  <c r="I81" i="1"/>
  <c r="F81" i="1"/>
  <c r="E81" i="1"/>
  <c r="D81" i="1"/>
  <c r="S81" i="1"/>
  <c r="AN81" i="1" s="1"/>
  <c r="T81" i="1"/>
  <c r="AM81" i="1"/>
  <c r="AT81" i="1" l="1"/>
  <c r="AU81" i="1"/>
  <c r="AS81" i="1"/>
  <c r="AR81" i="1"/>
  <c r="AD81" i="1"/>
  <c r="R81" i="1"/>
  <c r="U81" i="1"/>
  <c r="Y81" i="1"/>
  <c r="X81" i="1"/>
  <c r="AA81" i="1"/>
  <c r="AB81" i="1"/>
  <c r="AC81" i="1"/>
  <c r="AL81" i="1"/>
  <c r="W81" i="1"/>
  <c r="Z81" i="1"/>
  <c r="M80" i="1"/>
  <c r="L80" i="1"/>
  <c r="K80" i="1"/>
  <c r="J80" i="1"/>
  <c r="I80" i="1"/>
  <c r="F80" i="1"/>
  <c r="E80" i="1"/>
  <c r="S80" i="1"/>
  <c r="AN80" i="1" s="1"/>
  <c r="T80" i="1"/>
  <c r="AM80" i="1"/>
  <c r="AU80" i="1" l="1"/>
  <c r="AR80" i="1"/>
  <c r="AS80" i="1"/>
  <c r="R80" i="1"/>
  <c r="D80" i="1"/>
  <c r="V80" i="1" s="1"/>
  <c r="Y80" i="1"/>
  <c r="W80" i="1"/>
  <c r="U80" i="1"/>
  <c r="X80" i="1"/>
  <c r="M79" i="1"/>
  <c r="L79" i="1"/>
  <c r="K79" i="1"/>
  <c r="J79" i="1"/>
  <c r="I79" i="1"/>
  <c r="F79" i="1"/>
  <c r="E79" i="1"/>
  <c r="D79" i="1"/>
  <c r="S79" i="1"/>
  <c r="AN79" i="1" s="1"/>
  <c r="T79" i="1"/>
  <c r="AM79" i="1"/>
  <c r="AT79" i="1" l="1"/>
  <c r="AU79" i="1"/>
  <c r="AT80" i="1"/>
  <c r="AS79" i="1"/>
  <c r="AR79" i="1"/>
  <c r="AC80" i="1"/>
  <c r="AB80" i="1"/>
  <c r="Z80" i="1"/>
  <c r="AC79" i="1"/>
  <c r="AD80" i="1"/>
  <c r="Z79" i="1"/>
  <c r="AD79" i="1"/>
  <c r="AA80" i="1"/>
  <c r="AL80" i="1"/>
  <c r="AB79" i="1"/>
  <c r="AL79" i="1"/>
  <c r="AA79" i="1"/>
  <c r="X79" i="1"/>
  <c r="R79" i="1"/>
  <c r="Y79" i="1"/>
  <c r="W79" i="1"/>
  <c r="U79" i="1"/>
  <c r="E52" i="1"/>
  <c r="E59" i="1"/>
  <c r="E75" i="1"/>
  <c r="M78" i="1"/>
  <c r="L78" i="1"/>
  <c r="K78" i="1"/>
  <c r="J78" i="1"/>
  <c r="I78" i="1"/>
  <c r="F78" i="1"/>
  <c r="E78" i="1"/>
  <c r="D78" i="1"/>
  <c r="S78" i="1"/>
  <c r="AN78" i="1" s="1"/>
  <c r="T78" i="1"/>
  <c r="AM78" i="1"/>
  <c r="AT78" i="1" l="1"/>
  <c r="AU78" i="1"/>
  <c r="AS59" i="1"/>
  <c r="AR59" i="1"/>
  <c r="AS78" i="1"/>
  <c r="AR78" i="1"/>
  <c r="AR52" i="1"/>
  <c r="AS52" i="1"/>
  <c r="Z78" i="1"/>
  <c r="AD78" i="1"/>
  <c r="R78" i="1"/>
  <c r="U78" i="1"/>
  <c r="Y78" i="1"/>
  <c r="X78" i="1"/>
  <c r="AB78" i="1"/>
  <c r="AA78" i="1"/>
  <c r="AC78" i="1"/>
  <c r="W78" i="1"/>
  <c r="AL78" i="1"/>
  <c r="M77" i="1" l="1"/>
  <c r="L77" i="1"/>
  <c r="K77" i="1"/>
  <c r="J77" i="1"/>
  <c r="I77" i="1"/>
  <c r="F77" i="1"/>
  <c r="E77" i="1"/>
  <c r="D77" i="1"/>
  <c r="S77" i="1"/>
  <c r="AN77" i="1" s="1"/>
  <c r="T77" i="1"/>
  <c r="U77" i="1"/>
  <c r="AM77" i="1"/>
  <c r="E37" i="13"/>
  <c r="A37" i="13"/>
  <c r="M76" i="1"/>
  <c r="L76" i="1"/>
  <c r="K76" i="1"/>
  <c r="J76" i="1"/>
  <c r="I76" i="1"/>
  <c r="F76" i="1"/>
  <c r="E76" i="1"/>
  <c r="D76" i="1"/>
  <c r="S76" i="1"/>
  <c r="AN76" i="1" s="1"/>
  <c r="T76" i="1"/>
  <c r="U76" i="1"/>
  <c r="AA76" i="1"/>
  <c r="AM76" i="1"/>
  <c r="Y4" i="1"/>
  <c r="Y3" i="1"/>
  <c r="Y2" i="1"/>
  <c r="X2" i="1"/>
  <c r="X3" i="1"/>
  <c r="X4" i="1"/>
  <c r="W2" i="1"/>
  <c r="W3" i="1"/>
  <c r="W4" i="1"/>
  <c r="E4" i="27"/>
  <c r="AT77" i="1" l="1"/>
  <c r="AU77" i="1"/>
  <c r="AT76" i="1"/>
  <c r="AU76" i="1"/>
  <c r="AR76" i="1"/>
  <c r="AS76" i="1"/>
  <c r="AS77" i="1"/>
  <c r="AR77" i="1"/>
  <c r="AL76" i="1"/>
  <c r="W77" i="1"/>
  <c r="AD77" i="1"/>
  <c r="Y77" i="1"/>
  <c r="AA77" i="1"/>
  <c r="AL77" i="1"/>
  <c r="AB76" i="1"/>
  <c r="W76" i="1"/>
  <c r="R77" i="1"/>
  <c r="X76" i="1"/>
  <c r="X77" i="1"/>
  <c r="AD76" i="1"/>
  <c r="Z76" i="1"/>
  <c r="R76" i="1"/>
  <c r="AC77" i="1"/>
  <c r="AC76" i="1"/>
  <c r="Y76" i="1"/>
  <c r="AB77" i="1"/>
  <c r="Z77" i="1"/>
  <c r="Q71" i="1" l="1"/>
  <c r="Q72" i="1"/>
  <c r="Q73" i="1"/>
  <c r="M75" i="1"/>
  <c r="L75" i="1"/>
  <c r="K75" i="1"/>
  <c r="J75" i="1"/>
  <c r="I75" i="1"/>
  <c r="F75" i="1"/>
  <c r="D75" i="1"/>
  <c r="S75" i="1"/>
  <c r="AN75" i="1" s="1"/>
  <c r="T75" i="1"/>
  <c r="U75" i="1"/>
  <c r="AM75" i="1"/>
  <c r="R2" i="1"/>
  <c r="R3" i="1"/>
  <c r="R4" i="1"/>
  <c r="AU75" i="1" l="1"/>
  <c r="AT75" i="1"/>
  <c r="AS75" i="1"/>
  <c r="AR75" i="1"/>
  <c r="Z75" i="1"/>
  <c r="AD75" i="1"/>
  <c r="AA75" i="1"/>
  <c r="AL75" i="1"/>
  <c r="AB75" i="1"/>
  <c r="W75" i="1"/>
  <c r="X75" i="1"/>
  <c r="Y75" i="1"/>
  <c r="R75" i="1"/>
  <c r="AC75" i="1"/>
  <c r="Z2" i="13"/>
  <c r="Q2" i="13" a="1"/>
  <c r="Q2" i="13" s="1"/>
  <c r="E74" i="1"/>
  <c r="E73" i="1"/>
  <c r="M74" i="1"/>
  <c r="L74" i="1"/>
  <c r="K74" i="1"/>
  <c r="J74" i="1"/>
  <c r="I74" i="1"/>
  <c r="F74" i="1"/>
  <c r="F73" i="1"/>
  <c r="D74" i="1"/>
  <c r="S74" i="1"/>
  <c r="AN74" i="1" s="1"/>
  <c r="T74" i="1"/>
  <c r="AM74" i="1"/>
  <c r="Z74" i="1" l="1"/>
  <c r="AD74" i="1"/>
  <c r="AT74" i="1"/>
  <c r="AU74" i="1"/>
  <c r="AS73" i="1"/>
  <c r="AR73" i="1"/>
  <c r="AS74" i="1"/>
  <c r="AR74" i="1"/>
  <c r="AL74" i="1"/>
  <c r="J3" i="27"/>
  <c r="L3" i="27" s="1"/>
  <c r="J2" i="27"/>
  <c r="AB74" i="1"/>
  <c r="B14" i="27"/>
  <c r="B16" i="27"/>
  <c r="B15" i="27"/>
  <c r="B17" i="27"/>
  <c r="I2" i="27"/>
  <c r="I3" i="27"/>
  <c r="K3" i="27" s="1"/>
  <c r="AA74" i="1"/>
  <c r="C25" i="27"/>
  <c r="C24" i="27"/>
  <c r="C23" i="27"/>
  <c r="C22" i="27"/>
  <c r="B21" i="27"/>
  <c r="B24" i="27"/>
  <c r="B23" i="27"/>
  <c r="E21" i="27"/>
  <c r="B25" i="27"/>
  <c r="B22" i="27"/>
  <c r="E25" i="27"/>
  <c r="E24" i="27"/>
  <c r="E23" i="27"/>
  <c r="E22" i="27"/>
  <c r="D21" i="27"/>
  <c r="D24" i="27"/>
  <c r="D22" i="27"/>
  <c r="D25" i="27"/>
  <c r="D23" i="27"/>
  <c r="C21" i="27"/>
  <c r="C17" i="27"/>
  <c r="C16" i="27"/>
  <c r="C15" i="27"/>
  <c r="B13" i="27"/>
  <c r="D14" i="27"/>
  <c r="E13" i="27"/>
  <c r="E17" i="27"/>
  <c r="E16" i="27"/>
  <c r="E15" i="27"/>
  <c r="E14" i="27"/>
  <c r="D13" i="27"/>
  <c r="D16" i="27"/>
  <c r="C14" i="27"/>
  <c r="D17" i="27"/>
  <c r="D15" i="27"/>
  <c r="C13" i="27"/>
  <c r="Y74" i="1"/>
  <c r="X74" i="1"/>
  <c r="W74" i="1"/>
  <c r="R74" i="1"/>
  <c r="Q3" i="13" a="1"/>
  <c r="Q3" i="13" s="1"/>
  <c r="R3" i="13" s="1"/>
  <c r="U3" i="13" s="1"/>
  <c r="AC74" i="1"/>
  <c r="U74" i="1"/>
  <c r="R2" i="13"/>
  <c r="V3" i="13" l="1"/>
  <c r="Y3" i="13" a="1"/>
  <c r="Y3" i="13" s="1"/>
  <c r="Q4" i="13" a="1"/>
  <c r="Q4" i="13" s="1"/>
  <c r="R4" i="13" s="1"/>
  <c r="Z3" i="13" l="1"/>
  <c r="Q5" i="13" a="1"/>
  <c r="Q5" i="13" s="1"/>
  <c r="R5" i="13" s="1"/>
  <c r="Q6" i="13" l="1" a="1"/>
  <c r="Q6" i="13" s="1"/>
  <c r="R6" i="13" l="1"/>
  <c r="Q7" i="13" a="1"/>
  <c r="Q7" i="13" s="1"/>
  <c r="R7" i="13" s="1"/>
  <c r="Q8" i="13" l="1" a="1"/>
  <c r="Q8" i="13" s="1"/>
  <c r="Q9" i="13" l="1" a="1"/>
  <c r="Q9" i="13" s="1"/>
  <c r="R9" i="13" s="1"/>
  <c r="R8" i="13"/>
  <c r="Q10" i="13" l="1" a="1"/>
  <c r="Q10" i="13" s="1"/>
  <c r="R10" i="13" s="1"/>
  <c r="M73" i="1"/>
  <c r="L73" i="1"/>
  <c r="K73" i="1"/>
  <c r="J73" i="1"/>
  <c r="AU73" i="1" s="1"/>
  <c r="I73" i="1"/>
  <c r="S73" i="1"/>
  <c r="AN73" i="1" s="1"/>
  <c r="T73" i="1"/>
  <c r="U73" i="1"/>
  <c r="AM73" i="1"/>
  <c r="P3" i="13"/>
  <c r="Q11" i="13" l="1" a="1"/>
  <c r="Q11" i="13" s="1"/>
  <c r="R11" i="13" s="1"/>
  <c r="X73" i="1"/>
  <c r="W73" i="1"/>
  <c r="R73" i="1"/>
  <c r="Y73" i="1"/>
  <c r="D73" i="1"/>
  <c r="P4" i="13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Q70" i="1"/>
  <c r="Q69" i="1"/>
  <c r="Q68" i="1"/>
  <c r="M72" i="1"/>
  <c r="L72" i="1"/>
  <c r="K72" i="1"/>
  <c r="J72" i="1"/>
  <c r="I72" i="1"/>
  <c r="D72" i="1"/>
  <c r="S72" i="1"/>
  <c r="AN72" i="1" s="1"/>
  <c r="T72" i="1"/>
  <c r="U72" i="1"/>
  <c r="AM72" i="1"/>
  <c r="Q66" i="1"/>
  <c r="M71" i="1"/>
  <c r="L71" i="1"/>
  <c r="K71" i="1"/>
  <c r="J71" i="1"/>
  <c r="I71" i="1"/>
  <c r="D71" i="1"/>
  <c r="S71" i="1"/>
  <c r="AN71" i="1" s="1"/>
  <c r="T71" i="1"/>
  <c r="U71" i="1"/>
  <c r="AM71" i="1"/>
  <c r="AT73" i="1" l="1"/>
  <c r="V73" i="1"/>
  <c r="AU71" i="1"/>
  <c r="AT72" i="1"/>
  <c r="AT71" i="1"/>
  <c r="AU72" i="1"/>
  <c r="AB71" i="1"/>
  <c r="P23" i="13"/>
  <c r="P24" i="13" s="1"/>
  <c r="P25" i="13" s="1"/>
  <c r="P26" i="13" s="1"/>
  <c r="P27" i="13" s="1"/>
  <c r="P28" i="13" s="1"/>
  <c r="P29" i="13" s="1"/>
  <c r="AD72" i="1"/>
  <c r="AL73" i="1"/>
  <c r="AC71" i="1"/>
  <c r="AL71" i="1"/>
  <c r="AC72" i="1"/>
  <c r="AL72" i="1"/>
  <c r="Q12" i="13" a="1"/>
  <c r="Q12" i="13" s="1"/>
  <c r="Q13" i="13" s="1" a="1"/>
  <c r="Q13" i="13" s="1"/>
  <c r="AD73" i="1"/>
  <c r="AB73" i="1"/>
  <c r="AC73" i="1"/>
  <c r="Z73" i="1"/>
  <c r="AA73" i="1"/>
  <c r="W72" i="1"/>
  <c r="Y72" i="1"/>
  <c r="X72" i="1"/>
  <c r="R72" i="1"/>
  <c r="W71" i="1"/>
  <c r="X71" i="1"/>
  <c r="Y71" i="1"/>
  <c r="R71" i="1"/>
  <c r="AA72" i="1"/>
  <c r="Z72" i="1"/>
  <c r="AB72" i="1"/>
  <c r="AA71" i="1"/>
  <c r="AD71" i="1"/>
  <c r="Z71" i="1"/>
  <c r="R12" i="13" l="1"/>
  <c r="Q14" i="13" a="1"/>
  <c r="Q14" i="13" s="1"/>
  <c r="R13" i="13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Q15" i="13" l="1" a="1"/>
  <c r="Q15" i="13" s="1"/>
  <c r="R14" i="13"/>
  <c r="M70" i="1"/>
  <c r="L70" i="1"/>
  <c r="K70" i="1"/>
  <c r="J70" i="1"/>
  <c r="I70" i="1"/>
  <c r="S70" i="1"/>
  <c r="AN70" i="1" s="1"/>
  <c r="T70" i="1"/>
  <c r="U70" i="1"/>
  <c r="AU70" i="1" l="1"/>
  <c r="Y70" i="1"/>
  <c r="X70" i="1"/>
  <c r="W70" i="1"/>
  <c r="R70" i="1"/>
  <c r="D70" i="1"/>
  <c r="Q16" i="13" a="1"/>
  <c r="Q16" i="13" s="1"/>
  <c r="R15" i="13"/>
  <c r="AT70" i="1" l="1"/>
  <c r="V70" i="1"/>
  <c r="AL70" i="1"/>
  <c r="AD70" i="1"/>
  <c r="Z70" i="1"/>
  <c r="AC70" i="1"/>
  <c r="AA70" i="1"/>
  <c r="AB70" i="1"/>
  <c r="Q17" i="13" a="1"/>
  <c r="Q17" i="13" s="1"/>
  <c r="R16" i="13"/>
  <c r="Q67" i="1"/>
  <c r="M69" i="1"/>
  <c r="L69" i="1"/>
  <c r="K69" i="1"/>
  <c r="J69" i="1"/>
  <c r="I69" i="1"/>
  <c r="D69" i="1"/>
  <c r="S69" i="1"/>
  <c r="AN69" i="1" s="1"/>
  <c r="T69" i="1"/>
  <c r="U69" i="1"/>
  <c r="Z69" i="1"/>
  <c r="M68" i="1"/>
  <c r="L68" i="1"/>
  <c r="K68" i="1"/>
  <c r="J68" i="1"/>
  <c r="I68" i="1"/>
  <c r="D68" i="1"/>
  <c r="S68" i="1"/>
  <c r="AN68" i="1" s="1"/>
  <c r="T68" i="1"/>
  <c r="U68" i="1"/>
  <c r="AU68" i="1" l="1"/>
  <c r="AT69" i="1"/>
  <c r="AT68" i="1"/>
  <c r="AU69" i="1"/>
  <c r="Z68" i="1"/>
  <c r="AD68" i="1"/>
  <c r="AL68" i="1"/>
  <c r="AL69" i="1"/>
  <c r="AB68" i="1"/>
  <c r="W68" i="1"/>
  <c r="Y68" i="1"/>
  <c r="X68" i="1"/>
  <c r="R68" i="1"/>
  <c r="X69" i="1"/>
  <c r="Y69" i="1"/>
  <c r="W69" i="1"/>
  <c r="R69" i="1"/>
  <c r="AD69" i="1"/>
  <c r="AA69" i="1"/>
  <c r="AC69" i="1"/>
  <c r="AB69" i="1"/>
  <c r="Q18" i="13" a="1"/>
  <c r="Q18" i="13" s="1"/>
  <c r="R17" i="13"/>
  <c r="AC68" i="1"/>
  <c r="AA68" i="1"/>
  <c r="M67" i="1"/>
  <c r="L67" i="1"/>
  <c r="K67" i="1"/>
  <c r="J67" i="1"/>
  <c r="I67" i="1"/>
  <c r="D67" i="1"/>
  <c r="S67" i="1"/>
  <c r="AN67" i="1" s="1"/>
  <c r="T67" i="1"/>
  <c r="U67" i="1"/>
  <c r="AT67" i="1" l="1"/>
  <c r="AU67" i="1"/>
  <c r="AD67" i="1"/>
  <c r="AL67" i="1"/>
  <c r="W67" i="1"/>
  <c r="Y67" i="1"/>
  <c r="X67" i="1"/>
  <c r="R67" i="1"/>
  <c r="AB67" i="1"/>
  <c r="Q19" i="13" a="1"/>
  <c r="Q19" i="13" s="1"/>
  <c r="R18" i="13"/>
  <c r="AC67" i="1"/>
  <c r="AA67" i="1"/>
  <c r="Z67" i="1"/>
  <c r="Q59" i="1"/>
  <c r="Q60" i="1"/>
  <c r="Q61" i="1"/>
  <c r="Q62" i="1"/>
  <c r="Q63" i="1"/>
  <c r="Q64" i="1"/>
  <c r="Q65" i="1"/>
  <c r="M66" i="1"/>
  <c r="L66" i="1"/>
  <c r="K66" i="1"/>
  <c r="J66" i="1"/>
  <c r="I66" i="1"/>
  <c r="U66" i="1"/>
  <c r="D66" i="1"/>
  <c r="S66" i="1"/>
  <c r="AN66" i="1" s="1"/>
  <c r="T66" i="1"/>
  <c r="M65" i="1"/>
  <c r="L65" i="1"/>
  <c r="K65" i="1"/>
  <c r="J65" i="1"/>
  <c r="I65" i="1"/>
  <c r="U65" i="1"/>
  <c r="D65" i="1"/>
  <c r="S65" i="1"/>
  <c r="AN65" i="1" s="1"/>
  <c r="T65" i="1"/>
  <c r="AU65" i="1" l="1"/>
  <c r="AT65" i="1"/>
  <c r="AU66" i="1"/>
  <c r="AT66" i="1"/>
  <c r="AA66" i="1"/>
  <c r="AL66" i="1"/>
  <c r="AL65" i="1"/>
  <c r="X65" i="1"/>
  <c r="Y65" i="1"/>
  <c r="W65" i="1"/>
  <c r="R65" i="1"/>
  <c r="Y66" i="1"/>
  <c r="X66" i="1"/>
  <c r="W66" i="1"/>
  <c r="R66" i="1"/>
  <c r="Q20" i="13" a="1"/>
  <c r="Q20" i="13" s="1"/>
  <c r="R19" i="13"/>
  <c r="AA65" i="1"/>
  <c r="AB66" i="1"/>
  <c r="Z65" i="1"/>
  <c r="AD65" i="1"/>
  <c r="Z66" i="1"/>
  <c r="AD66" i="1"/>
  <c r="AB65" i="1"/>
  <c r="AC66" i="1"/>
  <c r="AC65" i="1"/>
  <c r="M64" i="1"/>
  <c r="L64" i="1"/>
  <c r="K64" i="1"/>
  <c r="J64" i="1"/>
  <c r="I64" i="1"/>
  <c r="U64" i="1"/>
  <c r="D64" i="1"/>
  <c r="S64" i="1"/>
  <c r="AN64" i="1" s="1"/>
  <c r="T64" i="1"/>
  <c r="Q58" i="1"/>
  <c r="M63" i="1"/>
  <c r="L63" i="1"/>
  <c r="K63" i="1"/>
  <c r="J63" i="1"/>
  <c r="I63" i="1"/>
  <c r="U63" i="1"/>
  <c r="D63" i="1"/>
  <c r="S63" i="1"/>
  <c r="AN63" i="1" s="1"/>
  <c r="T63" i="1"/>
  <c r="AU64" i="1" l="1"/>
  <c r="AU63" i="1"/>
  <c r="AT63" i="1"/>
  <c r="AT64" i="1"/>
  <c r="AL63" i="1"/>
  <c r="Z63" i="1"/>
  <c r="AB64" i="1"/>
  <c r="AL64" i="1"/>
  <c r="W64" i="1"/>
  <c r="X64" i="1"/>
  <c r="Y64" i="1"/>
  <c r="R64" i="1"/>
  <c r="W63" i="1"/>
  <c r="X63" i="1"/>
  <c r="Y63" i="1"/>
  <c r="R63" i="1"/>
  <c r="AA64" i="1"/>
  <c r="AB63" i="1"/>
  <c r="Q21" i="13" a="1"/>
  <c r="Q21" i="13" s="1"/>
  <c r="R20" i="13"/>
  <c r="Z64" i="1"/>
  <c r="AD64" i="1"/>
  <c r="AD63" i="1"/>
  <c r="AC63" i="1"/>
  <c r="AA63" i="1"/>
  <c r="AC64" i="1"/>
  <c r="AF15" i="1"/>
  <c r="AF14" i="1"/>
  <c r="AF13" i="1"/>
  <c r="AF12" i="1"/>
  <c r="AF11" i="1"/>
  <c r="AF10" i="1"/>
  <c r="AF9" i="1"/>
  <c r="AF8" i="1"/>
  <c r="AF7" i="1"/>
  <c r="AF6" i="1"/>
  <c r="AF5" i="1"/>
  <c r="AF3" i="1"/>
  <c r="AF4" i="1"/>
  <c r="J7" i="13"/>
  <c r="Q22" i="13" l="1" a="1"/>
  <c r="Q22" i="13" s="1"/>
  <c r="R21" i="13"/>
  <c r="M62" i="1"/>
  <c r="L62" i="1"/>
  <c r="K62" i="1"/>
  <c r="J62" i="1"/>
  <c r="I62" i="1"/>
  <c r="U62" i="1"/>
  <c r="D62" i="1"/>
  <c r="S62" i="1"/>
  <c r="AN62" i="1" s="1"/>
  <c r="T62" i="1"/>
  <c r="AU62" i="1" l="1"/>
  <c r="AT62" i="1"/>
  <c r="U21" i="13"/>
  <c r="AL62" i="1"/>
  <c r="AD62" i="1"/>
  <c r="Y62" i="1"/>
  <c r="X62" i="1"/>
  <c r="W62" i="1"/>
  <c r="R62" i="1"/>
  <c r="Q23" i="13" a="1"/>
  <c r="Q23" i="13" s="1"/>
  <c r="R22" i="13"/>
  <c r="AC62" i="1"/>
  <c r="AB62" i="1"/>
  <c r="Z62" i="1"/>
  <c r="AA62" i="1"/>
  <c r="Q53" i="1"/>
  <c r="Q54" i="1"/>
  <c r="Q55" i="1"/>
  <c r="Q56" i="1"/>
  <c r="Q57" i="1"/>
  <c r="M61" i="1"/>
  <c r="L61" i="1"/>
  <c r="K61" i="1"/>
  <c r="J61" i="1"/>
  <c r="I61" i="1"/>
  <c r="U61" i="1"/>
  <c r="D61" i="1"/>
  <c r="S61" i="1"/>
  <c r="AN61" i="1" s="1"/>
  <c r="T61" i="1"/>
  <c r="AT61" i="1" l="1"/>
  <c r="AU61" i="1"/>
  <c r="AL61" i="1"/>
  <c r="X61" i="1"/>
  <c r="Y61" i="1"/>
  <c r="W61" i="1"/>
  <c r="R61" i="1"/>
  <c r="Q24" i="13" a="1"/>
  <c r="Q24" i="13" s="1"/>
  <c r="Q25" i="13" s="1" a="1"/>
  <c r="Q25" i="13" s="1"/>
  <c r="R23" i="13"/>
  <c r="AB61" i="1"/>
  <c r="AC61" i="1"/>
  <c r="Z61" i="1"/>
  <c r="AD61" i="1"/>
  <c r="AA61" i="1"/>
  <c r="D60" i="1"/>
  <c r="Q52" i="1"/>
  <c r="M60" i="1"/>
  <c r="L60" i="1"/>
  <c r="K60" i="1"/>
  <c r="AB60" i="1" s="1"/>
  <c r="J60" i="1"/>
  <c r="U60" i="1"/>
  <c r="S60" i="1"/>
  <c r="AN60" i="1" s="1"/>
  <c r="T60" i="1"/>
  <c r="AU60" i="1" l="1"/>
  <c r="AT60" i="1"/>
  <c r="AL60" i="1"/>
  <c r="R25" i="13"/>
  <c r="Q26" i="13" a="1"/>
  <c r="Q26" i="13" s="1"/>
  <c r="Q27" i="13" s="1" a="1"/>
  <c r="Q27" i="13" s="1"/>
  <c r="W60" i="1"/>
  <c r="Y60" i="1"/>
  <c r="X60" i="1"/>
  <c r="R60" i="1"/>
  <c r="R24" i="13"/>
  <c r="AD60" i="1"/>
  <c r="AA60" i="1"/>
  <c r="Z60" i="1"/>
  <c r="AC60" i="1"/>
  <c r="M59" i="1"/>
  <c r="L59" i="1"/>
  <c r="K59" i="1"/>
  <c r="J59" i="1"/>
  <c r="I59" i="1"/>
  <c r="U59" i="1"/>
  <c r="S59" i="1"/>
  <c r="AN59" i="1" s="1"/>
  <c r="T59" i="1"/>
  <c r="AU59" i="1" l="1"/>
  <c r="R27" i="13"/>
  <c r="Q28" i="13" a="1"/>
  <c r="Q28" i="13" s="1"/>
  <c r="R26" i="13"/>
  <c r="W59" i="1"/>
  <c r="Y59" i="1"/>
  <c r="X59" i="1"/>
  <c r="R59" i="1"/>
  <c r="D59" i="1"/>
  <c r="V59" i="1" s="1"/>
  <c r="M36" i="1"/>
  <c r="M35" i="1"/>
  <c r="M34" i="1"/>
  <c r="M33" i="1"/>
  <c r="M32" i="1"/>
  <c r="M31" i="1"/>
  <c r="D4" i="1"/>
  <c r="V4" i="1" s="1"/>
  <c r="D3" i="1"/>
  <c r="V3" i="1" s="1"/>
  <c r="D2" i="1"/>
  <c r="AD5" i="1"/>
  <c r="AD7" i="1"/>
  <c r="AD20" i="1"/>
  <c r="AT2" i="1" l="1"/>
  <c r="V2" i="1"/>
  <c r="AT3" i="1"/>
  <c r="AT59" i="1"/>
  <c r="AT4" i="1"/>
  <c r="AL2" i="1"/>
  <c r="R28" i="13"/>
  <c r="Q29" i="13" a="1"/>
  <c r="Q29" i="13" s="1"/>
  <c r="AL3" i="1"/>
  <c r="AL4" i="1"/>
  <c r="AL59" i="1"/>
  <c r="AA59" i="1"/>
  <c r="AD59" i="1"/>
  <c r="Z59" i="1"/>
  <c r="AC59" i="1"/>
  <c r="AB59" i="1"/>
  <c r="Z4" i="1"/>
  <c r="AB2" i="1"/>
  <c r="Z3" i="1"/>
  <c r="AD2" i="1"/>
  <c r="AA2" i="1"/>
  <c r="AC2" i="1"/>
  <c r="Z2" i="1"/>
  <c r="AB4" i="1"/>
  <c r="AC4" i="1"/>
  <c r="AD4" i="1"/>
  <c r="AB3" i="1"/>
  <c r="AA4" i="1"/>
  <c r="AD3" i="1"/>
  <c r="AA3" i="1"/>
  <c r="AC3" i="1"/>
  <c r="Q49" i="1"/>
  <c r="Q50" i="1"/>
  <c r="Q51" i="1"/>
  <c r="M58" i="1"/>
  <c r="L58" i="1"/>
  <c r="K58" i="1"/>
  <c r="J58" i="1"/>
  <c r="I58" i="1"/>
  <c r="U58" i="1"/>
  <c r="S58" i="1"/>
  <c r="AN58" i="1" s="1"/>
  <c r="T58" i="1"/>
  <c r="AU58" i="1" l="1"/>
  <c r="R29" i="13"/>
  <c r="Q30" i="13" a="1"/>
  <c r="Q30" i="13" s="1"/>
  <c r="Y58" i="1"/>
  <c r="X58" i="1"/>
  <c r="W58" i="1"/>
  <c r="R58" i="1"/>
  <c r="D58" i="1"/>
  <c r="V58" i="1" s="1"/>
  <c r="U54" i="1"/>
  <c r="U55" i="1"/>
  <c r="U56" i="1"/>
  <c r="U57" i="1"/>
  <c r="M57" i="1"/>
  <c r="L57" i="1"/>
  <c r="K57" i="1"/>
  <c r="J57" i="1"/>
  <c r="I57" i="1"/>
  <c r="D57" i="1"/>
  <c r="S57" i="1"/>
  <c r="AN57" i="1" s="1"/>
  <c r="T57" i="1"/>
  <c r="AT57" i="1" l="1"/>
  <c r="AU57" i="1"/>
  <c r="AT58" i="1"/>
  <c r="R30" i="13"/>
  <c r="Q31" i="13" a="1"/>
  <c r="Q31" i="13" s="1"/>
  <c r="Y4" i="13" a="1"/>
  <c r="Y4" i="13" s="1"/>
  <c r="AL58" i="1"/>
  <c r="AL57" i="1"/>
  <c r="X57" i="1"/>
  <c r="Y57" i="1"/>
  <c r="W57" i="1"/>
  <c r="R57" i="1"/>
  <c r="Z57" i="1"/>
  <c r="AD57" i="1"/>
  <c r="AA57" i="1"/>
  <c r="AB57" i="1"/>
  <c r="AB58" i="1"/>
  <c r="AA58" i="1"/>
  <c r="Z58" i="1"/>
  <c r="AD58" i="1"/>
  <c r="AC58" i="1"/>
  <c r="AC57" i="1"/>
  <c r="M56" i="1"/>
  <c r="L56" i="1"/>
  <c r="K56" i="1"/>
  <c r="J56" i="1"/>
  <c r="AU56" i="1" s="1"/>
  <c r="I56" i="1"/>
  <c r="D56" i="1"/>
  <c r="S56" i="1"/>
  <c r="AN56" i="1" s="1"/>
  <c r="T56" i="1"/>
  <c r="R31" i="13" l="1"/>
  <c r="Q32" i="13" a="1"/>
  <c r="Q32" i="13" s="1"/>
  <c r="AT56" i="1"/>
  <c r="Z4" i="13"/>
  <c r="AL56" i="1"/>
  <c r="W56" i="1"/>
  <c r="X56" i="1"/>
  <c r="Y56" i="1"/>
  <c r="R56" i="1"/>
  <c r="AB56" i="1"/>
  <c r="Z56" i="1"/>
  <c r="AA56" i="1"/>
  <c r="AC56" i="1"/>
  <c r="AD56" i="1"/>
  <c r="S3" i="1"/>
  <c r="AN3" i="1" s="1"/>
  <c r="S4" i="1"/>
  <c r="AN4" i="1" s="1"/>
  <c r="S5" i="1"/>
  <c r="AN5" i="1" s="1"/>
  <c r="S6" i="1"/>
  <c r="AN6" i="1" s="1"/>
  <c r="S7" i="1"/>
  <c r="AN7" i="1" s="1"/>
  <c r="S8" i="1"/>
  <c r="AN8" i="1" s="1"/>
  <c r="S9" i="1"/>
  <c r="AN9" i="1" s="1"/>
  <c r="S10" i="1"/>
  <c r="AN10" i="1" s="1"/>
  <c r="S11" i="1"/>
  <c r="AN11" i="1" s="1"/>
  <c r="S12" i="1"/>
  <c r="AN12" i="1" s="1"/>
  <c r="S13" i="1"/>
  <c r="AN13" i="1" s="1"/>
  <c r="S14" i="1"/>
  <c r="AN14" i="1" s="1"/>
  <c r="S15" i="1"/>
  <c r="AN15" i="1" s="1"/>
  <c r="S16" i="1"/>
  <c r="AN16" i="1" s="1"/>
  <c r="S17" i="1"/>
  <c r="AN17" i="1" s="1"/>
  <c r="S18" i="1"/>
  <c r="AN18" i="1" s="1"/>
  <c r="S19" i="1"/>
  <c r="AN19" i="1" s="1"/>
  <c r="S20" i="1"/>
  <c r="AN20" i="1" s="1"/>
  <c r="S21" i="1"/>
  <c r="AN21" i="1" s="1"/>
  <c r="S22" i="1"/>
  <c r="AN22" i="1" s="1"/>
  <c r="S23" i="1"/>
  <c r="AN23" i="1" s="1"/>
  <c r="S24" i="1"/>
  <c r="AN24" i="1" s="1"/>
  <c r="S25" i="1"/>
  <c r="AN25" i="1" s="1"/>
  <c r="S26" i="1"/>
  <c r="AN26" i="1" s="1"/>
  <c r="S27" i="1"/>
  <c r="AN27" i="1" s="1"/>
  <c r="S28" i="1"/>
  <c r="AN28" i="1" s="1"/>
  <c r="S29" i="1"/>
  <c r="AN29" i="1" s="1"/>
  <c r="S30" i="1"/>
  <c r="AN30" i="1" s="1"/>
  <c r="S31" i="1"/>
  <c r="AN31" i="1" s="1"/>
  <c r="S32" i="1"/>
  <c r="AN32" i="1" s="1"/>
  <c r="S33" i="1"/>
  <c r="AN33" i="1" s="1"/>
  <c r="S34" i="1"/>
  <c r="AN34" i="1" s="1"/>
  <c r="S35" i="1"/>
  <c r="AN35" i="1" s="1"/>
  <c r="S36" i="1"/>
  <c r="AN36" i="1" s="1"/>
  <c r="S37" i="1"/>
  <c r="AN37" i="1" s="1"/>
  <c r="S38" i="1"/>
  <c r="AN38" i="1" s="1"/>
  <c r="S39" i="1"/>
  <c r="AN39" i="1" s="1"/>
  <c r="S40" i="1"/>
  <c r="AN40" i="1" s="1"/>
  <c r="S41" i="1"/>
  <c r="AN41" i="1" s="1"/>
  <c r="S42" i="1"/>
  <c r="AN42" i="1" s="1"/>
  <c r="S43" i="1"/>
  <c r="AN43" i="1" s="1"/>
  <c r="S44" i="1"/>
  <c r="AN44" i="1" s="1"/>
  <c r="S45" i="1"/>
  <c r="AN45" i="1" s="1"/>
  <c r="S46" i="1"/>
  <c r="AN46" i="1" s="1"/>
  <c r="S47" i="1"/>
  <c r="AN47" i="1" s="1"/>
  <c r="S48" i="1"/>
  <c r="AN48" i="1" s="1"/>
  <c r="S49" i="1"/>
  <c r="AN49" i="1" s="1"/>
  <c r="S50" i="1"/>
  <c r="AN50" i="1" s="1"/>
  <c r="S51" i="1"/>
  <c r="AN51" i="1" s="1"/>
  <c r="S52" i="1"/>
  <c r="AN52" i="1" s="1"/>
  <c r="S53" i="1"/>
  <c r="AN53" i="1" s="1"/>
  <c r="S54" i="1"/>
  <c r="AN54" i="1" s="1"/>
  <c r="S55" i="1"/>
  <c r="AN55" i="1" s="1"/>
  <c r="S2" i="1"/>
  <c r="B143" i="1" l="1"/>
  <c r="AF143" i="1" s="1"/>
  <c r="B144" i="1"/>
  <c r="AF144" i="1" s="1"/>
  <c r="AH144" i="1"/>
  <c r="AH143" i="1"/>
  <c r="AG144" i="1"/>
  <c r="AG143" i="1"/>
  <c r="R32" i="13"/>
  <c r="Q33" i="13" a="1"/>
  <c r="Q33" i="13" s="1"/>
  <c r="R33" i="13" s="1"/>
  <c r="B142" i="1"/>
  <c r="AF142" i="1" s="1"/>
  <c r="AG142" i="1"/>
  <c r="AH142" i="1"/>
  <c r="B141" i="1"/>
  <c r="AF141" i="1" s="1"/>
  <c r="AH141" i="1"/>
  <c r="AG141" i="1"/>
  <c r="AH140" i="1"/>
  <c r="AH139" i="1"/>
  <c r="AG140" i="1"/>
  <c r="B139" i="1"/>
  <c r="AF139" i="1" s="1"/>
  <c r="B140" i="1"/>
  <c r="AF140" i="1" s="1"/>
  <c r="AG139" i="1"/>
  <c r="AG138" i="1"/>
  <c r="B138" i="1"/>
  <c r="AF138" i="1" s="1"/>
  <c r="AH138" i="1"/>
  <c r="L16" i="13"/>
  <c r="M16" i="13" s="1"/>
  <c r="L15" i="14"/>
  <c r="I15" i="14"/>
  <c r="M15" i="14"/>
  <c r="E15" i="14"/>
  <c r="J15" i="14"/>
  <c r="B15" i="14"/>
  <c r="F15" i="14"/>
  <c r="K15" i="14"/>
  <c r="C15" i="14"/>
  <c r="D15" i="14"/>
  <c r="B137" i="1"/>
  <c r="AF137" i="1" s="1"/>
  <c r="AG137" i="1"/>
  <c r="AH137" i="1"/>
  <c r="B136" i="1"/>
  <c r="AF136" i="1" s="1"/>
  <c r="AG136" i="1"/>
  <c r="AH136" i="1"/>
  <c r="B134" i="1"/>
  <c r="AF134" i="1" s="1"/>
  <c r="AH135" i="1"/>
  <c r="AG134" i="1"/>
  <c r="B135" i="1"/>
  <c r="AF135" i="1" s="1"/>
  <c r="AG135" i="1"/>
  <c r="AH134" i="1"/>
  <c r="B133" i="1"/>
  <c r="AF133" i="1" s="1"/>
  <c r="AH133" i="1"/>
  <c r="AG133" i="1"/>
  <c r="AH132" i="1"/>
  <c r="AG132" i="1"/>
  <c r="B132" i="1"/>
  <c r="AF132" i="1" s="1"/>
  <c r="B131" i="1"/>
  <c r="AF131" i="1" s="1"/>
  <c r="AG131" i="1"/>
  <c r="AH131" i="1"/>
  <c r="B130" i="1"/>
  <c r="AF130" i="1" s="1"/>
  <c r="AG130" i="1"/>
  <c r="AH130" i="1"/>
  <c r="B129" i="1"/>
  <c r="AF129" i="1" s="1"/>
  <c r="AG129" i="1"/>
  <c r="AH129" i="1"/>
  <c r="B128" i="1"/>
  <c r="AF128" i="1" s="1"/>
  <c r="AH128" i="1"/>
  <c r="AG128" i="1"/>
  <c r="B127" i="1"/>
  <c r="AF127" i="1" s="1"/>
  <c r="AH127" i="1"/>
  <c r="AG127" i="1"/>
  <c r="B126" i="1"/>
  <c r="AF126" i="1" s="1"/>
  <c r="AH126" i="1"/>
  <c r="AG126" i="1"/>
  <c r="AH125" i="1"/>
  <c r="AG125" i="1"/>
  <c r="B125" i="1"/>
  <c r="AF125" i="1" s="1"/>
  <c r="B124" i="1"/>
  <c r="AF124" i="1" s="1"/>
  <c r="AH124" i="1"/>
  <c r="AG124" i="1"/>
  <c r="B123" i="1"/>
  <c r="AF123" i="1" s="1"/>
  <c r="AH123" i="1"/>
  <c r="AG123" i="1"/>
  <c r="B122" i="1"/>
  <c r="AF122" i="1" s="1"/>
  <c r="AH122" i="1"/>
  <c r="J14" i="14"/>
  <c r="B14" i="14"/>
  <c r="F14" i="14"/>
  <c r="AG122" i="1"/>
  <c r="K14" i="14"/>
  <c r="C14" i="14"/>
  <c r="D14" i="14"/>
  <c r="L15" i="13"/>
  <c r="M15" i="13" s="1"/>
  <c r="L14" i="14"/>
  <c r="I14" i="14"/>
  <c r="M14" i="14"/>
  <c r="E14" i="14"/>
  <c r="B121" i="1"/>
  <c r="AF121" i="1" s="1"/>
  <c r="F56" i="13" s="1"/>
  <c r="AH121" i="1"/>
  <c r="AG121" i="1"/>
  <c r="AH120" i="1"/>
  <c r="B120" i="1"/>
  <c r="AF120" i="1" s="1"/>
  <c r="AG120" i="1"/>
  <c r="AG119" i="1"/>
  <c r="B119" i="1"/>
  <c r="AF119" i="1" s="1"/>
  <c r="AH119" i="1"/>
  <c r="AH118" i="1"/>
  <c r="B2" i="1"/>
  <c r="B118" i="1"/>
  <c r="AF118" i="1" s="1"/>
  <c r="AG118" i="1"/>
  <c r="B117" i="1"/>
  <c r="AF117" i="1" s="1"/>
  <c r="AH117" i="1"/>
  <c r="AG117" i="1"/>
  <c r="B116" i="1"/>
  <c r="AF116" i="1" s="1"/>
  <c r="AH116" i="1"/>
  <c r="AH114" i="1"/>
  <c r="AG116" i="1"/>
  <c r="B114" i="1"/>
  <c r="AF114" i="1" s="1"/>
  <c r="AG115" i="1"/>
  <c r="AH115" i="1"/>
  <c r="AH113" i="1"/>
  <c r="B115" i="1"/>
  <c r="AF115" i="1" s="1"/>
  <c r="AG114" i="1"/>
  <c r="B113" i="1"/>
  <c r="AF113" i="1" s="1"/>
  <c r="AG113" i="1"/>
  <c r="B112" i="1"/>
  <c r="AF112" i="1" s="1"/>
  <c r="AG112" i="1"/>
  <c r="AH112" i="1"/>
  <c r="B111" i="1"/>
  <c r="AF111" i="1" s="1"/>
  <c r="AG111" i="1"/>
  <c r="AH111" i="1"/>
  <c r="B110" i="1"/>
  <c r="AF110" i="1" s="1"/>
  <c r="AH110" i="1"/>
  <c r="AG110" i="1"/>
  <c r="B109" i="1"/>
  <c r="AF109" i="1" s="1"/>
  <c r="AH109" i="1"/>
  <c r="AG109" i="1"/>
  <c r="G55" i="13"/>
  <c r="G66" i="13"/>
  <c r="G59" i="13"/>
  <c r="G64" i="13"/>
  <c r="G63" i="13"/>
  <c r="G65" i="13"/>
  <c r="G61" i="13"/>
  <c r="G60" i="13"/>
  <c r="G56" i="13"/>
  <c r="G62" i="13"/>
  <c r="G58" i="13"/>
  <c r="G57" i="13"/>
  <c r="C79" i="13"/>
  <c r="C78" i="13"/>
  <c r="D80" i="13"/>
  <c r="D78" i="13"/>
  <c r="D79" i="13"/>
  <c r="D82" i="13"/>
  <c r="D83" i="13"/>
  <c r="D84" i="13"/>
  <c r="D89" i="13"/>
  <c r="D87" i="13"/>
  <c r="D88" i="13"/>
  <c r="D86" i="13"/>
  <c r="D81" i="13"/>
  <c r="D85" i="13"/>
  <c r="AG108" i="1"/>
  <c r="K13" i="14"/>
  <c r="C13" i="14"/>
  <c r="B108" i="1"/>
  <c r="AF108" i="1" s="1"/>
  <c r="D13" i="14"/>
  <c r="L14" i="13"/>
  <c r="M14" i="13" s="1"/>
  <c r="L13" i="14"/>
  <c r="E13" i="14"/>
  <c r="I13" i="14"/>
  <c r="M13" i="14"/>
  <c r="AH108" i="1"/>
  <c r="J13" i="14"/>
  <c r="B13" i="14"/>
  <c r="F13" i="14"/>
  <c r="D66" i="13"/>
  <c r="F59" i="13"/>
  <c r="D65" i="13"/>
  <c r="D56" i="13"/>
  <c r="D59" i="13"/>
  <c r="E56" i="13"/>
  <c r="F58" i="13"/>
  <c r="D58" i="13"/>
  <c r="D60" i="13"/>
  <c r="D62" i="13"/>
  <c r="D61" i="13"/>
  <c r="D64" i="13"/>
  <c r="D55" i="13"/>
  <c r="D57" i="13"/>
  <c r="D63" i="13"/>
  <c r="F57" i="13"/>
  <c r="B107" i="1"/>
  <c r="AG107" i="1"/>
  <c r="L9" i="13"/>
  <c r="M9" i="13" s="1"/>
  <c r="L13" i="13"/>
  <c r="M13" i="13" s="1"/>
  <c r="C82" i="13"/>
  <c r="C86" i="13"/>
  <c r="L10" i="13"/>
  <c r="M10" i="13" s="1"/>
  <c r="C83" i="13"/>
  <c r="C87" i="13"/>
  <c r="L7" i="13"/>
  <c r="M7" i="13" s="1"/>
  <c r="L11" i="13"/>
  <c r="M11" i="13" s="1"/>
  <c r="C80" i="13"/>
  <c r="C84" i="13"/>
  <c r="C88" i="13"/>
  <c r="C81" i="13"/>
  <c r="C85" i="13"/>
  <c r="AH107" i="1"/>
  <c r="L8" i="13"/>
  <c r="M8" i="13" s="1"/>
  <c r="L12" i="13"/>
  <c r="M12" i="13" s="1"/>
  <c r="C89" i="13"/>
  <c r="L4" i="13"/>
  <c r="L6" i="13"/>
  <c r="L5" i="13"/>
  <c r="AN2" i="1"/>
  <c r="B104" i="1"/>
  <c r="AF104" i="1" s="1"/>
  <c r="B102" i="1"/>
  <c r="AF102" i="1" s="1"/>
  <c r="AH106" i="1"/>
  <c r="AG103" i="1"/>
  <c r="B103" i="1"/>
  <c r="AF103" i="1" s="1"/>
  <c r="AG106" i="1"/>
  <c r="AH104" i="1"/>
  <c r="AG104" i="1"/>
  <c r="AG102" i="1"/>
  <c r="B105" i="1"/>
  <c r="AF105" i="1" s="1"/>
  <c r="AH105" i="1"/>
  <c r="AH102" i="1"/>
  <c r="B106" i="1"/>
  <c r="AF106" i="1" s="1"/>
  <c r="AG105" i="1"/>
  <c r="AH103" i="1"/>
  <c r="B100" i="1"/>
  <c r="AF100" i="1" s="1"/>
  <c r="AG100" i="1"/>
  <c r="B101" i="1"/>
  <c r="AF101" i="1" s="1"/>
  <c r="AH101" i="1"/>
  <c r="AG101" i="1"/>
  <c r="AH100" i="1"/>
  <c r="B99" i="1"/>
  <c r="AF99" i="1" s="1"/>
  <c r="AG99" i="1"/>
  <c r="AH99" i="1"/>
  <c r="AG98" i="1"/>
  <c r="AH98" i="1"/>
  <c r="B98" i="1"/>
  <c r="AF98" i="1" s="1"/>
  <c r="B97" i="1"/>
  <c r="AF97" i="1" s="1"/>
  <c r="AH97" i="1"/>
  <c r="AG97" i="1"/>
  <c r="B95" i="1"/>
  <c r="AF95" i="1" s="1"/>
  <c r="AG96" i="1"/>
  <c r="B96" i="1"/>
  <c r="AF96" i="1" s="1"/>
  <c r="AH96" i="1"/>
  <c r="AH95" i="1"/>
  <c r="AG95" i="1"/>
  <c r="AE52" i="1"/>
  <c r="AE36" i="1"/>
  <c r="AE24" i="1"/>
  <c r="AE51" i="1"/>
  <c r="AE47" i="1"/>
  <c r="AE39" i="1"/>
  <c r="AE27" i="1"/>
  <c r="AE48" i="1"/>
  <c r="AE40" i="1"/>
  <c r="AE28" i="1"/>
  <c r="AE55" i="1"/>
  <c r="AE43" i="1"/>
  <c r="AE35" i="1"/>
  <c r="AE31" i="1"/>
  <c r="AE23" i="1"/>
  <c r="AE54" i="1"/>
  <c r="AE50" i="1"/>
  <c r="AE46" i="1"/>
  <c r="AE42" i="1"/>
  <c r="AE38" i="1"/>
  <c r="AE34" i="1"/>
  <c r="AE30" i="1"/>
  <c r="AE26" i="1"/>
  <c r="AE22" i="1"/>
  <c r="L12" i="14"/>
  <c r="D12" i="14"/>
  <c r="E12" i="14"/>
  <c r="C12" i="14"/>
  <c r="I12" i="14"/>
  <c r="M12" i="14"/>
  <c r="J12" i="14"/>
  <c r="F12" i="14"/>
  <c r="B12" i="14"/>
  <c r="K12" i="14"/>
  <c r="B94" i="1"/>
  <c r="AF94" i="1" s="1"/>
  <c r="AH94" i="1"/>
  <c r="AH93" i="1"/>
  <c r="AG92" i="1"/>
  <c r="AH91" i="1"/>
  <c r="AG94" i="1"/>
  <c r="AG93" i="1"/>
  <c r="AG91" i="1"/>
  <c r="B93" i="1"/>
  <c r="AE92" i="1"/>
  <c r="B91" i="1"/>
  <c r="B92" i="1"/>
  <c r="AE91" i="1"/>
  <c r="AH92" i="1"/>
  <c r="AE93" i="1"/>
  <c r="AE88" i="1"/>
  <c r="AE90" i="1"/>
  <c r="AH90" i="1"/>
  <c r="AH89" i="1"/>
  <c r="B89" i="1"/>
  <c r="AE87" i="1"/>
  <c r="AG90" i="1"/>
  <c r="AG89" i="1"/>
  <c r="AE89" i="1"/>
  <c r="AF89" i="1" s="1"/>
  <c r="B90" i="1"/>
  <c r="AH86" i="1"/>
  <c r="AE86" i="1"/>
  <c r="AE85" i="1"/>
  <c r="AE84" i="1"/>
  <c r="AE83" i="1"/>
  <c r="AE82" i="1"/>
  <c r="AE81" i="1"/>
  <c r="AE80" i="1"/>
  <c r="AE79" i="1"/>
  <c r="AH78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3" i="1"/>
  <c r="AE64" i="1"/>
  <c r="AE62" i="1"/>
  <c r="AE61" i="1"/>
  <c r="AE60" i="1"/>
  <c r="AE59" i="1"/>
  <c r="AE58" i="1"/>
  <c r="AE57" i="1"/>
  <c r="AE44" i="1"/>
  <c r="AE32" i="1"/>
  <c r="AE53" i="1"/>
  <c r="AE49" i="1"/>
  <c r="AE45" i="1"/>
  <c r="AE41" i="1"/>
  <c r="AE37" i="1"/>
  <c r="AE33" i="1"/>
  <c r="AE29" i="1"/>
  <c r="AE25" i="1"/>
  <c r="AE56" i="1"/>
  <c r="B88" i="1"/>
  <c r="B87" i="1"/>
  <c r="AG87" i="1"/>
  <c r="AH88" i="1"/>
  <c r="AH87" i="1"/>
  <c r="AG88" i="1"/>
  <c r="B86" i="1"/>
  <c r="AG86" i="1"/>
  <c r="B85" i="1"/>
  <c r="B84" i="1"/>
  <c r="B83" i="1"/>
  <c r="B82" i="1"/>
  <c r="B81" i="1"/>
  <c r="AH83" i="1"/>
  <c r="AH81" i="1"/>
  <c r="AH84" i="1"/>
  <c r="AG85" i="1"/>
  <c r="AG81" i="1"/>
  <c r="AG83" i="1"/>
  <c r="AG82" i="1"/>
  <c r="AH82" i="1"/>
  <c r="AG84" i="1"/>
  <c r="AH85" i="1"/>
  <c r="B80" i="1"/>
  <c r="AG80" i="1"/>
  <c r="AH80" i="1"/>
  <c r="B79" i="1"/>
  <c r="AG79" i="1"/>
  <c r="M11" i="14"/>
  <c r="L11" i="14"/>
  <c r="K11" i="14"/>
  <c r="J3" i="14"/>
  <c r="I11" i="14"/>
  <c r="D11" i="14"/>
  <c r="C10" i="14"/>
  <c r="B10" i="14"/>
  <c r="M3" i="14"/>
  <c r="L3" i="14"/>
  <c r="K3" i="14"/>
  <c r="I3" i="14"/>
  <c r="B3" i="14"/>
  <c r="F10" i="14"/>
  <c r="E3" i="14"/>
  <c r="C11" i="14"/>
  <c r="B11" i="14"/>
  <c r="E11" i="14"/>
  <c r="D10" i="14"/>
  <c r="AH79" i="1"/>
  <c r="F3" i="14"/>
  <c r="F11" i="14"/>
  <c r="E10" i="14"/>
  <c r="D3" i="14"/>
  <c r="C3" i="14"/>
  <c r="J11" i="14"/>
  <c r="M10" i="14"/>
  <c r="K10" i="14"/>
  <c r="J10" i="14"/>
  <c r="I10" i="14"/>
  <c r="L10" i="14"/>
  <c r="B78" i="1"/>
  <c r="AG78" i="1"/>
  <c r="G4" i="27"/>
  <c r="B77" i="1"/>
  <c r="B76" i="1"/>
  <c r="AG77" i="1"/>
  <c r="AG76" i="1"/>
  <c r="AH77" i="1"/>
  <c r="AH76" i="1"/>
  <c r="J4" i="27"/>
  <c r="I4" i="27"/>
  <c r="B75" i="1"/>
  <c r="AH75" i="1"/>
  <c r="AG75" i="1"/>
  <c r="B74" i="1"/>
  <c r="AH74" i="1"/>
  <c r="AG74" i="1"/>
  <c r="B73" i="1"/>
  <c r="AH73" i="1"/>
  <c r="AG73" i="1"/>
  <c r="B72" i="1"/>
  <c r="AH71" i="1"/>
  <c r="AG72" i="1"/>
  <c r="B71" i="1"/>
  <c r="AH72" i="1"/>
  <c r="AG71" i="1"/>
  <c r="B70" i="1"/>
  <c r="AG70" i="1"/>
  <c r="AH70" i="1"/>
  <c r="AG69" i="1"/>
  <c r="B69" i="1"/>
  <c r="B68" i="1"/>
  <c r="AH68" i="1"/>
  <c r="AH69" i="1"/>
  <c r="AG68" i="1"/>
  <c r="AG67" i="1"/>
  <c r="B67" i="1"/>
  <c r="AH67" i="1"/>
  <c r="B65" i="1"/>
  <c r="B66" i="1"/>
  <c r="AH65" i="1"/>
  <c r="AG65" i="1"/>
  <c r="AH66" i="1"/>
  <c r="AG66" i="1"/>
  <c r="AG64" i="1"/>
  <c r="B64" i="1"/>
  <c r="AH64" i="1"/>
  <c r="B63" i="1"/>
  <c r="AH63" i="1"/>
  <c r="AG63" i="1"/>
  <c r="B62" i="1"/>
  <c r="AH62" i="1"/>
  <c r="AG62" i="1"/>
  <c r="AH61" i="1"/>
  <c r="AG61" i="1"/>
  <c r="B61" i="1"/>
  <c r="B45" i="1"/>
  <c r="B44" i="1"/>
  <c r="B60" i="1"/>
  <c r="AH60" i="1"/>
  <c r="AG60" i="1"/>
  <c r="AH59" i="1"/>
  <c r="AG59" i="1"/>
  <c r="B59" i="1"/>
  <c r="AH56" i="1"/>
  <c r="J5" i="13"/>
  <c r="J4" i="13"/>
  <c r="AG50" i="1"/>
  <c r="AH50" i="1"/>
  <c r="B50" i="1"/>
  <c r="AG38" i="1"/>
  <c r="AH38" i="1"/>
  <c r="B38" i="1"/>
  <c r="AF38" i="1" s="1"/>
  <c r="AH49" i="1"/>
  <c r="AG49" i="1"/>
  <c r="B49" i="1"/>
  <c r="AH45" i="1"/>
  <c r="AG45" i="1"/>
  <c r="AH37" i="1"/>
  <c r="AG37" i="1"/>
  <c r="B37" i="1"/>
  <c r="AH29" i="1"/>
  <c r="AG29" i="1"/>
  <c r="B29" i="1"/>
  <c r="AH21" i="1"/>
  <c r="AG21" i="1"/>
  <c r="B21" i="1"/>
  <c r="AF21" i="1" s="1"/>
  <c r="AH2" i="1"/>
  <c r="AG2" i="1"/>
  <c r="AH58" i="1"/>
  <c r="AG58" i="1"/>
  <c r="B58" i="1"/>
  <c r="B57" i="1"/>
  <c r="AG57" i="1"/>
  <c r="AH57" i="1"/>
  <c r="AG52" i="1"/>
  <c r="B52" i="1"/>
  <c r="AF52" i="1" s="1"/>
  <c r="AH52" i="1"/>
  <c r="AG48" i="1"/>
  <c r="B48" i="1"/>
  <c r="AF48" i="1" s="1"/>
  <c r="AH48" i="1"/>
  <c r="AG44" i="1"/>
  <c r="AH44" i="1"/>
  <c r="AG40" i="1"/>
  <c r="B40" i="1"/>
  <c r="AF40" i="1" s="1"/>
  <c r="AH40" i="1"/>
  <c r="AG36" i="1"/>
  <c r="B36" i="1"/>
  <c r="AF36" i="1" s="1"/>
  <c r="AH36" i="1"/>
  <c r="AG32" i="1"/>
  <c r="B32" i="1"/>
  <c r="AH32" i="1"/>
  <c r="AG28" i="1"/>
  <c r="B28" i="1"/>
  <c r="AH28" i="1"/>
  <c r="AG24" i="1"/>
  <c r="B24" i="1"/>
  <c r="AF24" i="1" s="1"/>
  <c r="AH24" i="1"/>
  <c r="AG20" i="1"/>
  <c r="B20" i="1"/>
  <c r="AF20" i="1" s="1"/>
  <c r="AH20" i="1"/>
  <c r="AG16" i="1"/>
  <c r="B16" i="1"/>
  <c r="AF16" i="1" s="1"/>
  <c r="AH16" i="1"/>
  <c r="AG12" i="1"/>
  <c r="B12" i="1"/>
  <c r="AH12" i="1"/>
  <c r="AG8" i="1"/>
  <c r="B8" i="1"/>
  <c r="AH8" i="1"/>
  <c r="AG4" i="1"/>
  <c r="B4" i="1"/>
  <c r="AH4" i="1"/>
  <c r="AH55" i="1"/>
  <c r="AG55" i="1"/>
  <c r="B55" i="1"/>
  <c r="AF55" i="1" s="1"/>
  <c r="AG51" i="1"/>
  <c r="B51" i="1"/>
  <c r="AF51" i="1" s="1"/>
  <c r="AH51" i="1"/>
  <c r="AG47" i="1"/>
  <c r="B47" i="1"/>
  <c r="AF47" i="1" s="1"/>
  <c r="AH47" i="1"/>
  <c r="AG43" i="1"/>
  <c r="B43" i="1"/>
  <c r="AF43" i="1" s="1"/>
  <c r="AH43" i="1"/>
  <c r="AG39" i="1"/>
  <c r="B39" i="1"/>
  <c r="AF39" i="1" s="1"/>
  <c r="AH39" i="1"/>
  <c r="AG35" i="1"/>
  <c r="B35" i="1"/>
  <c r="AF35" i="1" s="1"/>
  <c r="AH35" i="1"/>
  <c r="AG31" i="1"/>
  <c r="B31" i="1"/>
  <c r="AF31" i="1" s="1"/>
  <c r="AH31" i="1"/>
  <c r="AG27" i="1"/>
  <c r="B27" i="1"/>
  <c r="AF27" i="1" s="1"/>
  <c r="AH27" i="1"/>
  <c r="AG23" i="1"/>
  <c r="B23" i="1"/>
  <c r="AF23" i="1" s="1"/>
  <c r="AH23" i="1"/>
  <c r="AG19" i="1"/>
  <c r="B19" i="1"/>
  <c r="AF19" i="1" s="1"/>
  <c r="AH19" i="1"/>
  <c r="AG15" i="1"/>
  <c r="B15" i="1"/>
  <c r="AH15" i="1"/>
  <c r="AG11" i="1"/>
  <c r="B11" i="1"/>
  <c r="AH11" i="1"/>
  <c r="AG7" i="1"/>
  <c r="B7" i="1"/>
  <c r="AH7" i="1"/>
  <c r="B3" i="1"/>
  <c r="AG3" i="1"/>
  <c r="AH3" i="1"/>
  <c r="AG46" i="1"/>
  <c r="AH46" i="1"/>
  <c r="B46" i="1"/>
  <c r="AG34" i="1"/>
  <c r="AH34" i="1"/>
  <c r="B34" i="1"/>
  <c r="AF34" i="1" s="1"/>
  <c r="AG30" i="1"/>
  <c r="AH30" i="1"/>
  <c r="B30" i="1"/>
  <c r="AF30" i="1" s="1"/>
  <c r="AG26" i="1"/>
  <c r="AH26" i="1"/>
  <c r="B26" i="1"/>
  <c r="AF26" i="1" s="1"/>
  <c r="AG22" i="1"/>
  <c r="AH22" i="1"/>
  <c r="B22" i="1"/>
  <c r="AG18" i="1"/>
  <c r="AH18" i="1"/>
  <c r="B18" i="1"/>
  <c r="AF18" i="1" s="1"/>
  <c r="AG14" i="1"/>
  <c r="AH14" i="1"/>
  <c r="B14" i="1"/>
  <c r="AG10" i="1"/>
  <c r="AH10" i="1"/>
  <c r="B10" i="1"/>
  <c r="AG6" i="1"/>
  <c r="AH6" i="1"/>
  <c r="B6" i="1"/>
  <c r="B56" i="1"/>
  <c r="AF56" i="1" s="1"/>
  <c r="AH54" i="1"/>
  <c r="AG54" i="1"/>
  <c r="B54" i="1"/>
  <c r="AF54" i="1" s="1"/>
  <c r="AG42" i="1"/>
  <c r="AH42" i="1"/>
  <c r="B42" i="1"/>
  <c r="AF42" i="1" s="1"/>
  <c r="AH53" i="1"/>
  <c r="AG53" i="1"/>
  <c r="B53" i="1"/>
  <c r="AH41" i="1"/>
  <c r="AG41" i="1"/>
  <c r="B41" i="1"/>
  <c r="AH33" i="1"/>
  <c r="AG33" i="1"/>
  <c r="B33" i="1"/>
  <c r="AH25" i="1"/>
  <c r="AG25" i="1"/>
  <c r="B25" i="1"/>
  <c r="AH17" i="1"/>
  <c r="AG17" i="1"/>
  <c r="B17" i="1"/>
  <c r="AF17" i="1" s="1"/>
  <c r="AH13" i="1"/>
  <c r="AG13" i="1"/>
  <c r="B13" i="1"/>
  <c r="AH9" i="1"/>
  <c r="AG9" i="1"/>
  <c r="B9" i="1"/>
  <c r="AH5" i="1"/>
  <c r="AG5" i="1"/>
  <c r="B5" i="1"/>
  <c r="AG56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2" i="1"/>
  <c r="AF25" i="1" l="1"/>
  <c r="U7" i="13" a="1"/>
  <c r="U7" i="13" s="1"/>
  <c r="V7" i="13" s="1"/>
  <c r="U12" i="13" a="1"/>
  <c r="U12" i="13" s="1"/>
  <c r="V12" i="13" s="1"/>
  <c r="U11" i="13" a="1"/>
  <c r="U11" i="13" s="1"/>
  <c r="V11" i="13" s="1"/>
  <c r="U4" i="13" a="1"/>
  <c r="U4" i="13" s="1"/>
  <c r="V4" i="13" s="1"/>
  <c r="Y5" i="13" s="1" a="1"/>
  <c r="Y5" i="13" s="1"/>
  <c r="U13" i="13" a="1"/>
  <c r="U13" i="13" s="1"/>
  <c r="V13" i="13" s="1"/>
  <c r="Q50" i="13" a="1"/>
  <c r="Q50" i="13" s="1"/>
  <c r="U5" i="13" a="1"/>
  <c r="U5" i="13" s="1"/>
  <c r="V5" i="13" s="1"/>
  <c r="Q49" i="13" a="1"/>
  <c r="Q49" i="13" s="1"/>
  <c r="U10" i="13" a="1"/>
  <c r="U10" i="13" s="1"/>
  <c r="V10" i="13" s="1"/>
  <c r="U6" i="13" a="1"/>
  <c r="U6" i="13" s="1"/>
  <c r="V6" i="13" s="1"/>
  <c r="U9" i="13" a="1"/>
  <c r="U9" i="13" s="1"/>
  <c r="V9" i="13" s="1"/>
  <c r="U8" i="13" a="1"/>
  <c r="U8" i="13" s="1"/>
  <c r="V8" i="13" s="1"/>
  <c r="AF57" i="1"/>
  <c r="AF67" i="1"/>
  <c r="AF58" i="1"/>
  <c r="AF29" i="1"/>
  <c r="AF66" i="1"/>
  <c r="E58" i="13"/>
  <c r="C58" i="13" s="1"/>
  <c r="E66" i="13"/>
  <c r="AF80" i="1"/>
  <c r="AF45" i="1"/>
  <c r="AF72" i="1"/>
  <c r="AF82" i="1"/>
  <c r="AF46" i="1"/>
  <c r="AF28" i="1"/>
  <c r="AF50" i="1"/>
  <c r="AF81" i="1"/>
  <c r="AF85" i="1"/>
  <c r="AF88" i="1"/>
  <c r="E65" i="13"/>
  <c r="AF60" i="1"/>
  <c r="AF62" i="1"/>
  <c r="AF65" i="1"/>
  <c r="AF69" i="1"/>
  <c r="AF70" i="1"/>
  <c r="AF74" i="1"/>
  <c r="AF84" i="1"/>
  <c r="AF87" i="1"/>
  <c r="AF107" i="1"/>
  <c r="F55" i="13" s="1"/>
  <c r="E55" i="13"/>
  <c r="F60" i="13"/>
  <c r="E64" i="13"/>
  <c r="E62" i="13"/>
  <c r="AF22" i="1"/>
  <c r="E61" i="13"/>
  <c r="E60" i="13"/>
  <c r="E59" i="13"/>
  <c r="C59" i="13" s="1"/>
  <c r="E57" i="13"/>
  <c r="C57" i="13" s="1"/>
  <c r="E63" i="13"/>
  <c r="M5" i="13"/>
  <c r="M4" i="13"/>
  <c r="J6" i="13"/>
  <c r="AF63" i="1"/>
  <c r="AF68" i="1"/>
  <c r="AF79" i="1"/>
  <c r="AF83" i="1"/>
  <c r="AF76" i="1"/>
  <c r="AF78" i="1"/>
  <c r="AF91" i="1"/>
  <c r="AF93" i="1"/>
  <c r="F66" i="13" s="1"/>
  <c r="AF32" i="1"/>
  <c r="AF49" i="1"/>
  <c r="AF41" i="1"/>
  <c r="AF53" i="1"/>
  <c r="AF37" i="1"/>
  <c r="AF44" i="1"/>
  <c r="AF64" i="1"/>
  <c r="AF73" i="1"/>
  <c r="AF75" i="1"/>
  <c r="AF77" i="1"/>
  <c r="AF33" i="1"/>
  <c r="AF59" i="1"/>
  <c r="AF61" i="1"/>
  <c r="AF71" i="1"/>
  <c r="AF90" i="1"/>
  <c r="AF86" i="1"/>
  <c r="AF92" i="1"/>
  <c r="K4" i="27"/>
  <c r="L4" i="27"/>
  <c r="H4" i="2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2" i="1"/>
  <c r="M55" i="1"/>
  <c r="L55" i="1"/>
  <c r="K55" i="1"/>
  <c r="J55" i="1"/>
  <c r="I55" i="1"/>
  <c r="M54" i="1"/>
  <c r="L54" i="1"/>
  <c r="K54" i="1"/>
  <c r="J54" i="1"/>
  <c r="I54" i="1"/>
  <c r="F14" i="13" l="1"/>
  <c r="F23" i="13" s="1" a="1"/>
  <c r="F23" i="13" s="1"/>
  <c r="Y6" i="13" a="1"/>
  <c r="Y6" i="13" s="1"/>
  <c r="Z6" i="13" s="1"/>
  <c r="Z5" i="13"/>
  <c r="AU55" i="1"/>
  <c r="AU54" i="1"/>
  <c r="F63" i="13"/>
  <c r="F65" i="13"/>
  <c r="F61" i="13"/>
  <c r="F64" i="13"/>
  <c r="F62" i="13"/>
  <c r="M6" i="13"/>
  <c r="H3" i="27"/>
  <c r="Y54" i="1"/>
  <c r="X54" i="1"/>
  <c r="W54" i="1"/>
  <c r="R54" i="1"/>
  <c r="W55" i="1"/>
  <c r="X55" i="1"/>
  <c r="Y55" i="1"/>
  <c r="R55" i="1"/>
  <c r="E8" i="13"/>
  <c r="A8" i="13"/>
  <c r="G8" i="13"/>
  <c r="B8" i="13"/>
  <c r="D8" i="13"/>
  <c r="F8" i="13"/>
  <c r="C8" i="13"/>
  <c r="D54" i="1"/>
  <c r="V54" i="1" s="1"/>
  <c r="D55" i="1"/>
  <c r="V55" i="1" s="1"/>
  <c r="Q47" i="1"/>
  <c r="Q48" i="1"/>
  <c r="M53" i="1"/>
  <c r="L53" i="1"/>
  <c r="K53" i="1"/>
  <c r="J53" i="1"/>
  <c r="I53" i="1"/>
  <c r="D53" i="1"/>
  <c r="G20" i="13" l="1"/>
  <c r="G44" i="13" s="1"/>
  <c r="F27" i="13" a="1"/>
  <c r="F27" i="13" s="1"/>
  <c r="G23" i="13" a="1"/>
  <c r="G23" i="13" s="1"/>
  <c r="G18" i="13"/>
  <c r="G37" i="13" s="1"/>
  <c r="F25" i="13" a="1"/>
  <c r="F25" i="13" s="1"/>
  <c r="F21" i="13"/>
  <c r="G27" i="13" a="1"/>
  <c r="G27" i="13" s="1"/>
  <c r="G33" i="13" s="1"/>
  <c r="G24" i="13" a="1"/>
  <c r="G24" i="13" s="1"/>
  <c r="G38" i="13" s="1"/>
  <c r="G19" i="13"/>
  <c r="F26" i="13" a="1"/>
  <c r="F26" i="13" s="1"/>
  <c r="F46" i="13" s="1"/>
  <c r="F47" i="13"/>
  <c r="F18" i="13"/>
  <c r="F37" i="13" s="1"/>
  <c r="F16" i="13"/>
  <c r="F19" i="13"/>
  <c r="F34" i="13" s="1"/>
  <c r="G26" i="13" a="1"/>
  <c r="G26" i="13" s="1"/>
  <c r="G45" i="13" s="1"/>
  <c r="G25" i="13" a="1"/>
  <c r="G25" i="13" s="1"/>
  <c r="G41" i="13" s="1"/>
  <c r="G17" i="13"/>
  <c r="F17" i="13"/>
  <c r="F15" i="13"/>
  <c r="G22" i="13" a="1"/>
  <c r="G22" i="13" s="1"/>
  <c r="F20" i="13"/>
  <c r="F44" i="13" s="1"/>
  <c r="F45" i="13" s="1"/>
  <c r="G16" i="13"/>
  <c r="F22" i="13" a="1"/>
  <c r="F22" i="13" s="1"/>
  <c r="G21" i="13"/>
  <c r="G15" i="13"/>
  <c r="F24" i="13" a="1"/>
  <c r="F24" i="13" s="1"/>
  <c r="F48" i="13"/>
  <c r="F35" i="13"/>
  <c r="F29" i="13"/>
  <c r="F33" i="13"/>
  <c r="Y7" i="13" a="1"/>
  <c r="Y7" i="13" s="1"/>
  <c r="Y8" i="13" s="1" a="1"/>
  <c r="Y8" i="13" s="1"/>
  <c r="Y9" i="13" s="1" a="1"/>
  <c r="Y9" i="13" s="1"/>
  <c r="Z9" i="13" s="1"/>
  <c r="AT53" i="1"/>
  <c r="AU53" i="1"/>
  <c r="AT55" i="1"/>
  <c r="AT54" i="1"/>
  <c r="AL54" i="1"/>
  <c r="AL53" i="1"/>
  <c r="AL55" i="1"/>
  <c r="X53" i="1"/>
  <c r="Y53" i="1"/>
  <c r="W53" i="1"/>
  <c r="R53" i="1"/>
  <c r="Z54" i="1"/>
  <c r="AB54" i="1"/>
  <c r="AC55" i="1"/>
  <c r="Z55" i="1"/>
  <c r="AB55" i="1"/>
  <c r="AA55" i="1"/>
  <c r="AA53" i="1"/>
  <c r="AB53" i="1"/>
  <c r="AD54" i="1"/>
  <c r="AA54" i="1"/>
  <c r="AD55" i="1"/>
  <c r="AC53" i="1"/>
  <c r="Z53" i="1"/>
  <c r="AD53" i="1"/>
  <c r="AC54" i="1"/>
  <c r="Q44" i="1"/>
  <c r="Q45" i="1"/>
  <c r="Q46" i="1"/>
  <c r="M52" i="1"/>
  <c r="L52" i="1"/>
  <c r="K52" i="1"/>
  <c r="J52" i="1"/>
  <c r="I52" i="1"/>
  <c r="D52" i="1"/>
  <c r="G30" i="13" l="1"/>
  <c r="G29" i="13"/>
  <c r="G35" i="13"/>
  <c r="G47" i="13"/>
  <c r="G31" i="13"/>
  <c r="F31" i="13"/>
  <c r="G28" i="13"/>
  <c r="F41" i="13"/>
  <c r="G39" i="13"/>
  <c r="G48" i="13"/>
  <c r="G32" i="13"/>
  <c r="G40" i="13"/>
  <c r="G46" i="13"/>
  <c r="F30" i="13"/>
  <c r="F39" i="13"/>
  <c r="F40" i="13"/>
  <c r="F32" i="13"/>
  <c r="G34" i="13"/>
  <c r="F38" i="13"/>
  <c r="F28" i="13"/>
  <c r="Z7" i="13"/>
  <c r="Z8" i="13"/>
  <c r="Y10" i="13" a="1"/>
  <c r="Y10" i="13" s="1"/>
  <c r="Z10" i="13" s="1"/>
  <c r="AU52" i="1"/>
  <c r="AT52" i="1"/>
  <c r="AL52" i="1"/>
  <c r="W52" i="1"/>
  <c r="Y52" i="1"/>
  <c r="X52" i="1"/>
  <c r="R52" i="1"/>
  <c r="AC52" i="1"/>
  <c r="Z52" i="1"/>
  <c r="AD52" i="1"/>
  <c r="AA52" i="1"/>
  <c r="AB52" i="1"/>
  <c r="M40" i="1"/>
  <c r="M51" i="1"/>
  <c r="L51" i="1"/>
  <c r="K51" i="1"/>
  <c r="J51" i="1"/>
  <c r="I51" i="1"/>
  <c r="Y11" i="13" l="1" a="1"/>
  <c r="Y11" i="13" s="1"/>
  <c r="Z11" i="13" s="1"/>
  <c r="AC3" i="13" s="1" a="1"/>
  <c r="AC3" i="13" s="1"/>
  <c r="AD3" i="13" s="1"/>
  <c r="AU51" i="1"/>
  <c r="W51" i="1"/>
  <c r="Y51" i="1"/>
  <c r="X51" i="1"/>
  <c r="R51" i="1"/>
  <c r="D51" i="1"/>
  <c r="V51" i="1" s="1"/>
  <c r="Q43" i="1"/>
  <c r="M50" i="1"/>
  <c r="L50" i="1"/>
  <c r="K50" i="1"/>
  <c r="J50" i="1"/>
  <c r="I50" i="1"/>
  <c r="D50" i="1"/>
  <c r="AC7" i="13" l="1" a="1"/>
  <c r="AC7" i="13" s="1"/>
  <c r="AD7" i="13" s="1"/>
  <c r="AC15" i="13" a="1"/>
  <c r="AC15" i="13" s="1"/>
  <c r="AC6" i="13" a="1"/>
  <c r="AC6" i="13" s="1"/>
  <c r="AD6" i="13" s="1"/>
  <c r="Z17" i="13" a="1"/>
  <c r="Z17" i="13" s="1"/>
  <c r="AC11" i="13" a="1"/>
  <c r="AC11" i="13" s="1"/>
  <c r="AC4" i="13" a="1"/>
  <c r="AC4" i="13" s="1"/>
  <c r="AD4" i="13" s="1"/>
  <c r="AC9" i="13" a="1"/>
  <c r="AC9" i="13" s="1"/>
  <c r="AD9" i="13" s="1"/>
  <c r="AC13" i="13" a="1"/>
  <c r="AC13" i="13" s="1"/>
  <c r="AC5" i="13" a="1"/>
  <c r="AC5" i="13" s="1"/>
  <c r="AD5" i="13" s="1"/>
  <c r="AC16" i="13" a="1"/>
  <c r="AC16" i="13" s="1"/>
  <c r="AC8" i="13" a="1"/>
  <c r="AC8" i="13" s="1"/>
  <c r="AU50" i="1"/>
  <c r="AT50" i="1"/>
  <c r="AT51" i="1"/>
  <c r="AL51" i="1"/>
  <c r="AL50" i="1"/>
  <c r="Y50" i="1"/>
  <c r="X50" i="1"/>
  <c r="W50" i="1"/>
  <c r="R50" i="1"/>
  <c r="Z51" i="1"/>
  <c r="AA50" i="1"/>
  <c r="AB50" i="1"/>
  <c r="AB51" i="1"/>
  <c r="AD51" i="1"/>
  <c r="AC50" i="1"/>
  <c r="AC51" i="1"/>
  <c r="Z50" i="1"/>
  <c r="AD50" i="1"/>
  <c r="AA51" i="1"/>
  <c r="Q37" i="1"/>
  <c r="Q38" i="1"/>
  <c r="Q39" i="1"/>
  <c r="Q40" i="1"/>
  <c r="Q41" i="1"/>
  <c r="Q42" i="1"/>
  <c r="M49" i="1"/>
  <c r="L49" i="1"/>
  <c r="K49" i="1"/>
  <c r="J49" i="1"/>
  <c r="I49" i="1"/>
  <c r="D49" i="1"/>
  <c r="B14" i="13" l="1"/>
  <c r="B22" i="13" s="1" a="1"/>
  <c r="B22" i="13" s="1"/>
  <c r="AD8" i="13"/>
  <c r="C23" i="13" a="1"/>
  <c r="C23" i="13" s="1"/>
  <c r="AT49" i="1"/>
  <c r="AU49" i="1"/>
  <c r="AL49" i="1"/>
  <c r="X49" i="1"/>
  <c r="Y49" i="1"/>
  <c r="W49" i="1"/>
  <c r="R49" i="1"/>
  <c r="AB49" i="1"/>
  <c r="AD49" i="1"/>
  <c r="AC49" i="1"/>
  <c r="Z49" i="1"/>
  <c r="AA49" i="1"/>
  <c r="M48" i="1"/>
  <c r="L48" i="1"/>
  <c r="K48" i="1"/>
  <c r="J48" i="1"/>
  <c r="I48" i="1"/>
  <c r="D48" i="1"/>
  <c r="C25" i="13" l="1" a="1"/>
  <c r="C25" i="13" s="1"/>
  <c r="B25" i="13" a="1"/>
  <c r="B25" i="13" s="1"/>
  <c r="C20" i="13"/>
  <c r="C44" i="13" s="1"/>
  <c r="C18" i="13"/>
  <c r="C37" i="13" s="1"/>
  <c r="B17" i="13"/>
  <c r="B27" i="13" a="1"/>
  <c r="B27" i="13" s="1"/>
  <c r="C22" i="13" a="1"/>
  <c r="C22" i="13" s="1"/>
  <c r="C40" i="13" s="1"/>
  <c r="B19" i="13"/>
  <c r="C26" i="13" a="1"/>
  <c r="C26" i="13" s="1"/>
  <c r="C27" i="13" a="1"/>
  <c r="C27" i="13" s="1"/>
  <c r="C24" i="13" a="1"/>
  <c r="C24" i="13" s="1"/>
  <c r="B20" i="13"/>
  <c r="B44" i="13" s="1"/>
  <c r="B24" i="13" a="1"/>
  <c r="B24" i="13" s="1"/>
  <c r="B15" i="13"/>
  <c r="C17" i="13"/>
  <c r="C19" i="13"/>
  <c r="C15" i="13"/>
  <c r="B16" i="13"/>
  <c r="C16" i="13"/>
  <c r="B26" i="13" a="1"/>
  <c r="B26" i="13" s="1"/>
  <c r="B45" i="13" s="1"/>
  <c r="C21" i="13"/>
  <c r="C48" i="13" s="1"/>
  <c r="B21" i="13"/>
  <c r="B48" i="13" s="1"/>
  <c r="B18" i="13"/>
  <c r="B37" i="13" s="1"/>
  <c r="B23" i="13" a="1"/>
  <c r="B23" i="13" s="1"/>
  <c r="B47" i="13" s="1"/>
  <c r="C31" i="13"/>
  <c r="C46" i="13"/>
  <c r="C41" i="13"/>
  <c r="C34" i="13"/>
  <c r="C28" i="13"/>
  <c r="B35" i="13"/>
  <c r="C38" i="13"/>
  <c r="B40" i="13"/>
  <c r="B28" i="13"/>
  <c r="B32" i="13"/>
  <c r="B41" i="13"/>
  <c r="B34" i="13"/>
  <c r="C47" i="13"/>
  <c r="C29" i="13"/>
  <c r="C33" i="13"/>
  <c r="C45" i="13"/>
  <c r="B30" i="13"/>
  <c r="B39" i="13"/>
  <c r="AU48" i="1"/>
  <c r="AT48" i="1"/>
  <c r="AL48" i="1"/>
  <c r="W48" i="1"/>
  <c r="X48" i="1"/>
  <c r="Y48" i="1"/>
  <c r="R48" i="1"/>
  <c r="AB48" i="1"/>
  <c r="AC48" i="1"/>
  <c r="Z48" i="1"/>
  <c r="AD48" i="1"/>
  <c r="AA48" i="1"/>
  <c r="M47" i="1"/>
  <c r="L47" i="1"/>
  <c r="K47" i="1"/>
  <c r="J47" i="1"/>
  <c r="I47" i="1"/>
  <c r="D47" i="1"/>
  <c r="C39" i="13" l="1"/>
  <c r="C32" i="13"/>
  <c r="C30" i="13"/>
  <c r="C35" i="13"/>
  <c r="B29" i="13"/>
  <c r="B38" i="13"/>
  <c r="B46" i="13"/>
  <c r="B33" i="13"/>
  <c r="B31" i="13"/>
  <c r="AU47" i="1"/>
  <c r="AT47" i="1"/>
  <c r="AA47" i="1"/>
  <c r="AL47" i="1"/>
  <c r="W47" i="1"/>
  <c r="X47" i="1"/>
  <c r="Y47" i="1"/>
  <c r="R47" i="1"/>
  <c r="AB47" i="1"/>
  <c r="AC47" i="1"/>
  <c r="Z47" i="1"/>
  <c r="AD47" i="1"/>
  <c r="M46" i="1"/>
  <c r="L46" i="1"/>
  <c r="K46" i="1"/>
  <c r="J46" i="1"/>
  <c r="I46" i="1"/>
  <c r="D46" i="1"/>
  <c r="M45" i="1"/>
  <c r="L45" i="1"/>
  <c r="K45" i="1"/>
  <c r="J45" i="1"/>
  <c r="I45" i="1"/>
  <c r="D45" i="1"/>
  <c r="AU46" i="1" l="1"/>
  <c r="AT45" i="1"/>
  <c r="AU45" i="1"/>
  <c r="AT46" i="1"/>
  <c r="AL45" i="1"/>
  <c r="AL46" i="1"/>
  <c r="X45" i="1"/>
  <c r="Y45" i="1"/>
  <c r="W45" i="1"/>
  <c r="R45" i="1"/>
  <c r="Y46" i="1"/>
  <c r="X46" i="1"/>
  <c r="W46" i="1"/>
  <c r="R46" i="1"/>
  <c r="AA46" i="1"/>
  <c r="Z45" i="1"/>
  <c r="AD45" i="1"/>
  <c r="AB46" i="1"/>
  <c r="AB45" i="1"/>
  <c r="Z46" i="1"/>
  <c r="AD46" i="1"/>
  <c r="AC45" i="1"/>
  <c r="AA45" i="1"/>
  <c r="AC46" i="1"/>
  <c r="M44" i="1"/>
  <c r="F9" i="14" s="1"/>
  <c r="L44" i="1"/>
  <c r="E9" i="14" s="1"/>
  <c r="K44" i="1"/>
  <c r="D9" i="14" s="1"/>
  <c r="J44" i="1"/>
  <c r="I44" i="1"/>
  <c r="B9" i="14" s="1"/>
  <c r="D44" i="1"/>
  <c r="AT44" i="1" l="1"/>
  <c r="C9" i="14"/>
  <c r="AU44" i="1"/>
  <c r="AL44" i="1"/>
  <c r="W44" i="1"/>
  <c r="Y44" i="1"/>
  <c r="X44" i="1"/>
  <c r="R44" i="1"/>
  <c r="Z44" i="1"/>
  <c r="I9" i="14" s="1"/>
  <c r="AD44" i="1"/>
  <c r="M9" i="14" s="1"/>
  <c r="AA44" i="1"/>
  <c r="J9" i="14" s="1"/>
  <c r="AB44" i="1"/>
  <c r="K9" i="14" s="1"/>
  <c r="AC44" i="1"/>
  <c r="L9" i="14" s="1"/>
  <c r="Q34" i="1"/>
  <c r="Q35" i="1"/>
  <c r="Q36" i="1"/>
  <c r="M43" i="1"/>
  <c r="L43" i="1"/>
  <c r="K43" i="1"/>
  <c r="J43" i="1"/>
  <c r="I43" i="1"/>
  <c r="D43" i="1"/>
  <c r="AU43" i="1" l="1"/>
  <c r="AT43" i="1"/>
  <c r="AL43" i="1"/>
  <c r="W43" i="1"/>
  <c r="Y43" i="1"/>
  <c r="X43" i="1"/>
  <c r="R43" i="1"/>
  <c r="AA43" i="1"/>
  <c r="AB43" i="1"/>
  <c r="AC43" i="1"/>
  <c r="Z43" i="1"/>
  <c r="AD43" i="1"/>
  <c r="M42" i="1"/>
  <c r="L42" i="1"/>
  <c r="K42" i="1"/>
  <c r="J42" i="1"/>
  <c r="I42" i="1"/>
  <c r="D42" i="1"/>
  <c r="AU42" i="1" l="1"/>
  <c r="AT42" i="1"/>
  <c r="AL42" i="1"/>
  <c r="Y42" i="1"/>
  <c r="X42" i="1"/>
  <c r="W42" i="1"/>
  <c r="R42" i="1"/>
  <c r="AA42" i="1"/>
  <c r="AB42" i="1"/>
  <c r="Z42" i="1"/>
  <c r="AD42" i="1"/>
  <c r="AC42" i="1"/>
  <c r="M41" i="1"/>
  <c r="L41" i="1"/>
  <c r="K41" i="1"/>
  <c r="J41" i="1"/>
  <c r="I41" i="1"/>
  <c r="D41" i="1"/>
  <c r="L40" i="1"/>
  <c r="K40" i="1"/>
  <c r="J40" i="1"/>
  <c r="I40" i="1"/>
  <c r="D40" i="1"/>
  <c r="AT40" i="1" l="1"/>
  <c r="AT41" i="1"/>
  <c r="AU41" i="1"/>
  <c r="AU40" i="1"/>
  <c r="AL40" i="1"/>
  <c r="AL41" i="1"/>
  <c r="W40" i="1"/>
  <c r="X40" i="1"/>
  <c r="Y40" i="1"/>
  <c r="R40" i="1"/>
  <c r="X41" i="1"/>
  <c r="Y41" i="1"/>
  <c r="W41" i="1"/>
  <c r="R41" i="1"/>
  <c r="AB40" i="1"/>
  <c r="AA41" i="1"/>
  <c r="AB41" i="1"/>
  <c r="AD40" i="1"/>
  <c r="AC40" i="1"/>
  <c r="Z40" i="1"/>
  <c r="AC41" i="1"/>
  <c r="AA40" i="1"/>
  <c r="Z41" i="1"/>
  <c r="AD41" i="1"/>
  <c r="M39" i="1"/>
  <c r="L39" i="1"/>
  <c r="K39" i="1"/>
  <c r="J39" i="1"/>
  <c r="I39" i="1"/>
  <c r="D39" i="1"/>
  <c r="AT39" i="1" l="1"/>
  <c r="AU39" i="1"/>
  <c r="AL39" i="1"/>
  <c r="W39" i="1"/>
  <c r="X39" i="1"/>
  <c r="Y39" i="1"/>
  <c r="R39" i="1"/>
  <c r="AB39" i="1"/>
  <c r="AA39" i="1"/>
  <c r="AC39" i="1"/>
  <c r="Z39" i="1"/>
  <c r="AD39" i="1"/>
  <c r="M38" i="1"/>
  <c r="L38" i="1"/>
  <c r="K38" i="1"/>
  <c r="J38" i="1"/>
  <c r="I38" i="1"/>
  <c r="D38" i="1"/>
  <c r="AT38" i="1" l="1"/>
  <c r="AU38" i="1"/>
  <c r="AL38" i="1"/>
  <c r="Y38" i="1"/>
  <c r="X38" i="1"/>
  <c r="W38" i="1"/>
  <c r="R38" i="1"/>
  <c r="AB38" i="1"/>
  <c r="AA38" i="1"/>
  <c r="AC38" i="1"/>
  <c r="Z38" i="1"/>
  <c r="AD38" i="1"/>
  <c r="M37" i="1"/>
  <c r="F8" i="14" s="1"/>
  <c r="L37" i="1"/>
  <c r="K37" i="1"/>
  <c r="J37" i="1"/>
  <c r="I37" i="1"/>
  <c r="D37" i="1"/>
  <c r="Q33" i="1"/>
  <c r="L36" i="1"/>
  <c r="K36" i="1"/>
  <c r="J36" i="1"/>
  <c r="I36" i="1"/>
  <c r="D36" i="1"/>
  <c r="AU36" i="1" l="1"/>
  <c r="AT37" i="1"/>
  <c r="AT36" i="1"/>
  <c r="AU37" i="1"/>
  <c r="AL36" i="1"/>
  <c r="AL37" i="1"/>
  <c r="X37" i="1"/>
  <c r="Y37" i="1"/>
  <c r="W37" i="1"/>
  <c r="R37" i="1"/>
  <c r="W36" i="1"/>
  <c r="Y36" i="1"/>
  <c r="X36" i="1"/>
  <c r="R36" i="1"/>
  <c r="AB36" i="1"/>
  <c r="Z36" i="1"/>
  <c r="AC37" i="1"/>
  <c r="AC36" i="1"/>
  <c r="Z37" i="1"/>
  <c r="AD37" i="1"/>
  <c r="AD36" i="1"/>
  <c r="AA37" i="1"/>
  <c r="AA36" i="1"/>
  <c r="AB37" i="1"/>
  <c r="L35" i="1"/>
  <c r="K35" i="1"/>
  <c r="J35" i="1"/>
  <c r="D35" i="1"/>
  <c r="AU35" i="1" l="1"/>
  <c r="AT35" i="1"/>
  <c r="AL35" i="1"/>
  <c r="W35" i="1"/>
  <c r="Y35" i="1"/>
  <c r="X35" i="1"/>
  <c r="R35" i="1"/>
  <c r="AB35" i="1"/>
  <c r="AC35" i="1"/>
  <c r="AD35" i="1"/>
  <c r="Z35" i="1"/>
  <c r="AA35" i="1"/>
  <c r="Q32" i="1"/>
  <c r="L34" i="1"/>
  <c r="K34" i="1"/>
  <c r="J34" i="1"/>
  <c r="I34" i="1"/>
  <c r="D34" i="1"/>
  <c r="AU34" i="1" l="1"/>
  <c r="AT34" i="1"/>
  <c r="AL34" i="1"/>
  <c r="Y34" i="1"/>
  <c r="X34" i="1"/>
  <c r="W34" i="1"/>
  <c r="R34" i="1"/>
  <c r="AC34" i="1"/>
  <c r="Z34" i="1"/>
  <c r="AD34" i="1"/>
  <c r="AA34" i="1"/>
  <c r="AB34" i="1"/>
  <c r="Q5" i="1"/>
  <c r="Q4" i="1"/>
  <c r="Q3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L33" i="1"/>
  <c r="E8" i="14" s="1"/>
  <c r="K33" i="1"/>
  <c r="D8" i="14" s="1"/>
  <c r="J33" i="1"/>
  <c r="I33" i="1"/>
  <c r="B8" i="14" s="1"/>
  <c r="D33" i="1"/>
  <c r="AT33" i="1" l="1"/>
  <c r="C8" i="14"/>
  <c r="AU33" i="1"/>
  <c r="AL33" i="1"/>
  <c r="X33" i="1"/>
  <c r="Y33" i="1"/>
  <c r="W33" i="1"/>
  <c r="R33" i="1"/>
  <c r="Z33" i="1"/>
  <c r="I8" i="14" s="1"/>
  <c r="AD33" i="1"/>
  <c r="M8" i="14" s="1"/>
  <c r="AB33" i="1"/>
  <c r="K8" i="14" s="1"/>
  <c r="AC33" i="1"/>
  <c r="L8" i="14" s="1"/>
  <c r="AA33" i="1"/>
  <c r="J8" i="14" s="1"/>
  <c r="L32" i="1"/>
  <c r="K32" i="1"/>
  <c r="J32" i="1"/>
  <c r="I32" i="1"/>
  <c r="D32" i="1"/>
  <c r="AU32" i="1" l="1"/>
  <c r="AT32" i="1"/>
  <c r="AB32" i="1"/>
  <c r="AL32" i="1"/>
  <c r="W32" i="1"/>
  <c r="X32" i="1"/>
  <c r="Y32" i="1"/>
  <c r="R32" i="1"/>
  <c r="AC32" i="1"/>
  <c r="Z32" i="1"/>
  <c r="AD32" i="1"/>
  <c r="AA32" i="1"/>
  <c r="I31" i="1"/>
  <c r="J31" i="1"/>
  <c r="K31" i="1"/>
  <c r="L31" i="1"/>
  <c r="D31" i="1"/>
  <c r="AU31" i="1" l="1"/>
  <c r="AT31" i="1"/>
  <c r="AA31" i="1"/>
  <c r="AL31" i="1"/>
  <c r="W31" i="1"/>
  <c r="X31" i="1"/>
  <c r="Y31" i="1"/>
  <c r="R31" i="1"/>
  <c r="AB31" i="1"/>
  <c r="Z31" i="1"/>
  <c r="AC31" i="1"/>
  <c r="AD31" i="1"/>
  <c r="M30" i="1"/>
  <c r="L30" i="1"/>
  <c r="K30" i="1"/>
  <c r="J30" i="1"/>
  <c r="I30" i="1"/>
  <c r="AU30" i="1" l="1"/>
  <c r="Y30" i="1"/>
  <c r="X30" i="1"/>
  <c r="W30" i="1"/>
  <c r="R30" i="1"/>
  <c r="D30" i="1"/>
  <c r="V30" i="1" s="1"/>
  <c r="M29" i="1"/>
  <c r="L29" i="1"/>
  <c r="K29" i="1"/>
  <c r="J29" i="1"/>
  <c r="I29" i="1"/>
  <c r="D29" i="1"/>
  <c r="AT29" i="1" l="1"/>
  <c r="AU29" i="1"/>
  <c r="AT30" i="1"/>
  <c r="AB29" i="1"/>
  <c r="AL29" i="1"/>
  <c r="AL30" i="1"/>
  <c r="X29" i="1"/>
  <c r="Y29" i="1"/>
  <c r="W29" i="1"/>
  <c r="R29" i="1"/>
  <c r="Z30" i="1"/>
  <c r="AD30" i="1"/>
  <c r="AC29" i="1"/>
  <c r="Z29" i="1"/>
  <c r="AD29" i="1"/>
  <c r="AC30" i="1"/>
  <c r="AB30" i="1"/>
  <c r="AA29" i="1"/>
  <c r="AA30" i="1"/>
  <c r="M28" i="1"/>
  <c r="L28" i="1"/>
  <c r="K28" i="1"/>
  <c r="J28" i="1"/>
  <c r="I28" i="1"/>
  <c r="D28" i="1"/>
  <c r="AT28" i="1" l="1"/>
  <c r="AU28" i="1"/>
  <c r="AL28" i="1"/>
  <c r="AB28" i="1"/>
  <c r="W28" i="1"/>
  <c r="Y28" i="1"/>
  <c r="X28" i="1"/>
  <c r="R28" i="1"/>
  <c r="AC28" i="1"/>
  <c r="Z28" i="1"/>
  <c r="AD28" i="1"/>
  <c r="AA28" i="1"/>
  <c r="M27" i="1"/>
  <c r="L27" i="1"/>
  <c r="K27" i="1"/>
  <c r="J27" i="1"/>
  <c r="I27" i="1"/>
  <c r="D27" i="1"/>
  <c r="M26" i="1"/>
  <c r="L26" i="1"/>
  <c r="K26" i="1"/>
  <c r="J26" i="1"/>
  <c r="I26" i="1"/>
  <c r="D26" i="1"/>
  <c r="AU26" i="1" l="1"/>
  <c r="AT27" i="1"/>
  <c r="AT26" i="1"/>
  <c r="AU27" i="1"/>
  <c r="AL26" i="1"/>
  <c r="AL27" i="1"/>
  <c r="W27" i="1"/>
  <c r="Y27" i="1"/>
  <c r="X27" i="1"/>
  <c r="R27" i="1"/>
  <c r="Y26" i="1"/>
  <c r="X26" i="1"/>
  <c r="W26" i="1"/>
  <c r="R26" i="1"/>
  <c r="AA26" i="1"/>
  <c r="AB26" i="1"/>
  <c r="AC27" i="1"/>
  <c r="Z27" i="1"/>
  <c r="AD27" i="1"/>
  <c r="AC26" i="1"/>
  <c r="AA27" i="1"/>
  <c r="Z26" i="1"/>
  <c r="AD26" i="1"/>
  <c r="AB27" i="1"/>
  <c r="M25" i="1"/>
  <c r="L25" i="1"/>
  <c r="K25" i="1"/>
  <c r="J25" i="1"/>
  <c r="I25" i="1"/>
  <c r="D25" i="1"/>
  <c r="AT25" i="1" l="1"/>
  <c r="AU25" i="1"/>
  <c r="AL25" i="1"/>
  <c r="X25" i="1"/>
  <c r="Y25" i="1"/>
  <c r="W25" i="1"/>
  <c r="R25" i="1"/>
  <c r="AA25" i="1"/>
  <c r="AB25" i="1"/>
  <c r="AC25" i="1"/>
  <c r="Z25" i="1"/>
  <c r="AD25" i="1"/>
  <c r="M24" i="1"/>
  <c r="L24" i="1"/>
  <c r="K24" i="1"/>
  <c r="J24" i="1"/>
  <c r="I24" i="1"/>
  <c r="D24" i="1"/>
  <c r="AT24" i="1" l="1"/>
  <c r="AU24" i="1"/>
  <c r="AL24" i="1"/>
  <c r="W24" i="1"/>
  <c r="X24" i="1"/>
  <c r="Y24" i="1"/>
  <c r="R24" i="1"/>
  <c r="AA24" i="1"/>
  <c r="AB24" i="1"/>
  <c r="AC24" i="1"/>
  <c r="Z24" i="1"/>
  <c r="AD24" i="1"/>
  <c r="M23" i="1"/>
  <c r="L23" i="1"/>
  <c r="K23" i="1"/>
  <c r="J23" i="1"/>
  <c r="I23" i="1"/>
  <c r="D23" i="1"/>
  <c r="AT23" i="1" l="1"/>
  <c r="AU23" i="1"/>
  <c r="AL23" i="1"/>
  <c r="W23" i="1"/>
  <c r="X23" i="1"/>
  <c r="Y23" i="1"/>
  <c r="R23" i="1"/>
  <c r="Z23" i="1"/>
  <c r="AC23" i="1"/>
  <c r="AD23" i="1"/>
  <c r="AA23" i="1"/>
  <c r="AB23" i="1"/>
  <c r="M22" i="1"/>
  <c r="F7" i="14" s="1"/>
  <c r="L22" i="1"/>
  <c r="E7" i="14" s="1"/>
  <c r="K22" i="1"/>
  <c r="D7" i="14" s="1"/>
  <c r="J22" i="1"/>
  <c r="I22" i="1"/>
  <c r="B7" i="14" s="1"/>
  <c r="C7" i="14" l="1"/>
  <c r="AU22" i="1"/>
  <c r="Y22" i="1"/>
  <c r="X22" i="1"/>
  <c r="W22" i="1"/>
  <c r="R22" i="1"/>
  <c r="D22" i="1"/>
  <c r="V22" i="1" s="1"/>
  <c r="A3" i="1"/>
  <c r="L21" i="1"/>
  <c r="K21" i="1"/>
  <c r="J21" i="1"/>
  <c r="I21" i="1"/>
  <c r="D21" i="1"/>
  <c r="L20" i="1"/>
  <c r="K20" i="1"/>
  <c r="AB20" i="1" s="1"/>
  <c r="J20" i="1"/>
  <c r="I20" i="1"/>
  <c r="Z20" i="1" s="1"/>
  <c r="M19" i="1"/>
  <c r="L19" i="1"/>
  <c r="K19" i="1"/>
  <c r="J19" i="1"/>
  <c r="AU19" i="1" s="1"/>
  <c r="I19" i="1"/>
  <c r="D19" i="1"/>
  <c r="L18" i="1"/>
  <c r="K18" i="1"/>
  <c r="J18" i="1"/>
  <c r="I18" i="1"/>
  <c r="D18" i="1"/>
  <c r="M17" i="1"/>
  <c r="L17" i="1"/>
  <c r="K17" i="1"/>
  <c r="J17" i="1"/>
  <c r="I17" i="1"/>
  <c r="D17" i="1"/>
  <c r="L16" i="1"/>
  <c r="K16" i="1"/>
  <c r="J16" i="1"/>
  <c r="AU16" i="1" s="1"/>
  <c r="I16" i="1"/>
  <c r="D16" i="1"/>
  <c r="M15" i="1"/>
  <c r="L15" i="1"/>
  <c r="K15" i="1"/>
  <c r="J15" i="1"/>
  <c r="I15" i="1"/>
  <c r="M14" i="1"/>
  <c r="L14" i="1"/>
  <c r="K14" i="1"/>
  <c r="J14" i="1"/>
  <c r="I14" i="1"/>
  <c r="D14" i="1"/>
  <c r="M13" i="1"/>
  <c r="L13" i="1"/>
  <c r="K13" i="1"/>
  <c r="J13" i="1"/>
  <c r="I13" i="1"/>
  <c r="D13" i="1"/>
  <c r="M12" i="1"/>
  <c r="F6" i="14" s="1"/>
  <c r="L12" i="1"/>
  <c r="K12" i="1"/>
  <c r="J12" i="1"/>
  <c r="I12" i="1"/>
  <c r="B6" i="14" s="1"/>
  <c r="M11" i="1"/>
  <c r="L11" i="1"/>
  <c r="K11" i="1"/>
  <c r="J11" i="1"/>
  <c r="I11" i="1"/>
  <c r="M10" i="1"/>
  <c r="L10" i="1"/>
  <c r="K10" i="1"/>
  <c r="J10" i="1"/>
  <c r="I10" i="1"/>
  <c r="D10" i="1"/>
  <c r="M9" i="1"/>
  <c r="AD9" i="1" s="1"/>
  <c r="L9" i="1"/>
  <c r="K9" i="1"/>
  <c r="AB9" i="1" s="1"/>
  <c r="J9" i="1"/>
  <c r="I9" i="1"/>
  <c r="Z9" i="1" s="1"/>
  <c r="M8" i="1"/>
  <c r="L8" i="1"/>
  <c r="K8" i="1"/>
  <c r="J8" i="1"/>
  <c r="I8" i="1"/>
  <c r="L7" i="1"/>
  <c r="K7" i="1"/>
  <c r="AB7" i="1" s="1"/>
  <c r="J7" i="1"/>
  <c r="I7" i="1"/>
  <c r="Z7" i="1" s="1"/>
  <c r="M6" i="1"/>
  <c r="F4" i="14" s="1"/>
  <c r="L6" i="1"/>
  <c r="K6" i="1"/>
  <c r="J6" i="1"/>
  <c r="I6" i="1"/>
  <c r="D6" i="1"/>
  <c r="L5" i="1"/>
  <c r="K5" i="1"/>
  <c r="J5" i="1"/>
  <c r="I5" i="1"/>
  <c r="D6" i="14" l="1"/>
  <c r="E6" i="14"/>
  <c r="AU5" i="1"/>
  <c r="AT21" i="1"/>
  <c r="AT6" i="1"/>
  <c r="AA9" i="1"/>
  <c r="AU9" i="1"/>
  <c r="AT10" i="1"/>
  <c r="C6" i="14"/>
  <c r="AU12" i="1"/>
  <c r="AT13" i="1"/>
  <c r="AU14" i="1"/>
  <c r="AU17" i="1"/>
  <c r="AT18" i="1"/>
  <c r="AA20" i="1"/>
  <c r="AU20" i="1"/>
  <c r="AU15" i="1"/>
  <c r="AT16" i="1"/>
  <c r="AT19" i="1"/>
  <c r="AU21" i="1"/>
  <c r="AU13" i="1"/>
  <c r="AT14" i="1"/>
  <c r="AT17" i="1"/>
  <c r="AU18" i="1"/>
  <c r="AU6" i="1"/>
  <c r="AU10" i="1"/>
  <c r="AA7" i="1"/>
  <c r="AU7" i="1"/>
  <c r="AU8" i="1"/>
  <c r="AU11" i="1"/>
  <c r="AT22" i="1"/>
  <c r="E4" i="14"/>
  <c r="C5" i="14"/>
  <c r="E5" i="14"/>
  <c r="D4" i="14"/>
  <c r="B5" i="14"/>
  <c r="F5" i="14"/>
  <c r="AL14" i="1"/>
  <c r="AL17" i="1"/>
  <c r="AL21" i="1"/>
  <c r="B4" i="14"/>
  <c r="AL6" i="1"/>
  <c r="D5" i="14"/>
  <c r="AL10" i="1"/>
  <c r="AL13" i="1"/>
  <c r="AB16" i="1"/>
  <c r="AL18" i="1"/>
  <c r="AB19" i="1"/>
  <c r="C4" i="14"/>
  <c r="AL16" i="1"/>
  <c r="AL19" i="1"/>
  <c r="AL22" i="1"/>
  <c r="X9" i="1"/>
  <c r="Y9" i="1"/>
  <c r="W9" i="1"/>
  <c r="R9" i="1"/>
  <c r="W12" i="1"/>
  <c r="Y12" i="1"/>
  <c r="X12" i="1"/>
  <c r="R12" i="1"/>
  <c r="Y14" i="1"/>
  <c r="X14" i="1"/>
  <c r="W14" i="1"/>
  <c r="R14" i="1"/>
  <c r="X17" i="1"/>
  <c r="Y17" i="1"/>
  <c r="W17" i="1"/>
  <c r="R17" i="1"/>
  <c r="W20" i="1"/>
  <c r="Y20" i="1"/>
  <c r="X20" i="1"/>
  <c r="R20" i="1"/>
  <c r="AB21" i="1"/>
  <c r="X5" i="1"/>
  <c r="Y5" i="1"/>
  <c r="W5" i="1"/>
  <c r="R5" i="1"/>
  <c r="W15" i="1"/>
  <c r="X15" i="1"/>
  <c r="Y15" i="1"/>
  <c r="R15" i="1"/>
  <c r="X21" i="1"/>
  <c r="Y21" i="1"/>
  <c r="W21" i="1"/>
  <c r="R21" i="1"/>
  <c r="Y6" i="1"/>
  <c r="X6" i="1"/>
  <c r="W6" i="1"/>
  <c r="R6" i="1"/>
  <c r="Y10" i="1"/>
  <c r="X10" i="1"/>
  <c r="W10" i="1"/>
  <c r="R10" i="1"/>
  <c r="X13" i="1"/>
  <c r="Y13" i="1"/>
  <c r="W13" i="1"/>
  <c r="R13" i="1"/>
  <c r="Y18" i="1"/>
  <c r="X18" i="1"/>
  <c r="W18" i="1"/>
  <c r="R18" i="1"/>
  <c r="W7" i="1"/>
  <c r="X7" i="1"/>
  <c r="Y7" i="1"/>
  <c r="R7" i="1"/>
  <c r="W8" i="1"/>
  <c r="Y8" i="1"/>
  <c r="X8" i="1"/>
  <c r="R8" i="1"/>
  <c r="W11" i="1"/>
  <c r="Y11" i="1"/>
  <c r="X11" i="1"/>
  <c r="R11" i="1"/>
  <c r="W16" i="1"/>
  <c r="X16" i="1"/>
  <c r="Y16" i="1"/>
  <c r="R16" i="1"/>
  <c r="W19" i="1"/>
  <c r="Y19" i="1"/>
  <c r="X19" i="1"/>
  <c r="R19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B22" i="1"/>
  <c r="K7" i="14" s="1"/>
  <c r="Z21" i="1"/>
  <c r="AA21" i="1"/>
  <c r="AA6" i="1"/>
  <c r="AA10" i="1"/>
  <c r="AA13" i="1"/>
  <c r="Z16" i="1"/>
  <c r="AA18" i="1"/>
  <c r="Z19" i="1"/>
  <c r="AD19" i="1"/>
  <c r="AC5" i="1"/>
  <c r="AB6" i="1"/>
  <c r="AA8" i="1"/>
  <c r="AB10" i="1"/>
  <c r="D12" i="1"/>
  <c r="V12" i="1" s="1"/>
  <c r="AB13" i="1"/>
  <c r="Z14" i="1"/>
  <c r="AD14" i="1"/>
  <c r="AA16" i="1"/>
  <c r="Z17" i="1"/>
  <c r="AD17" i="1"/>
  <c r="AB18" i="1"/>
  <c r="AA19" i="1"/>
  <c r="AD21" i="1"/>
  <c r="AC21" i="1"/>
  <c r="Z22" i="1"/>
  <c r="I7" i="14" s="1"/>
  <c r="AB5" i="1"/>
  <c r="Z8" i="1"/>
  <c r="AD8" i="1"/>
  <c r="AC9" i="1"/>
  <c r="D11" i="1"/>
  <c r="V11" i="1" s="1"/>
  <c r="AC14" i="1"/>
  <c r="AC17" i="1"/>
  <c r="AC20" i="1"/>
  <c r="Z5" i="1"/>
  <c r="AC6" i="1"/>
  <c r="AB8" i="1"/>
  <c r="AC10" i="1"/>
  <c r="AC13" i="1"/>
  <c r="AA14" i="1"/>
  <c r="D15" i="1"/>
  <c r="V15" i="1" s="1"/>
  <c r="AA17" i="1"/>
  <c r="AD18" i="1"/>
  <c r="AC18" i="1"/>
  <c r="AA22" i="1"/>
  <c r="J7" i="14" s="1"/>
  <c r="AA5" i="1"/>
  <c r="Z6" i="1"/>
  <c r="AD6" i="1"/>
  <c r="M4" i="14" s="1"/>
  <c r="AC7" i="1"/>
  <c r="AC8" i="1"/>
  <c r="Z10" i="1"/>
  <c r="AD10" i="1"/>
  <c r="Z13" i="1"/>
  <c r="AD13" i="1"/>
  <c r="AB14" i="1"/>
  <c r="AD16" i="1"/>
  <c r="AC16" i="1"/>
  <c r="AB17" i="1"/>
  <c r="Z18" i="1"/>
  <c r="AC19" i="1"/>
  <c r="AC22" i="1"/>
  <c r="L7" i="14" s="1"/>
  <c r="AD22" i="1"/>
  <c r="M7" i="14" s="1"/>
  <c r="AT11" i="1" l="1"/>
  <c r="AT12" i="1"/>
  <c r="AT15" i="1"/>
  <c r="AB12" i="1"/>
  <c r="AC12" i="1"/>
  <c r="G2" i="27"/>
  <c r="H2" i="27" s="1"/>
  <c r="AC11" i="1"/>
  <c r="AL11" i="1"/>
  <c r="K4" i="14"/>
  <c r="AA12" i="1"/>
  <c r="AL12" i="1"/>
  <c r="AL15" i="1"/>
  <c r="I4" i="14"/>
  <c r="L4" i="14"/>
  <c r="L5" i="14"/>
  <c r="J4" i="14"/>
  <c r="AA15" i="1"/>
  <c r="J6" i="14" s="1"/>
  <c r="Z12" i="1"/>
  <c r="Z11" i="1"/>
  <c r="I5" i="14" s="1"/>
  <c r="AD15" i="1"/>
  <c r="AB11" i="1"/>
  <c r="K5" i="14" s="1"/>
  <c r="AD11" i="1"/>
  <c r="M5" i="14" s="1"/>
  <c r="AD12" i="1"/>
  <c r="AA11" i="1"/>
  <c r="J5" i="14" s="1"/>
  <c r="Z15" i="1"/>
  <c r="AB15" i="1"/>
  <c r="K6" i="14" s="1"/>
  <c r="AC15" i="1"/>
  <c r="L6" i="14" s="1"/>
  <c r="B6" i="13"/>
  <c r="C6" i="13"/>
  <c r="A6" i="13"/>
  <c r="M6" i="14" l="1"/>
  <c r="K2" i="27"/>
  <c r="L2" i="27"/>
  <c r="I6" i="14"/>
</calcChain>
</file>

<file path=xl/sharedStrings.xml><?xml version="1.0" encoding="utf-8"?>
<sst xmlns="http://schemas.openxmlformats.org/spreadsheetml/2006/main" count="697" uniqueCount="217">
  <si>
    <t>Date</t>
  </si>
  <si>
    <t>Time</t>
  </si>
  <si>
    <t>Splat</t>
  </si>
  <si>
    <t>Calories</t>
  </si>
  <si>
    <t>Location</t>
  </si>
  <si>
    <t>Trainer</t>
  </si>
  <si>
    <t>Dunn Lorring, VA</t>
  </si>
  <si>
    <t>4:30PM</t>
  </si>
  <si>
    <t>Audrey</t>
  </si>
  <si>
    <t>Kandace</t>
  </si>
  <si>
    <t>Kacie</t>
  </si>
  <si>
    <t>VisitNum</t>
  </si>
  <si>
    <t>Rosslyn, VA</t>
  </si>
  <si>
    <t>10:30AM</t>
  </si>
  <si>
    <t>Courtney</t>
  </si>
  <si>
    <t>14th Street, DC</t>
  </si>
  <si>
    <t>11:30AM</t>
  </si>
  <si>
    <t>Tiffany</t>
  </si>
  <si>
    <t>2:00PM</t>
  </si>
  <si>
    <t>Demi</t>
  </si>
  <si>
    <t>5:30PM</t>
  </si>
  <si>
    <t>Foggy Bottom, DC</t>
  </si>
  <si>
    <t>8:30AM</t>
  </si>
  <si>
    <t>Damani</t>
  </si>
  <si>
    <t>9:30AM</t>
  </si>
  <si>
    <t>Chuck</t>
  </si>
  <si>
    <t>ClassLength</t>
  </si>
  <si>
    <t>AvgHR</t>
  </si>
  <si>
    <t>MaxHR</t>
  </si>
  <si>
    <t>GrayMin</t>
  </si>
  <si>
    <t>BlueMin</t>
  </si>
  <si>
    <t>GreenMin</t>
  </si>
  <si>
    <t>OrangeMin</t>
  </si>
  <si>
    <t>RedMin</t>
  </si>
  <si>
    <t>DaysSince</t>
  </si>
  <si>
    <t>6:45PM</t>
  </si>
  <si>
    <t>Phil</t>
  </si>
  <si>
    <t>Thomas Circle, DC</t>
  </si>
  <si>
    <t>4:15PM</t>
  </si>
  <si>
    <t>Ash</t>
  </si>
  <si>
    <t>Erich</t>
  </si>
  <si>
    <t>Correct</t>
  </si>
  <si>
    <t>Gain</t>
  </si>
  <si>
    <t>Loss</t>
  </si>
  <si>
    <t>Gain_Loss_Correct</t>
  </si>
  <si>
    <t>5:45PM</t>
  </si>
  <si>
    <t>9:45AM</t>
  </si>
  <si>
    <t>Month-Yr</t>
  </si>
  <si>
    <t>Abbey</t>
  </si>
  <si>
    <t>Navy Yard, DC</t>
  </si>
  <si>
    <t>Joe</t>
  </si>
  <si>
    <t>Ron</t>
  </si>
  <si>
    <t>Weekday</t>
  </si>
  <si>
    <t>Twelve_or_Above</t>
  </si>
  <si>
    <t>3-2019</t>
  </si>
  <si>
    <t>4-2019</t>
  </si>
  <si>
    <t>5-2019</t>
  </si>
  <si>
    <t>6-2019</t>
  </si>
  <si>
    <t>7-2019</t>
  </si>
  <si>
    <t>8-2019</t>
  </si>
  <si>
    <t>9-2019</t>
  </si>
  <si>
    <t>Myke</t>
  </si>
  <si>
    <t>Gray_Perc</t>
  </si>
  <si>
    <t>Blue_Perc</t>
  </si>
  <si>
    <t>Green_Perc</t>
  </si>
  <si>
    <t>Orange_Perc</t>
  </si>
  <si>
    <t>Red_Perc</t>
  </si>
  <si>
    <t>Monthly_Cost</t>
  </si>
  <si>
    <t>VisitNum_Month</t>
  </si>
  <si>
    <t>Calories_Month</t>
  </si>
  <si>
    <t>SplatPts_Month</t>
  </si>
  <si>
    <t>Mon_Yr</t>
  </si>
  <si>
    <t>Average Time (Min) Spent in Each HR Zone by Month</t>
  </si>
  <si>
    <t>Average % of Min Spent in Each HR Zone by Month</t>
  </si>
  <si>
    <t>Gray Avg %</t>
  </si>
  <si>
    <t>Blue Avg %</t>
  </si>
  <si>
    <t>Green Avg %</t>
  </si>
  <si>
    <t>Orange Avg %</t>
  </si>
  <si>
    <t>Red Avg %</t>
  </si>
  <si>
    <t>Gray Avg Min</t>
  </si>
  <si>
    <t>Blue Avg Min</t>
  </si>
  <si>
    <t>Green Avg Min</t>
  </si>
  <si>
    <t>Orange Avg Min</t>
  </si>
  <si>
    <t>Red Avg Min</t>
  </si>
  <si>
    <t>Time Period</t>
  </si>
  <si>
    <t>Class Total</t>
  </si>
  <si>
    <t>Cost Per Class</t>
  </si>
  <si>
    <t>YTD</t>
  </si>
  <si>
    <t>MTD</t>
  </si>
  <si>
    <t>Sunday</t>
  </si>
  <si>
    <t>Monday</t>
  </si>
  <si>
    <t>Tuesday</t>
  </si>
  <si>
    <t>Wednesday</t>
  </si>
  <si>
    <t>Thursday</t>
  </si>
  <si>
    <t>Friday</t>
  </si>
  <si>
    <t>Saturday</t>
  </si>
  <si>
    <t>Month</t>
  </si>
  <si>
    <t xml:space="preserve">Membership Cost </t>
  </si>
  <si>
    <t>Other Charges</t>
  </si>
  <si>
    <t>Classes Attended</t>
  </si>
  <si>
    <t>Cost per Class</t>
  </si>
  <si>
    <t>Goal</t>
  </si>
  <si>
    <t>Year</t>
  </si>
  <si>
    <t>Marcus</t>
  </si>
  <si>
    <t>ExtraExpenses</t>
  </si>
  <si>
    <t>Robin</t>
  </si>
  <si>
    <t>10-2019</t>
  </si>
  <si>
    <t>CAL_MIN</t>
  </si>
  <si>
    <t>Kenna</t>
  </si>
  <si>
    <t>Cost_Per_Class</t>
  </si>
  <si>
    <t>Georgia</t>
  </si>
  <si>
    <t>Kara</t>
  </si>
  <si>
    <t>7:45AM</t>
  </si>
  <si>
    <t>1:00PM</t>
  </si>
  <si>
    <t>Morn_Even</t>
  </si>
  <si>
    <t>Darrell</t>
  </si>
  <si>
    <t>Which trainer gets the best results?</t>
  </si>
  <si>
    <t>Everyone else</t>
  </si>
  <si>
    <t>Average Calories Burned</t>
  </si>
  <si>
    <t>Average Splat Pts</t>
  </si>
  <si>
    <t>Top/Bot Selection</t>
  </si>
  <si>
    <t>Trainer Selection</t>
  </si>
  <si>
    <t>Number of Classes Attended</t>
  </si>
  <si>
    <t>Num</t>
  </si>
  <si>
    <t>Luke</t>
  </si>
  <si>
    <t>Column1</t>
  </si>
  <si>
    <t>Week_Month</t>
  </si>
  <si>
    <t>All Time</t>
  </si>
  <si>
    <t>Which Location do I get the best results?</t>
  </si>
  <si>
    <t>Everywhere else</t>
  </si>
  <si>
    <t>Location Selection</t>
  </si>
  <si>
    <t>1st class:</t>
  </si>
  <si>
    <t>Last class</t>
  </si>
  <si>
    <t>Top 5 / Bottom 5 Classes - Calories Burned</t>
  </si>
  <si>
    <t>Top 5 / Bottom 5 Classes - Splat Points Earned</t>
  </si>
  <si>
    <t>Min Calories</t>
  </si>
  <si>
    <t>Max Calories</t>
  </si>
  <si>
    <t>Min Splat</t>
  </si>
  <si>
    <t>Max Splat</t>
  </si>
  <si>
    <t>Median Calories</t>
  </si>
  <si>
    <t>Median Splat</t>
  </si>
  <si>
    <t>Quartile 1 Calories</t>
  </si>
  <si>
    <t>Quartile 3 Calories</t>
  </si>
  <si>
    <t>Quartile 3 Splat</t>
  </si>
  <si>
    <t>Quartile 1 Splat</t>
  </si>
  <si>
    <t>3rd Minus 1st Cals</t>
  </si>
  <si>
    <t>3rd Minus 1st Splat</t>
  </si>
  <si>
    <t>Median Minus 1st Cals</t>
  </si>
  <si>
    <t>Median Minus 1st Splat</t>
  </si>
  <si>
    <t>3rd Minus Median Cals</t>
  </si>
  <si>
    <t>3rd Minus Median Splat</t>
  </si>
  <si>
    <t>Max Minus 3rd Cals</t>
  </si>
  <si>
    <t>Max Minus 3rd Splat</t>
  </si>
  <si>
    <t>Q1-Min</t>
  </si>
  <si>
    <t>Med-Q1</t>
  </si>
  <si>
    <t>Q3-Med</t>
  </si>
  <si>
    <t>Max-Q3</t>
  </si>
  <si>
    <t>Madison</t>
  </si>
  <si>
    <t>Shayna</t>
  </si>
  <si>
    <t>11-2019</t>
  </si>
  <si>
    <t>Dwayne</t>
  </si>
  <si>
    <t>8:45AM</t>
  </si>
  <si>
    <t>Rank</t>
  </si>
  <si>
    <t>Tot Calories</t>
  </si>
  <si>
    <t>Tot Splat</t>
  </si>
  <si>
    <t>Avg Calories</t>
  </si>
  <si>
    <t>Avg Splat</t>
  </si>
  <si>
    <t>MIN _SPLAT</t>
  </si>
  <si>
    <t>Workouts</t>
  </si>
  <si>
    <t>Must reach this threshold:</t>
  </si>
  <si>
    <t>Jersey City, NJ</t>
  </si>
  <si>
    <t>9:15AM</t>
  </si>
  <si>
    <t>8:15AM</t>
  </si>
  <si>
    <t>Herlentz</t>
  </si>
  <si>
    <t>12-2019</t>
  </si>
  <si>
    <t>Micha</t>
  </si>
  <si>
    <t>Dashboard Calculations</t>
  </si>
  <si>
    <t>Trainer and Location Calculations</t>
  </si>
  <si>
    <t>Cost Per Class, Classes Attended Checkbox</t>
  </si>
  <si>
    <t>Top 5/Bottom 5 Classes, Gain vs. Loss, Weekdays</t>
  </si>
  <si>
    <t>1-2019</t>
  </si>
  <si>
    <t>2-2019</t>
  </si>
  <si>
    <t>Splats, Calories</t>
  </si>
  <si>
    <t>IF($B$78=TRUE,IFERROR(AVERAGEIF(Table1[Mon_Yr],'Tab for Charts'!A83,Table1[Calories]),"-"),"")</t>
  </si>
  <si>
    <t>Years</t>
  </si>
  <si>
    <t>Choose Year</t>
  </si>
  <si>
    <t>12:00PM</t>
  </si>
  <si>
    <t>6:30AM</t>
  </si>
  <si>
    <t>1-2020</t>
  </si>
  <si>
    <t>Selection</t>
  </si>
  <si>
    <t>IF(Dashboard!$B$31=2019,'Tab for Charts'!$M4,AVERAGEIFS(Table1[Cost_Per_Class],Table1[Year],'Tab for Charts'!$H$55,Table1[Month],'Tab for Charts'!$A57))</t>
  </si>
  <si>
    <t>Calories_Splat</t>
  </si>
  <si>
    <t>Visits_Studio</t>
  </si>
  <si>
    <t>2-2020</t>
  </si>
  <si>
    <t>SH_12</t>
  </si>
  <si>
    <t>FH_12</t>
  </si>
  <si>
    <t>Goal # Classes</t>
  </si>
  <si>
    <t># Classes Attended</t>
  </si>
  <si>
    <t>Georgetown, DC</t>
  </si>
  <si>
    <t>Rachel1</t>
  </si>
  <si>
    <t>Rachel2</t>
  </si>
  <si>
    <t>Mt. Vernon Triangle/Shaw, DC</t>
  </si>
  <si>
    <t>Jenn</t>
  </si>
  <si>
    <t xml:space="preserve"> </t>
  </si>
  <si>
    <t>MIN_CAL</t>
  </si>
  <si>
    <t>9:00AM</t>
  </si>
  <si>
    <t>BellCurve</t>
  </si>
  <si>
    <t>7:15AM</t>
  </si>
  <si>
    <t>3-2020</t>
  </si>
  <si>
    <t>Gabi</t>
  </si>
  <si>
    <t>Cleveland Park, DC</t>
  </si>
  <si>
    <t>9:10AM</t>
  </si>
  <si>
    <t>Eva</t>
  </si>
  <si>
    <t>Visits_Trainer</t>
  </si>
  <si>
    <t>MONYEAR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</si>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</sst>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0.0"/>
    <numFmt numFmtId="167" formatCode="_(* #,##0.0_);_(* \(#,##0.0\);_(* &quot;-&quot;??_);_(@_)"/>
  </numFmts>
  <fonts count="1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3"/>
      <color rgb="FF000000"/>
      <name val="Lucida Grande"/>
      <family val="2"/>
    </font>
    <font>
      <sz val="13"/>
      <color rgb="FF242729"/>
      <name val="Consolas"/>
      <family val="2"/>
    </font>
    <font>
      <b/>
      <sz val="14"/>
      <color rgb="FF595959"/>
      <name val="Calibri"/>
      <family val="2"/>
      <scheme val="minor"/>
    </font>
    <font>
      <b/>
      <sz val="11"/>
      <color rgb="FF595959"/>
      <name val="Calibri"/>
      <family val="2"/>
      <scheme val="minor"/>
    </font>
    <font>
      <b/>
      <sz val="13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300"/>
        <bgColor indexed="64"/>
      </patternFill>
    </fill>
    <fill>
      <patternFill patternType="solid">
        <fgColor rgb="FFFFD07C"/>
        <bgColor indexed="64"/>
      </patternFill>
    </fill>
    <fill>
      <patternFill patternType="solid">
        <fgColor theme="2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9">
    <xf numFmtId="0" fontId="0" fillId="0" borderId="0" xfId="0"/>
    <xf numFmtId="15" fontId="0" fillId="0" borderId="0" xfId="0" applyNumberFormat="1"/>
    <xf numFmtId="0" fontId="1" fillId="0" borderId="0" xfId="0" applyFont="1"/>
    <xf numFmtId="20" fontId="0" fillId="0" borderId="0" xfId="0" applyNumberFormat="1"/>
    <xf numFmtId="49" fontId="0" fillId="0" borderId="0" xfId="0" applyNumberFormat="1"/>
    <xf numFmtId="164" fontId="0" fillId="0" borderId="0" xfId="3" applyNumberFormat="1" applyFont="1"/>
    <xf numFmtId="44" fontId="1" fillId="0" borderId="0" xfId="2" applyFont="1"/>
    <xf numFmtId="44" fontId="0" fillId="0" borderId="0" xfId="2" applyFont="1"/>
    <xf numFmtId="2" fontId="0" fillId="0" borderId="0" xfId="0" applyNumberFormat="1"/>
    <xf numFmtId="2" fontId="1" fillId="0" borderId="0" xfId="0" applyNumberFormat="1" applyFont="1"/>
    <xf numFmtId="0" fontId="0" fillId="0" borderId="0" xfId="0" applyNumberFormat="1"/>
    <xf numFmtId="0" fontId="0" fillId="3" borderId="2" xfId="0" applyFont="1" applyFill="1" applyBorder="1"/>
    <xf numFmtId="0" fontId="0" fillId="0" borderId="0" xfId="0" applyFill="1"/>
    <xf numFmtId="0" fontId="0" fillId="4" borderId="0" xfId="0" applyFill="1"/>
    <xf numFmtId="0" fontId="1" fillId="4" borderId="0" xfId="0" applyFont="1" applyFill="1"/>
    <xf numFmtId="0" fontId="0" fillId="5" borderId="0" xfId="0" applyFill="1"/>
    <xf numFmtId="0" fontId="1" fillId="5" borderId="3" xfId="0" applyFont="1" applyFill="1" applyBorder="1"/>
    <xf numFmtId="0" fontId="1" fillId="6" borderId="3" xfId="0" applyFont="1" applyFill="1" applyBorder="1"/>
    <xf numFmtId="0" fontId="0" fillId="6" borderId="3" xfId="0" applyFill="1" applyBorder="1"/>
    <xf numFmtId="165" fontId="0" fillId="6" borderId="3" xfId="1" applyNumberFormat="1" applyFont="1" applyFill="1" applyBorder="1"/>
    <xf numFmtId="0" fontId="1" fillId="6" borderId="3" xfId="0" applyFont="1" applyFill="1" applyBorder="1" applyAlignment="1">
      <alignment horizontal="left"/>
    </xf>
    <xf numFmtId="14" fontId="1" fillId="5" borderId="3" xfId="0" applyNumberFormat="1" applyFont="1" applyFill="1" applyBorder="1"/>
    <xf numFmtId="0" fontId="1" fillId="6" borderId="3" xfId="0" applyFont="1" applyFill="1" applyBorder="1" applyAlignment="1">
      <alignment horizontal="right"/>
    </xf>
    <xf numFmtId="0" fontId="1" fillId="5" borderId="3" xfId="0" applyFont="1" applyFill="1" applyBorder="1" applyAlignment="1">
      <alignment horizontal="right"/>
    </xf>
    <xf numFmtId="14" fontId="1" fillId="6" borderId="3" xfId="0" applyNumberFormat="1" applyFont="1" applyFill="1" applyBorder="1"/>
    <xf numFmtId="0" fontId="1" fillId="6" borderId="4" xfId="0" applyFont="1" applyFill="1" applyBorder="1" applyAlignment="1">
      <alignment horizontal="left"/>
    </xf>
    <xf numFmtId="0" fontId="1" fillId="6" borderId="4" xfId="0" applyFont="1" applyFill="1" applyBorder="1"/>
    <xf numFmtId="165" fontId="1" fillId="6" borderId="4" xfId="1" applyNumberFormat="1" applyFont="1" applyFill="1" applyBorder="1"/>
    <xf numFmtId="0" fontId="1" fillId="5" borderId="5" xfId="0" applyFont="1" applyFill="1" applyBorder="1" applyAlignment="1">
      <alignment horizontal="centerContinuous"/>
    </xf>
    <xf numFmtId="0" fontId="1" fillId="5" borderId="6" xfId="0" applyFont="1" applyFill="1" applyBorder="1" applyAlignment="1">
      <alignment horizontal="centerContinuous"/>
    </xf>
    <xf numFmtId="0" fontId="0" fillId="5" borderId="7" xfId="0" applyFill="1" applyBorder="1" applyAlignment="1">
      <alignment horizontal="centerContinuous"/>
    </xf>
    <xf numFmtId="0" fontId="1" fillId="5" borderId="3" xfId="0" applyFont="1" applyFill="1" applyBorder="1" applyAlignment="1">
      <alignment horizontal="centerContinuous"/>
    </xf>
    <xf numFmtId="1" fontId="1" fillId="5" borderId="3" xfId="0" applyNumberFormat="1" applyFont="1" applyFill="1" applyBorder="1"/>
    <xf numFmtId="1" fontId="1" fillId="6" borderId="3" xfId="0" applyNumberFormat="1" applyFont="1" applyFill="1" applyBorder="1"/>
    <xf numFmtId="1" fontId="0" fillId="0" borderId="0" xfId="0" applyNumberFormat="1"/>
    <xf numFmtId="14" fontId="1" fillId="4" borderId="0" xfId="0" applyNumberFormat="1" applyFont="1" applyFill="1"/>
    <xf numFmtId="0" fontId="1" fillId="5" borderId="0" xfId="0" applyFont="1" applyFill="1"/>
    <xf numFmtId="44" fontId="0" fillId="6" borderId="3" xfId="2" applyFont="1" applyFill="1" applyBorder="1"/>
    <xf numFmtId="166" fontId="0" fillId="0" borderId="0" xfId="0" applyNumberFormat="1"/>
    <xf numFmtId="1" fontId="1" fillId="0" borderId="0" xfId="0" applyNumberFormat="1" applyFont="1"/>
    <xf numFmtId="0" fontId="6" fillId="0" borderId="0" xfId="0" applyFont="1"/>
    <xf numFmtId="0" fontId="1" fillId="7" borderId="0" xfId="0" applyFont="1" applyFill="1"/>
    <xf numFmtId="0" fontId="0" fillId="7" borderId="0" xfId="0" applyFill="1"/>
    <xf numFmtId="8" fontId="0" fillId="0" borderId="0" xfId="2" applyNumberFormat="1" applyFont="1"/>
    <xf numFmtId="44" fontId="0" fillId="0" borderId="0" xfId="2" applyNumberFormat="1" applyFont="1"/>
    <xf numFmtId="2" fontId="0" fillId="0" borderId="0" xfId="0" applyNumberFormat="1" applyAlignment="1">
      <alignment horizontal="right"/>
    </xf>
    <xf numFmtId="0" fontId="1" fillId="0" borderId="0" xfId="0" applyFont="1" applyFill="1"/>
    <xf numFmtId="0" fontId="1" fillId="5" borderId="8" xfId="0" applyFont="1" applyFill="1" applyBorder="1"/>
    <xf numFmtId="0" fontId="1" fillId="5" borderId="8" xfId="0" applyFont="1" applyFill="1" applyBorder="1" applyAlignment="1">
      <alignment horizontal="center"/>
    </xf>
    <xf numFmtId="167" fontId="0" fillId="6" borderId="3" xfId="1" applyNumberFormat="1" applyFont="1" applyFill="1" applyBorder="1"/>
    <xf numFmtId="49" fontId="0" fillId="0" borderId="9" xfId="0" applyNumberFormat="1" applyFont="1" applyBorder="1"/>
    <xf numFmtId="2" fontId="0" fillId="0" borderId="0" xfId="0" applyNumberFormat="1" applyBorder="1" applyAlignment="1">
      <alignment horizontal="right"/>
    </xf>
    <xf numFmtId="0" fontId="8" fillId="0" borderId="0" xfId="0" applyFont="1" applyAlignment="1">
      <alignment horizontal="left" vertical="center" readingOrder="1"/>
    </xf>
    <xf numFmtId="0" fontId="7" fillId="0" borderId="0" xfId="0" applyFont="1" applyAlignment="1">
      <alignment horizontal="left" vertical="center" readingOrder="1"/>
    </xf>
    <xf numFmtId="0" fontId="0" fillId="4" borderId="8" xfId="0" applyFill="1" applyBorder="1"/>
    <xf numFmtId="0" fontId="0" fillId="5" borderId="10" xfId="0" applyFill="1" applyBorder="1"/>
    <xf numFmtId="0" fontId="0" fillId="5" borderId="11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1" fillId="4" borderId="13" xfId="0" applyFont="1" applyFill="1" applyBorder="1"/>
    <xf numFmtId="14" fontId="1" fillId="4" borderId="13" xfId="0" applyNumberFormat="1" applyFont="1" applyFill="1" applyBorder="1"/>
    <xf numFmtId="0" fontId="0" fillId="4" borderId="10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0" fillId="5" borderId="15" xfId="0" applyFill="1" applyBorder="1"/>
    <xf numFmtId="0" fontId="0" fillId="5" borderId="16" xfId="0" applyFill="1" applyBorder="1"/>
    <xf numFmtId="0" fontId="0" fillId="5" borderId="8" xfId="0" applyFill="1" applyBorder="1"/>
    <xf numFmtId="0" fontId="0" fillId="5" borderId="12" xfId="0" applyFill="1" applyBorder="1"/>
    <xf numFmtId="1" fontId="0" fillId="0" borderId="0" xfId="2" applyNumberFormat="1" applyFont="1"/>
    <xf numFmtId="0" fontId="0" fillId="0" borderId="0" xfId="2" applyNumberFormat="1" applyFont="1"/>
    <xf numFmtId="0" fontId="0" fillId="0" borderId="0" xfId="0" applyNumberFormat="1" applyFill="1"/>
    <xf numFmtId="0" fontId="1" fillId="5" borderId="0" xfId="0" applyFont="1" applyFill="1" applyAlignment="1">
      <alignment horizontal="left"/>
    </xf>
    <xf numFmtId="0" fontId="1" fillId="4" borderId="0" xfId="0" applyFont="1" applyFill="1" applyBorder="1"/>
    <xf numFmtId="14" fontId="1" fillId="4" borderId="0" xfId="0" applyNumberFormat="1" applyFont="1" applyFill="1" applyBorder="1"/>
    <xf numFmtId="0" fontId="0" fillId="4" borderId="0" xfId="0" applyFill="1" applyBorder="1"/>
    <xf numFmtId="0" fontId="9" fillId="0" borderId="0" xfId="0" applyFont="1"/>
    <xf numFmtId="0" fontId="3" fillId="2" borderId="1" xfId="0" applyFont="1" applyFill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7"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2" formatCode="&quot;$&quot;#,##0.00_);[Red]\(&quot;$&quot;#,##0.00\)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2" formatCode="&quot;$&quot;#,##0.00_);[Red]\(&quot;$&quot;#,##0.00\)"/>
    </dxf>
    <dxf>
      <numFmt numFmtId="30" formatCode="@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1" formatCode="0"/>
    </dxf>
    <dxf>
      <numFmt numFmtId="2" formatCode="0.00"/>
    </dxf>
    <dxf>
      <numFmt numFmtId="20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1" defaultTableStyle="TableStyleMedium2" defaultPivotStyle="PivotStyleLight16">
    <tableStyle name="Table Style 1" pivot="0" count="0" xr9:uid="{D286AED4-DA9D-814C-A696-ACD86927434C}"/>
  </tableStyles>
  <colors>
    <mruColors>
      <color rgb="FFFFC809"/>
      <color rgb="FFFEE000"/>
      <color rgb="FFFF9300"/>
      <color rgb="FFFFD07C"/>
      <color rgb="FFFFD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Calories Burned by Trainer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 for Charts'!$E$37</c:f>
              <c:strCache>
                <c:ptCount val="1"/>
                <c:pt idx="0">
                  <c:v>Min Calories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'Tab for Charts'!$F$14:$G$14</c:f>
              <c:strCache>
                <c:ptCount val="2"/>
                <c:pt idx="0">
                  <c:v>Kara</c:v>
                </c:pt>
                <c:pt idx="1">
                  <c:v>Everyone else</c:v>
                </c:pt>
              </c:strCache>
            </c:strRef>
          </c:cat>
          <c:val>
            <c:numRef>
              <c:f>'Tab for Charts'!$F$37:$G$37</c:f>
              <c:numCache>
                <c:formatCode>General</c:formatCode>
                <c:ptCount val="2"/>
                <c:pt idx="0">
                  <c:v>550.00000000089005</c:v>
                </c:pt>
                <c:pt idx="1">
                  <c:v>447.00000000000074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A-E846-B08D-ADFA503AB361}"/>
            </c:ext>
          </c:extLst>
        </c:ser>
        <c:ser>
          <c:idx val="1"/>
          <c:order val="1"/>
          <c:tx>
            <c:strRef>
              <c:f>'Tab for Charts'!$E$38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'Tab for Charts'!$F$14:$G$14</c:f>
              <c:strCache>
                <c:ptCount val="2"/>
                <c:pt idx="0">
                  <c:v>Kara</c:v>
                </c:pt>
                <c:pt idx="1">
                  <c:v>Everyone else</c:v>
                </c:pt>
              </c:strCache>
            </c:strRef>
          </c:cat>
          <c:val>
            <c:numRef>
              <c:f>'Tab for Charts'!$F$38:$G$38</c:f>
              <c:numCache>
                <c:formatCode>0</c:formatCode>
                <c:ptCount val="2"/>
                <c:pt idx="0">
                  <c:v>15.999999999110742</c:v>
                </c:pt>
                <c:pt idx="1">
                  <c:v>131.50000000344932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7A-E846-B08D-ADFA503AB361}"/>
            </c:ext>
          </c:extLst>
        </c:ser>
        <c:ser>
          <c:idx val="2"/>
          <c:order val="2"/>
          <c:tx>
            <c:strRef>
              <c:f>'Tab for Charts'!$E$39</c:f>
              <c:strCache>
                <c:ptCount val="1"/>
                <c:pt idx="0">
                  <c:v>Med-Q1</c:v>
                </c:pt>
              </c:strCache>
            </c:strRef>
          </c:tx>
          <c:spPr>
            <a:solidFill>
              <a:srgbClr val="FF93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 for Charts'!$F$14:$G$14</c:f>
              <c:strCache>
                <c:ptCount val="2"/>
                <c:pt idx="0">
                  <c:v>Kara</c:v>
                </c:pt>
                <c:pt idx="1">
                  <c:v>Everyone else</c:v>
                </c:pt>
              </c:strCache>
            </c:strRef>
          </c:cat>
          <c:val>
            <c:numRef>
              <c:f>'Tab for Charts'!$F$39:$G$39</c:f>
              <c:numCache>
                <c:formatCode>0</c:formatCode>
                <c:ptCount val="2"/>
                <c:pt idx="0">
                  <c:v>6.0000000064992491</c:v>
                </c:pt>
                <c:pt idx="1">
                  <c:v>32.500000001300009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7A-E846-B08D-ADFA503AB361}"/>
            </c:ext>
          </c:extLst>
        </c:ser>
        <c:ser>
          <c:idx val="3"/>
          <c:order val="3"/>
          <c:tx>
            <c:strRef>
              <c:f>'Tab for Charts'!$E$40</c:f>
              <c:strCache>
                <c:ptCount val="1"/>
                <c:pt idx="0">
                  <c:v>Q3-Med</c:v>
                </c:pt>
              </c:strCache>
            </c:strRef>
          </c:tx>
          <c:spPr>
            <a:solidFill>
              <a:srgbClr val="FF93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 for Charts'!$F$14:$G$14</c:f>
              <c:strCache>
                <c:ptCount val="2"/>
                <c:pt idx="0">
                  <c:v>Kara</c:v>
                </c:pt>
                <c:pt idx="1">
                  <c:v>Everyone else</c:v>
                </c:pt>
              </c:strCache>
            </c:strRef>
          </c:cat>
          <c:val>
            <c:numRef>
              <c:f>'Tab for Charts'!$F$40:$G$40</c:f>
              <c:numCache>
                <c:formatCode>0</c:formatCode>
                <c:ptCount val="2"/>
                <c:pt idx="0">
                  <c:v>58.999999993500751</c:v>
                </c:pt>
                <c:pt idx="1">
                  <c:v>36.749999996900783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7A-E846-B08D-ADFA503AB361}"/>
            </c:ext>
          </c:extLst>
        </c:ser>
        <c:ser>
          <c:idx val="4"/>
          <c:order val="4"/>
          <c:tx>
            <c:strRef>
              <c:f>'Tab for Charts'!$E$41</c:f>
              <c:strCache>
                <c:ptCount val="1"/>
                <c:pt idx="0">
                  <c:v>Max-Q3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'Tab for Charts'!$F$14:$G$14</c:f>
              <c:strCache>
                <c:ptCount val="2"/>
                <c:pt idx="0">
                  <c:v>Kara</c:v>
                </c:pt>
                <c:pt idx="1">
                  <c:v>Everyone else</c:v>
                </c:pt>
              </c:strCache>
            </c:strRef>
          </c:cat>
          <c:val>
            <c:numRef>
              <c:f>'Tab for Charts'!$F$41:$G$41</c:f>
              <c:numCache>
                <c:formatCode>0</c:formatCode>
                <c:ptCount val="2"/>
                <c:pt idx="0">
                  <c:v>84.000000000101181</c:v>
                </c:pt>
                <c:pt idx="1">
                  <c:v>77.250000001649141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7A-E846-B08D-ADFA503A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7584671"/>
        <c:axId val="213655455"/>
      </c:barChart>
      <c:catAx>
        <c:axId val="277584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55455"/>
        <c:crosses val="autoZero"/>
        <c:auto val="1"/>
        <c:lblAlgn val="ctr"/>
        <c:lblOffset val="100"/>
        <c:noMultiLvlLbl val="0"/>
      </c:catAx>
      <c:valAx>
        <c:axId val="213655455"/>
        <c:scaling>
          <c:orientation val="minMax"/>
          <c:max val="80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Calories Burned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8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Splat Points by Trainer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 for Charts'!$E$44</c:f>
              <c:strCache>
                <c:ptCount val="1"/>
                <c:pt idx="0">
                  <c:v>Min Splat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'Tab for Charts'!$F$14:$G$14</c:f>
              <c:strCache>
                <c:ptCount val="2"/>
                <c:pt idx="0">
                  <c:v>Kara</c:v>
                </c:pt>
                <c:pt idx="1">
                  <c:v>Everyone else</c:v>
                </c:pt>
              </c:strCache>
            </c:strRef>
          </c:cat>
          <c:val>
            <c:numRef>
              <c:f>'Tab for Charts'!$F$44:$G$44</c:f>
              <c:numCache>
                <c:formatCode>General</c:formatCode>
                <c:ptCount val="2"/>
                <c:pt idx="0">
                  <c:v>15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A-9E4A-AB5C-BDFE2A856EEF}"/>
            </c:ext>
          </c:extLst>
        </c:ser>
        <c:ser>
          <c:idx val="1"/>
          <c:order val="1"/>
          <c:tx>
            <c:strRef>
              <c:f>'Tab for Charts'!$E$45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'Tab for Charts'!$F$14:$G$14</c:f>
              <c:strCache>
                <c:ptCount val="2"/>
                <c:pt idx="0">
                  <c:v>Kara</c:v>
                </c:pt>
                <c:pt idx="1">
                  <c:v>Everyone else</c:v>
                </c:pt>
              </c:strCache>
            </c:strRef>
          </c:cat>
          <c:val>
            <c:numRef>
              <c:f>'Tab for Charts'!$F$45:$G$45</c:f>
              <c:numCache>
                <c:formatCode>0</c:formatCode>
                <c:ptCount val="2"/>
                <c:pt idx="0">
                  <c:v>1.000000008899999</c:v>
                </c:pt>
                <c:pt idx="1">
                  <c:v>10.2500000070526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A-9E4A-AB5C-BDFE2A856EEF}"/>
            </c:ext>
          </c:extLst>
        </c:ser>
        <c:ser>
          <c:idx val="2"/>
          <c:order val="2"/>
          <c:tx>
            <c:strRef>
              <c:f>'Tab for Charts'!$E$46</c:f>
              <c:strCache>
                <c:ptCount val="1"/>
                <c:pt idx="0">
                  <c:v>Med-Q1</c:v>
                </c:pt>
              </c:strCache>
            </c:strRef>
          </c:tx>
          <c:spPr>
            <a:solidFill>
              <a:srgbClr val="FF93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 for Charts'!$F$14:$G$14</c:f>
              <c:strCache>
                <c:ptCount val="2"/>
                <c:pt idx="0">
                  <c:v>Kara</c:v>
                </c:pt>
                <c:pt idx="1">
                  <c:v>Everyone else</c:v>
                </c:pt>
              </c:strCache>
            </c:strRef>
          </c:cat>
          <c:val>
            <c:numRef>
              <c:f>'Tab for Charts'!$F$46:$G$46</c:f>
              <c:numCache>
                <c:formatCode>0</c:formatCode>
                <c:ptCount val="2"/>
                <c:pt idx="0">
                  <c:v>0.99999999110810123</c:v>
                </c:pt>
                <c:pt idx="1">
                  <c:v>3.7499999939823994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A-9E4A-AB5C-BDFE2A856EEF}"/>
            </c:ext>
          </c:extLst>
        </c:ser>
        <c:ser>
          <c:idx val="3"/>
          <c:order val="3"/>
          <c:tx>
            <c:strRef>
              <c:f>'Tab for Charts'!$E$47</c:f>
              <c:strCache>
                <c:ptCount val="1"/>
                <c:pt idx="0">
                  <c:v>Q3-Med</c:v>
                </c:pt>
              </c:strCache>
            </c:strRef>
          </c:tx>
          <c:spPr>
            <a:solidFill>
              <a:srgbClr val="FF93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 for Charts'!$F$14:$G$14</c:f>
              <c:strCache>
                <c:ptCount val="2"/>
                <c:pt idx="0">
                  <c:v>Kara</c:v>
                </c:pt>
                <c:pt idx="1">
                  <c:v>Everyone else</c:v>
                </c:pt>
              </c:strCache>
            </c:strRef>
          </c:cat>
          <c:val>
            <c:numRef>
              <c:f>'Tab for Charts'!$F$47:$G$47</c:f>
              <c:numCache>
                <c:formatCode>0</c:formatCode>
                <c:ptCount val="2"/>
                <c:pt idx="0">
                  <c:v>1.0000000000938982</c:v>
                </c:pt>
                <c:pt idx="1">
                  <c:v>2.0000000035900012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A-9E4A-AB5C-BDFE2A856EEF}"/>
            </c:ext>
          </c:extLst>
        </c:ser>
        <c:ser>
          <c:idx val="4"/>
          <c:order val="4"/>
          <c:tx>
            <c:strRef>
              <c:f>'Tab for Charts'!$E$48</c:f>
              <c:strCache>
                <c:ptCount val="1"/>
                <c:pt idx="0">
                  <c:v>Max-Q3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'Tab for Charts'!$F$14:$G$14</c:f>
              <c:strCache>
                <c:ptCount val="2"/>
                <c:pt idx="0">
                  <c:v>Kara</c:v>
                </c:pt>
                <c:pt idx="1">
                  <c:v>Everyone else</c:v>
                </c:pt>
              </c:strCache>
            </c:strRef>
          </c:cat>
          <c:val>
            <c:numRef>
              <c:f>'Tab for Charts'!$F$48:$G$48</c:f>
              <c:numCache>
                <c:formatCode>0</c:formatCode>
                <c:ptCount val="2"/>
                <c:pt idx="0">
                  <c:v>1.0000000063980004</c:v>
                </c:pt>
                <c:pt idx="1">
                  <c:v>7.0000000048749982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CA-9E4A-AB5C-BDFE2A856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6142032"/>
        <c:axId val="2046294576"/>
      </c:barChart>
      <c:catAx>
        <c:axId val="204614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Trainer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294576"/>
        <c:crosses val="autoZero"/>
        <c:auto val="1"/>
        <c:lblAlgn val="ctr"/>
        <c:lblOffset val="100"/>
        <c:noMultiLvlLbl val="0"/>
      </c:catAx>
      <c:valAx>
        <c:axId val="204629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Splat Points Earned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4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Calories Burned</a:t>
            </a:r>
            <a:r>
              <a:rPr lang="en-US" b="1" baseline="0"/>
              <a:t> by Location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 for Charts'!$A$37</c:f>
              <c:strCache>
                <c:ptCount val="1"/>
                <c:pt idx="0">
                  <c:v>Min Calories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'Tab for Charts'!$B$14:$C$14</c:f>
              <c:strCache>
                <c:ptCount val="2"/>
                <c:pt idx="0">
                  <c:v>Thomas Circle, DC</c:v>
                </c:pt>
                <c:pt idx="1">
                  <c:v>Everywhere else</c:v>
                </c:pt>
              </c:strCache>
            </c:strRef>
          </c:cat>
          <c:val>
            <c:numRef>
              <c:f>'Tab for Charts'!$B$37:$C$37</c:f>
              <c:numCache>
                <c:formatCode>General</c:formatCode>
                <c:ptCount val="2"/>
                <c:pt idx="0">
                  <c:v>578.0000000046</c:v>
                </c:pt>
                <c:pt idx="1">
                  <c:v>447.00000000000074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9-A84C-887D-DA6DCF029C31}"/>
            </c:ext>
          </c:extLst>
        </c:ser>
        <c:ser>
          <c:idx val="1"/>
          <c:order val="1"/>
          <c:tx>
            <c:strRef>
              <c:f>'Tab for Charts'!$A$38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'Tab for Charts'!$B$14:$C$14</c:f>
              <c:strCache>
                <c:ptCount val="2"/>
                <c:pt idx="0">
                  <c:v>Thomas Circle, DC</c:v>
                </c:pt>
                <c:pt idx="1">
                  <c:v>Everywhere else</c:v>
                </c:pt>
              </c:strCache>
            </c:strRef>
          </c:cat>
          <c:val>
            <c:numRef>
              <c:f>'Tab for Charts'!$B$38:$C$38</c:f>
              <c:numCache>
                <c:formatCode>0</c:formatCode>
                <c:ptCount val="2"/>
                <c:pt idx="0">
                  <c:v>6.9999999993999609</c:v>
                </c:pt>
                <c:pt idx="1">
                  <c:v>130.00000000627432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E9-A84C-887D-DA6DCF029C31}"/>
            </c:ext>
          </c:extLst>
        </c:ser>
        <c:ser>
          <c:idx val="2"/>
          <c:order val="2"/>
          <c:tx>
            <c:strRef>
              <c:f>'Tab for Charts'!$A$39</c:f>
              <c:strCache>
                <c:ptCount val="1"/>
                <c:pt idx="0">
                  <c:v>Med-Q1</c:v>
                </c:pt>
              </c:strCache>
            </c:strRef>
          </c:tx>
          <c:spPr>
            <a:solidFill>
              <a:srgbClr val="FF93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 for Charts'!$B$14:$C$14</c:f>
              <c:strCache>
                <c:ptCount val="2"/>
                <c:pt idx="0">
                  <c:v>Thomas Circle, DC</c:v>
                </c:pt>
                <c:pt idx="1">
                  <c:v>Everywhere else</c:v>
                </c:pt>
              </c:strCache>
            </c:strRef>
          </c:cat>
          <c:val>
            <c:numRef>
              <c:f>'Tab for Charts'!$B$39:$C$39</c:f>
              <c:numCache>
                <c:formatCode>0</c:formatCode>
                <c:ptCount val="2"/>
                <c:pt idx="0">
                  <c:v>6.9999999994000746</c:v>
                </c:pt>
                <c:pt idx="1">
                  <c:v>33.999999998475005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E9-A84C-887D-DA6DCF029C31}"/>
            </c:ext>
          </c:extLst>
        </c:ser>
        <c:ser>
          <c:idx val="3"/>
          <c:order val="3"/>
          <c:tx>
            <c:strRef>
              <c:f>'Tab for Charts'!$A$40</c:f>
              <c:strCache>
                <c:ptCount val="1"/>
                <c:pt idx="0">
                  <c:v>Q3-Med</c:v>
                </c:pt>
              </c:strCache>
            </c:strRef>
          </c:tx>
          <c:spPr>
            <a:solidFill>
              <a:srgbClr val="FF93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 for Charts'!$B$14:$C$14</c:f>
              <c:strCache>
                <c:ptCount val="2"/>
                <c:pt idx="0">
                  <c:v>Thomas Circle, DC</c:v>
                </c:pt>
                <c:pt idx="1">
                  <c:v>Everywhere else</c:v>
                </c:pt>
              </c:strCache>
            </c:strRef>
          </c:cat>
          <c:val>
            <c:numRef>
              <c:f>'Tab for Charts'!$B$40:$C$40</c:f>
              <c:numCache>
                <c:formatCode>0</c:formatCode>
                <c:ptCount val="2"/>
                <c:pt idx="0">
                  <c:v>42.999999998348017</c:v>
                </c:pt>
                <c:pt idx="1">
                  <c:v>36.250000000200203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E9-A84C-887D-DA6DCF029C31}"/>
            </c:ext>
          </c:extLst>
        </c:ser>
        <c:ser>
          <c:idx val="4"/>
          <c:order val="4"/>
          <c:tx>
            <c:strRef>
              <c:f>'Tab for Charts'!$A$41</c:f>
              <c:strCache>
                <c:ptCount val="1"/>
                <c:pt idx="0">
                  <c:v>Max-Q3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'Tab for Charts'!$B$14:$C$14</c:f>
              <c:strCache>
                <c:ptCount val="2"/>
                <c:pt idx="0">
                  <c:v>Thomas Circle, DC</c:v>
                </c:pt>
                <c:pt idx="1">
                  <c:v>Everywhere else</c:v>
                </c:pt>
              </c:strCache>
            </c:strRef>
          </c:cat>
          <c:val>
            <c:numRef>
              <c:f>'Tab for Charts'!$B$41:$C$41</c:f>
              <c:numCache>
                <c:formatCode>0</c:formatCode>
                <c:ptCount val="2"/>
                <c:pt idx="0">
                  <c:v>42.999999998347903</c:v>
                </c:pt>
                <c:pt idx="1">
                  <c:v>77.749999998349722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E9-A84C-887D-DA6DCF029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0192655"/>
        <c:axId val="300223215"/>
      </c:barChart>
      <c:catAx>
        <c:axId val="300192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Location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223215"/>
        <c:crosses val="autoZero"/>
        <c:auto val="1"/>
        <c:lblAlgn val="ctr"/>
        <c:lblOffset val="100"/>
        <c:noMultiLvlLbl val="0"/>
      </c:catAx>
      <c:valAx>
        <c:axId val="300223215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Calories Burned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92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Splat Points Earned by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 for Charts'!$A$44</c:f>
              <c:strCache>
                <c:ptCount val="1"/>
                <c:pt idx="0">
                  <c:v>Min Splat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'Tab for Charts'!$B$14:$C$14</c:f>
              <c:strCache>
                <c:ptCount val="2"/>
                <c:pt idx="0">
                  <c:v>Thomas Circle, DC</c:v>
                </c:pt>
                <c:pt idx="1">
                  <c:v>Everywhere else</c:v>
                </c:pt>
              </c:strCache>
            </c:strRef>
          </c:cat>
          <c:val>
            <c:numRef>
              <c:f>'Tab for Charts'!$B$44:$C$44</c:f>
              <c:numCache>
                <c:formatCode>General</c:formatCode>
                <c:ptCount val="2"/>
                <c:pt idx="0">
                  <c:v>16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E-0747-9EB1-6B88E27526E5}"/>
            </c:ext>
          </c:extLst>
        </c:ser>
        <c:ser>
          <c:idx val="1"/>
          <c:order val="1"/>
          <c:tx>
            <c:strRef>
              <c:f>'Tab for Charts'!$A$45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'Tab for Charts'!$B$14:$C$14</c:f>
              <c:strCache>
                <c:ptCount val="2"/>
                <c:pt idx="0">
                  <c:v>Thomas Circle, DC</c:v>
                </c:pt>
                <c:pt idx="1">
                  <c:v>Everywhere else</c:v>
                </c:pt>
              </c:strCache>
            </c:strRef>
          </c:cat>
          <c:val>
            <c:numRef>
              <c:f>'Tab for Charts'!$B$45:$C$45</c:f>
              <c:numCache>
                <c:formatCode>0</c:formatCode>
                <c:ptCount val="2"/>
                <c:pt idx="0">
                  <c:v>6.5000023141692509E-9</c:v>
                </c:pt>
                <c:pt idx="1">
                  <c:v>10.750000002357801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E-0747-9EB1-6B88E27526E5}"/>
            </c:ext>
          </c:extLst>
        </c:ser>
        <c:ser>
          <c:idx val="2"/>
          <c:order val="2"/>
          <c:tx>
            <c:strRef>
              <c:f>'Tab for Charts'!$A$46</c:f>
              <c:strCache>
                <c:ptCount val="1"/>
                <c:pt idx="0">
                  <c:v>Med-Q1</c:v>
                </c:pt>
              </c:strCache>
            </c:strRef>
          </c:tx>
          <c:spPr>
            <a:solidFill>
              <a:srgbClr val="FF93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 for Charts'!$B$14:$C$14</c:f>
              <c:strCache>
                <c:ptCount val="2"/>
                <c:pt idx="0">
                  <c:v>Thomas Circle, DC</c:v>
                </c:pt>
                <c:pt idx="1">
                  <c:v>Everywhere else</c:v>
                </c:pt>
              </c:strCache>
            </c:strRef>
          </c:cat>
          <c:val>
            <c:numRef>
              <c:f>'Tab for Charts'!$B$46:$C$46</c:f>
              <c:numCache>
                <c:formatCode>0</c:formatCode>
                <c:ptCount val="2"/>
                <c:pt idx="0">
                  <c:v>3.0999984801383107E-9</c:v>
                </c:pt>
                <c:pt idx="1">
                  <c:v>3.2499999988471977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EE-0747-9EB1-6B88E27526E5}"/>
            </c:ext>
          </c:extLst>
        </c:ser>
        <c:ser>
          <c:idx val="3"/>
          <c:order val="3"/>
          <c:tx>
            <c:strRef>
              <c:f>'Tab for Charts'!$A$47</c:f>
              <c:strCache>
                <c:ptCount val="1"/>
                <c:pt idx="0">
                  <c:v>Q3-Med</c:v>
                </c:pt>
              </c:strCache>
            </c:strRef>
          </c:tx>
          <c:spPr>
            <a:solidFill>
              <a:srgbClr val="FF93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 for Charts'!$B$14:$C$14</c:f>
              <c:strCache>
                <c:ptCount val="2"/>
                <c:pt idx="0">
                  <c:v>Thomas Circle, DC</c:v>
                </c:pt>
                <c:pt idx="1">
                  <c:v>Everywhere else</c:v>
                </c:pt>
              </c:strCache>
            </c:strRef>
          </c:cat>
          <c:val>
            <c:numRef>
              <c:f>'Tab for Charts'!$B$47:$C$47</c:f>
              <c:numCache>
                <c:formatCode>0</c:formatCode>
                <c:ptCount val="2"/>
                <c:pt idx="0">
                  <c:v>1.999999997499998</c:v>
                </c:pt>
                <c:pt idx="1">
                  <c:v>2.000000005495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EE-0747-9EB1-6B88E27526E5}"/>
            </c:ext>
          </c:extLst>
        </c:ser>
        <c:ser>
          <c:idx val="4"/>
          <c:order val="4"/>
          <c:tx>
            <c:strRef>
              <c:f>'Tab for Charts'!$A$48</c:f>
              <c:strCache>
                <c:ptCount val="1"/>
                <c:pt idx="0">
                  <c:v>Max-Q3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'Tab for Charts'!$B$14:$C$14</c:f>
              <c:strCache>
                <c:ptCount val="2"/>
                <c:pt idx="0">
                  <c:v>Thomas Circle, DC</c:v>
                </c:pt>
                <c:pt idx="1">
                  <c:v>Everywhere else</c:v>
                </c:pt>
              </c:strCache>
            </c:strRef>
          </c:cat>
          <c:val>
            <c:numRef>
              <c:f>'Tab for Charts'!$B$48:$C$48</c:f>
              <c:numCache>
                <c:formatCode>0</c:formatCode>
                <c:ptCount val="2"/>
                <c:pt idx="0">
                  <c:v>1.9999999975000016</c:v>
                </c:pt>
                <c:pt idx="1">
                  <c:v>7.0000000028000002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EE-0747-9EB1-6B88E2752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805728"/>
        <c:axId val="1976507088"/>
      </c:barChart>
      <c:catAx>
        <c:axId val="201480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Location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507088"/>
        <c:crosses val="autoZero"/>
        <c:auto val="1"/>
        <c:lblAlgn val="ctr"/>
        <c:lblOffset val="100"/>
        <c:noMultiLvlLbl val="0"/>
      </c:catAx>
      <c:valAx>
        <c:axId val="197650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Splat Points Earned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80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 for Charts'!$A$53</c:f>
          <c:strCache>
            <c:ptCount val="1"/>
            <c:pt idx="0">
              <c:v>Cost per Class and Number of Classes Attended in 2020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01847839489863"/>
          <c:y val="0.17193197499797064"/>
          <c:w val="0.77772798534411391"/>
          <c:h val="0.69944633889267782"/>
        </c:manualLayout>
      </c:layout>
      <c:areaChart>
        <c:grouping val="standard"/>
        <c:varyColors val="0"/>
        <c:ser>
          <c:idx val="0"/>
          <c:order val="0"/>
          <c:tx>
            <c:strRef>
              <c:f>'Tab for Charts'!$L$1</c:f>
              <c:strCache>
                <c:ptCount val="1"/>
                <c:pt idx="0">
                  <c:v># Classes Attended</c:v>
                </c:pt>
              </c:strCache>
            </c:strRef>
          </c:tx>
          <c:spPr>
            <a:solidFill>
              <a:schemeClr val="bg2">
                <a:lumMod val="75000"/>
                <a:alpha val="69000"/>
              </a:schemeClr>
            </a:solidFill>
            <a:ln>
              <a:solidFill>
                <a:schemeClr val="tx1"/>
              </a:solidFill>
            </a:ln>
            <a:effectLst/>
            <a:scene3d>
              <a:camera prst="orthographicFront"/>
              <a:lightRig rig="threePt" dir="t"/>
            </a:scene3d>
            <a:sp3d/>
          </c:spPr>
          <c:cat>
            <c:strRef>
              <c:f>'Tab for Charts'!$B$55:$B$66</c:f>
              <c:strCache>
                <c:ptCount val="12"/>
                <c:pt idx="0">
                  <c:v>1-2020</c:v>
                </c:pt>
                <c:pt idx="1">
                  <c:v>2-2020</c:v>
                </c:pt>
                <c:pt idx="2">
                  <c:v>3-2020</c:v>
                </c:pt>
                <c:pt idx="3">
                  <c:v>4-2020</c:v>
                </c:pt>
                <c:pt idx="4">
                  <c:v>5-2020</c:v>
                </c:pt>
                <c:pt idx="5">
                  <c:v>6-2020</c:v>
                </c:pt>
                <c:pt idx="6">
                  <c:v>7-2020</c:v>
                </c:pt>
                <c:pt idx="7">
                  <c:v>8-2020</c:v>
                </c:pt>
                <c:pt idx="8">
                  <c:v>9-2020</c:v>
                </c:pt>
                <c:pt idx="9">
                  <c:v>10-2020</c:v>
                </c:pt>
                <c:pt idx="10">
                  <c:v>11-2020</c:v>
                </c:pt>
                <c:pt idx="11">
                  <c:v>12-2020</c:v>
                </c:pt>
              </c:strCache>
            </c:strRef>
          </c:cat>
          <c:val>
            <c:numRef>
              <c:f>'Tab for Charts'!$E$55:$E$66</c:f>
              <c:numCache>
                <c:formatCode>General</c:formatCode>
                <c:ptCount val="12"/>
                <c:pt idx="0">
                  <c:v>14</c:v>
                </c:pt>
                <c:pt idx="1">
                  <c:v>16</c:v>
                </c:pt>
                <c:pt idx="2">
                  <c:v>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3-E249-955F-1D3ED8F91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586335"/>
        <c:axId val="1504390511"/>
      </c:areaChart>
      <c:barChart>
        <c:barDir val="col"/>
        <c:grouping val="clustered"/>
        <c:varyColors val="0"/>
        <c:ser>
          <c:idx val="1"/>
          <c:order val="1"/>
          <c:tx>
            <c:strRef>
              <c:f>'Tab for Charts'!$M$1</c:f>
              <c:strCache>
                <c:ptCount val="1"/>
                <c:pt idx="0">
                  <c:v>Cost per Class</c:v>
                </c:pt>
              </c:strCache>
            </c:strRef>
          </c:tx>
          <c:spPr>
            <a:solidFill>
              <a:schemeClr val="accent5">
                <a:alpha val="75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cat>
            <c:strRef>
              <c:f>'Tab for Charts'!$I$4:$I$13</c:f>
              <c:strCache>
                <c:ptCount val="10"/>
                <c:pt idx="0">
                  <c:v>3-2019</c:v>
                </c:pt>
                <c:pt idx="1">
                  <c:v>4-2019</c:v>
                </c:pt>
                <c:pt idx="2">
                  <c:v>5-2019</c:v>
                </c:pt>
                <c:pt idx="3">
                  <c:v>6-2019</c:v>
                </c:pt>
                <c:pt idx="4">
                  <c:v>7-2019</c:v>
                </c:pt>
                <c:pt idx="5">
                  <c:v>8-2019</c:v>
                </c:pt>
                <c:pt idx="6">
                  <c:v>9-2019</c:v>
                </c:pt>
                <c:pt idx="7">
                  <c:v>10-2019</c:v>
                </c:pt>
                <c:pt idx="8">
                  <c:v>11-2019</c:v>
                </c:pt>
                <c:pt idx="9">
                  <c:v>12-2019</c:v>
                </c:pt>
              </c:strCache>
            </c:strRef>
          </c:cat>
          <c:val>
            <c:numRef>
              <c:f>'Tab for Charts'!$F$55:$F$66</c:f>
              <c:numCache>
                <c:formatCode>_("$"* #,##0.00_);_("$"* \(#,##0.00\);_("$"* "-"??_);_(@_)</c:formatCode>
                <c:ptCount val="12"/>
                <c:pt idx="0">
                  <c:v>16.581428571428571</c:v>
                </c:pt>
                <c:pt idx="1">
                  <c:v>14.508749999999994</c:v>
                </c:pt>
                <c:pt idx="2">
                  <c:v>29.017499999999991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F3-E249-955F-1D3ED8F91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2"/>
        <c:overlap val="60"/>
        <c:axId val="1505339775"/>
        <c:axId val="1505190799"/>
      </c:barChart>
      <c:lineChart>
        <c:grouping val="standard"/>
        <c:varyColors val="0"/>
        <c:ser>
          <c:idx val="2"/>
          <c:order val="2"/>
          <c:tx>
            <c:strRef>
              <c:f>'Tab for Charts'!$N$1</c:f>
              <c:strCache>
                <c:ptCount val="1"/>
                <c:pt idx="0">
                  <c:v>Goal # Classes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'Tab for Charts'!$I$4:$I$13</c:f>
              <c:strCache>
                <c:ptCount val="10"/>
                <c:pt idx="0">
                  <c:v>3-2019</c:v>
                </c:pt>
                <c:pt idx="1">
                  <c:v>4-2019</c:v>
                </c:pt>
                <c:pt idx="2">
                  <c:v>5-2019</c:v>
                </c:pt>
                <c:pt idx="3">
                  <c:v>6-2019</c:v>
                </c:pt>
                <c:pt idx="4">
                  <c:v>7-2019</c:v>
                </c:pt>
                <c:pt idx="5">
                  <c:v>8-2019</c:v>
                </c:pt>
                <c:pt idx="6">
                  <c:v>9-2019</c:v>
                </c:pt>
                <c:pt idx="7">
                  <c:v>10-2019</c:v>
                </c:pt>
                <c:pt idx="8">
                  <c:v>11-2019</c:v>
                </c:pt>
                <c:pt idx="9">
                  <c:v>12-2019</c:v>
                </c:pt>
              </c:strCache>
            </c:strRef>
          </c:cat>
          <c:val>
            <c:numRef>
              <c:f>'Tab for Charts'!$G$55:$G$66</c:f>
              <c:numCache>
                <c:formatCode>0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F3-E249-955F-1D3ED8F91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5586335"/>
        <c:axId val="1504390511"/>
      </c:lineChart>
      <c:valAx>
        <c:axId val="1504390511"/>
        <c:scaling>
          <c:orientation val="minMax"/>
          <c:max val="1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Classes Attended per</a:t>
                </a:r>
                <a:r>
                  <a:rPr lang="en-US" b="1" baseline="0"/>
                  <a:t> Month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86335"/>
        <c:crosses val="max"/>
        <c:crossBetween val="between"/>
      </c:valAx>
      <c:catAx>
        <c:axId val="1505586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Month-Year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390511"/>
        <c:crosses val="autoZero"/>
        <c:auto val="1"/>
        <c:lblAlgn val="ctr"/>
        <c:lblOffset val="100"/>
        <c:noMultiLvlLbl val="0"/>
      </c:catAx>
      <c:valAx>
        <c:axId val="1505190799"/>
        <c:scaling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Cost</a:t>
                </a:r>
                <a:r>
                  <a:rPr lang="en-US" b="1" baseline="0"/>
                  <a:t> </a:t>
                </a:r>
                <a:r>
                  <a:rPr lang="en-US" b="1"/>
                  <a:t>Per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339775"/>
        <c:crosses val="autoZero"/>
        <c:crossBetween val="between"/>
      </c:valAx>
      <c:catAx>
        <c:axId val="15053397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5190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 for Charts'!$A$75</c:f>
          <c:strCache>
            <c:ptCount val="1"/>
            <c:pt idx="0">
              <c:v>Average Calories Burned and Splat Points Earned by Month in 2020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'Tab for Charts'!$D$77</c:f>
              <c:strCache>
                <c:ptCount val="1"/>
                <c:pt idx="0">
                  <c:v>Average Calories Burned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'Tab for Charts'!$B$78:$B$89</c:f>
              <c:strCache>
                <c:ptCount val="12"/>
                <c:pt idx="0">
                  <c:v>1-2020</c:v>
                </c:pt>
                <c:pt idx="1">
                  <c:v>2-2020</c:v>
                </c:pt>
                <c:pt idx="2">
                  <c:v>3-2020</c:v>
                </c:pt>
                <c:pt idx="3">
                  <c:v>4-2020</c:v>
                </c:pt>
                <c:pt idx="4">
                  <c:v>5-2020</c:v>
                </c:pt>
                <c:pt idx="5">
                  <c:v>6-2020</c:v>
                </c:pt>
                <c:pt idx="6">
                  <c:v>7-2020</c:v>
                </c:pt>
                <c:pt idx="7">
                  <c:v>8-2020</c:v>
                </c:pt>
                <c:pt idx="8">
                  <c:v>9-2020</c:v>
                </c:pt>
                <c:pt idx="9">
                  <c:v>10-2020</c:v>
                </c:pt>
                <c:pt idx="10">
                  <c:v>11-2020</c:v>
                </c:pt>
                <c:pt idx="11">
                  <c:v>12-2020</c:v>
                </c:pt>
              </c:strCache>
            </c:strRef>
          </c:cat>
          <c:val>
            <c:numRef>
              <c:f>'Tab for Charts'!$D$78:$D$89</c:f>
              <c:numCache>
                <c:formatCode>0.00</c:formatCode>
                <c:ptCount val="12"/>
                <c:pt idx="0">
                  <c:v>613.00000000173634</c:v>
                </c:pt>
                <c:pt idx="1">
                  <c:v>598.68750000020839</c:v>
                </c:pt>
                <c:pt idx="2">
                  <c:v>589.00000000005491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2C-BC45-82C2-EF2E24EAD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717871"/>
        <c:axId val="826854287"/>
      </c:lineChart>
      <c:lineChart>
        <c:grouping val="standard"/>
        <c:varyColors val="0"/>
        <c:ser>
          <c:idx val="0"/>
          <c:order val="0"/>
          <c:tx>
            <c:strRef>
              <c:f>'Tab for Charts'!$C$77</c:f>
              <c:strCache>
                <c:ptCount val="1"/>
                <c:pt idx="0">
                  <c:v>Average Splat Pts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'Tab for Charts'!$B$78:$B$89</c:f>
              <c:strCache>
                <c:ptCount val="12"/>
                <c:pt idx="0">
                  <c:v>1-2020</c:v>
                </c:pt>
                <c:pt idx="1">
                  <c:v>2-2020</c:v>
                </c:pt>
                <c:pt idx="2">
                  <c:v>3-2020</c:v>
                </c:pt>
                <c:pt idx="3">
                  <c:v>4-2020</c:v>
                </c:pt>
                <c:pt idx="4">
                  <c:v>5-2020</c:v>
                </c:pt>
                <c:pt idx="5">
                  <c:v>6-2020</c:v>
                </c:pt>
                <c:pt idx="6">
                  <c:v>7-2020</c:v>
                </c:pt>
                <c:pt idx="7">
                  <c:v>8-2020</c:v>
                </c:pt>
                <c:pt idx="8">
                  <c:v>9-2020</c:v>
                </c:pt>
                <c:pt idx="9">
                  <c:v>10-2020</c:v>
                </c:pt>
                <c:pt idx="10">
                  <c:v>11-2020</c:v>
                </c:pt>
                <c:pt idx="11">
                  <c:v>12-2020</c:v>
                </c:pt>
              </c:strCache>
            </c:strRef>
          </c:cat>
          <c:val>
            <c:numRef>
              <c:f>'Tab for Charts'!$C$78:$C$89</c:f>
              <c:numCache>
                <c:formatCode>0.00</c:formatCode>
                <c:ptCount val="12"/>
                <c:pt idx="0">
                  <c:v>14.500000000134339</c:v>
                </c:pt>
                <c:pt idx="1">
                  <c:v>13.562500002731937</c:v>
                </c:pt>
                <c:pt idx="2">
                  <c:v>13.00000000040418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C-BC45-82C2-EF2E24EAD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896751"/>
        <c:axId val="1009151615"/>
      </c:lineChart>
      <c:catAx>
        <c:axId val="880717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Month-Year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54287"/>
        <c:crosses val="autoZero"/>
        <c:auto val="1"/>
        <c:lblAlgn val="ctr"/>
        <c:lblOffset val="100"/>
        <c:noMultiLvlLbl val="0"/>
      </c:catAx>
      <c:valAx>
        <c:axId val="826854287"/>
        <c:scaling>
          <c:orientation val="minMax"/>
          <c:max val="700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Calories Burned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717871"/>
        <c:crosses val="autoZero"/>
        <c:crossBetween val="between"/>
        <c:majorUnit val="25"/>
      </c:valAx>
      <c:valAx>
        <c:axId val="1009151615"/>
        <c:scaling>
          <c:orientation val="minMax"/>
          <c:max val="18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Splat Points Earned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96751"/>
        <c:crosses val="max"/>
        <c:crossBetween val="between"/>
        <c:majorUnit val="3"/>
      </c:valAx>
      <c:catAx>
        <c:axId val="10118967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91516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Radio" firstButton="1" fmlaLink="'Tab for Charts'!$B$3" lockText="1" noThreeD="1"/>
</file>

<file path=xl/ctrlProps/ctrlProp2.xml><?xml version="1.0" encoding="utf-8"?>
<formControlPr xmlns="http://schemas.microsoft.com/office/spreadsheetml/2009/9/main" objectType="Radio" checked="Checked" lockText="1" noThreeD="1"/>
</file>

<file path=xl/ctrlProps/ctrlProp3.xml><?xml version="1.0" encoding="utf-8"?>
<formControlPr xmlns="http://schemas.microsoft.com/office/spreadsheetml/2009/9/main" objectType="List" dx="15" fmlaLink="'Tab for Charts'!$F$11" fmlaRange="'Tab for Charts'!$U$3:$U$13" noThreeD="1" sel="8" val="7"/>
</file>

<file path=xl/ctrlProps/ctrlProp4.xml><?xml version="1.0" encoding="utf-8"?>
<formControlPr xmlns="http://schemas.microsoft.com/office/spreadsheetml/2009/9/main" objectType="List" dx="15" fmlaLink="'Tab for Charts'!$B$11" fmlaRange="'Tab for Charts'!$AC$3:$AC$9" noThreeD="1" sel="4" val="2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tiff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5.xml"/><Relationship Id="rId11" Type="http://schemas.openxmlformats.org/officeDocument/2006/relationships/image" Target="../media/image5.tiff"/><Relationship Id="rId5" Type="http://schemas.openxmlformats.org/officeDocument/2006/relationships/chart" Target="../charts/chart4.xml"/><Relationship Id="rId10" Type="http://schemas.openxmlformats.org/officeDocument/2006/relationships/image" Target="../media/image4.tiff"/><Relationship Id="rId4" Type="http://schemas.openxmlformats.org/officeDocument/2006/relationships/chart" Target="../charts/chart3.xml"/><Relationship Id="rId9" Type="http://schemas.openxmlformats.org/officeDocument/2006/relationships/image" Target="../media/image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560170</xdr:colOff>
      <xdr:row>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347570" cy="520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541777</xdr:colOff>
          <xdr:row>4</xdr:row>
          <xdr:rowOff>152400</xdr:rowOff>
        </xdr:from>
        <xdr:to>
          <xdr:col>3</xdr:col>
          <xdr:colOff>563121</xdr:colOff>
          <xdr:row>9</xdr:row>
          <xdr:rowOff>165100</xdr:rowOff>
        </xdr:to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300-000003000000}"/>
                </a:ext>
              </a:extLst>
            </xdr:cNvPr>
            <xdr:cNvGrpSpPr/>
          </xdr:nvGrpSpPr>
          <xdr:grpSpPr>
            <a:xfrm>
              <a:off x="2129277" y="965200"/>
              <a:ext cx="1431044" cy="1028700"/>
              <a:chOff x="-5503694" y="215900"/>
              <a:chExt cx="1528616" cy="762000"/>
            </a:xfrm>
          </xdr:grpSpPr>
          <xdr:sp macro="" textlink="">
            <xdr:nvSpPr>
              <xdr:cNvPr id="10241" name="Option Button 1" hidden="1">
                <a:extLst>
                  <a:ext uri="{63B3BB69-23CF-44E3-9099-C40C66FF867C}">
                    <a14:compatExt spid="_x0000_s10241"/>
                  </a:ext>
                  <a:ext uri="{FF2B5EF4-FFF2-40B4-BE49-F238E27FC236}">
                    <a16:creationId xmlns:a16="http://schemas.microsoft.com/office/drawing/2014/main" id="{00000000-0008-0000-0300-000001280000}"/>
                  </a:ext>
                </a:extLst>
              </xdr:cNvPr>
              <xdr:cNvSpPr/>
            </xdr:nvSpPr>
            <xdr:spPr bwMode="auto">
              <a:xfrm>
                <a:off x="-5499078" y="215900"/>
                <a:ext cx="1524000" cy="3810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27432" tIns="22860" rIns="0" bIns="22860" anchor="ctr" upright="1"/>
              <a:lstStyle/>
              <a:p>
                <a:pPr algn="l" rtl="0">
                  <a:defRPr sz="1000"/>
                </a:pPr>
                <a:r>
                  <a:rPr lang="en-US" sz="1300" b="0" i="0" u="none" strike="noStrike" baseline="0">
                    <a:solidFill>
                      <a:srgbClr val="000000"/>
                    </a:solidFill>
                    <a:latin typeface="Lucida Grande" pitchFamily="2" charset="0"/>
                    <a:cs typeface="Lucida Grande" pitchFamily="2" charset="0"/>
                  </a:rPr>
                  <a:t>Top 5</a:t>
                </a:r>
              </a:p>
            </xdr:txBody>
          </xdr:sp>
          <xdr:sp macro="" textlink="">
            <xdr:nvSpPr>
              <xdr:cNvPr id="10242" name="Option Button 2" hidden="1">
                <a:extLst>
                  <a:ext uri="{63B3BB69-23CF-44E3-9099-C40C66FF867C}">
                    <a14:compatExt spid="_x0000_s10242"/>
                  </a:ext>
                  <a:ext uri="{FF2B5EF4-FFF2-40B4-BE49-F238E27FC236}">
                    <a16:creationId xmlns:a16="http://schemas.microsoft.com/office/drawing/2014/main" id="{00000000-0008-0000-0300-000002280000}"/>
                  </a:ext>
                </a:extLst>
              </xdr:cNvPr>
              <xdr:cNvSpPr/>
            </xdr:nvSpPr>
            <xdr:spPr bwMode="auto">
              <a:xfrm>
                <a:off x="-5503694" y="596900"/>
                <a:ext cx="1524000" cy="3810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27432" tIns="22860" rIns="0" bIns="22860" anchor="ctr" upright="1"/>
              <a:lstStyle/>
              <a:p>
                <a:pPr algn="l" rtl="0">
                  <a:defRPr sz="1000"/>
                </a:pPr>
                <a:r>
                  <a:rPr lang="en-US" sz="1300" b="0" i="0" u="none" strike="noStrike" baseline="0">
                    <a:solidFill>
                      <a:srgbClr val="000000"/>
                    </a:solidFill>
                    <a:latin typeface="Lucida Grande" pitchFamily="2" charset="0"/>
                    <a:cs typeface="Lucida Grande" pitchFamily="2" charset="0"/>
                  </a:rPr>
                  <a:t>Bottom 5</a:t>
                </a:r>
              </a:p>
            </xdr:txBody>
          </xdr:sp>
        </xdr:grpSp>
        <xdr:clientData/>
      </xdr:twoCellAnchor>
    </mc:Choice>
    <mc:Fallback/>
  </mc:AlternateContent>
  <xdr:twoCellAnchor editAs="absolute">
    <xdr:from>
      <xdr:col>8</xdr:col>
      <xdr:colOff>25400</xdr:colOff>
      <xdr:row>4</xdr:row>
      <xdr:rowOff>88900</xdr:rowOff>
    </xdr:from>
    <xdr:to>
      <xdr:col>12</xdr:col>
      <xdr:colOff>736600</xdr:colOff>
      <xdr:row>13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13</xdr:col>
      <xdr:colOff>139700</xdr:colOff>
      <xdr:row>4</xdr:row>
      <xdr:rowOff>101600</xdr:rowOff>
    </xdr:from>
    <xdr:to>
      <xdr:col>17</xdr:col>
      <xdr:colOff>495300</xdr:colOff>
      <xdr:row>13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8</xdr:col>
      <xdr:colOff>25400</xdr:colOff>
      <xdr:row>14</xdr:row>
      <xdr:rowOff>114300</xdr:rowOff>
    </xdr:from>
    <xdr:to>
      <xdr:col>12</xdr:col>
      <xdr:colOff>723900</xdr:colOff>
      <xdr:row>24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13</xdr:col>
      <xdr:colOff>139700</xdr:colOff>
      <xdr:row>14</xdr:row>
      <xdr:rowOff>114300</xdr:rowOff>
    </xdr:from>
    <xdr:to>
      <xdr:col>17</xdr:col>
      <xdr:colOff>508000</xdr:colOff>
      <xdr:row>24</xdr:row>
      <xdr:rowOff>25401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9</xdr:row>
          <xdr:rowOff>114300</xdr:rowOff>
        </xdr:from>
        <xdr:to>
          <xdr:col>7</xdr:col>
          <xdr:colOff>635000</xdr:colOff>
          <xdr:row>13</xdr:row>
          <xdr:rowOff>165100</xdr:rowOff>
        </xdr:to>
        <xdr:sp macro="" textlink="">
          <xdr:nvSpPr>
            <xdr:cNvPr id="10247" name="List Box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00000000-0008-0000-0300-00000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482600</xdr:colOff>
          <xdr:row>20</xdr:row>
          <xdr:rowOff>12700</xdr:rowOff>
        </xdr:from>
        <xdr:to>
          <xdr:col>7</xdr:col>
          <xdr:colOff>609600</xdr:colOff>
          <xdr:row>24</xdr:row>
          <xdr:rowOff>63500</xdr:rowOff>
        </xdr:to>
        <xdr:sp macro="" textlink="">
          <xdr:nvSpPr>
            <xdr:cNvPr id="10248" name="List Box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00000000-0008-0000-0300-00000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431800</xdr:colOff>
      <xdr:row>15</xdr:row>
      <xdr:rowOff>63500</xdr:rowOff>
    </xdr:from>
    <xdr:to>
      <xdr:col>7</xdr:col>
      <xdr:colOff>571500</xdr:colOff>
      <xdr:row>19</xdr:row>
      <xdr:rowOff>190500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5334000" y="3111500"/>
          <a:ext cx="1778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At which location do I get the best results?</a:t>
          </a:r>
        </a:p>
      </xdr:txBody>
    </xdr:sp>
    <xdr:clientData/>
  </xdr:twoCellAnchor>
  <xdr:twoCellAnchor>
    <xdr:from>
      <xdr:col>5</xdr:col>
      <xdr:colOff>508000</xdr:colOff>
      <xdr:row>4</xdr:row>
      <xdr:rowOff>114300</xdr:rowOff>
    </xdr:from>
    <xdr:to>
      <xdr:col>7</xdr:col>
      <xdr:colOff>660400</xdr:colOff>
      <xdr:row>9</xdr:row>
      <xdr:rowOff>63500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5410200" y="927100"/>
          <a:ext cx="1790700" cy="965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With</a:t>
          </a:r>
          <a:r>
            <a:rPr lang="en-US" sz="1800" b="1" baseline="0"/>
            <a:t> which trainer do I get the best results?</a:t>
          </a:r>
          <a:endParaRPr lang="en-US" sz="1800" b="1"/>
        </a:p>
      </xdr:txBody>
    </xdr:sp>
    <xdr:clientData/>
  </xdr:twoCellAnchor>
  <xdr:twoCellAnchor>
    <xdr:from>
      <xdr:col>0</xdr:col>
      <xdr:colOff>294922</xdr:colOff>
      <xdr:row>31</xdr:row>
      <xdr:rowOff>43745</xdr:rowOff>
    </xdr:from>
    <xdr:to>
      <xdr:col>7</xdr:col>
      <xdr:colOff>904522</xdr:colOff>
      <xdr:row>50</xdr:row>
      <xdr:rowOff>79022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8</xdr:col>
      <xdr:colOff>407811</xdr:colOff>
      <xdr:row>31</xdr:row>
      <xdr:rowOff>49389</xdr:rowOff>
    </xdr:from>
    <xdr:to>
      <xdr:col>17</xdr:col>
      <xdr:colOff>204611</xdr:colOff>
      <xdr:row>50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203200</xdr:colOff>
      <xdr:row>4</xdr:row>
      <xdr:rowOff>12700</xdr:rowOff>
    </xdr:from>
    <xdr:to>
      <xdr:col>5</xdr:col>
      <xdr:colOff>215900</xdr:colOff>
      <xdr:row>25</xdr:row>
      <xdr:rowOff>139700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flipH="1">
          <a:off x="5105400" y="825500"/>
          <a:ext cx="12700" cy="43942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25</xdr:row>
      <xdr:rowOff>139700</xdr:rowOff>
    </xdr:from>
    <xdr:to>
      <xdr:col>18</xdr:col>
      <xdr:colOff>0</xdr:colOff>
      <xdr:row>25</xdr:row>
      <xdr:rowOff>139700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flipH="1">
          <a:off x="0" y="5219700"/>
          <a:ext cx="154559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165100</xdr:colOff>
      <xdr:row>0</xdr:row>
      <xdr:rowOff>12700</xdr:rowOff>
    </xdr:from>
    <xdr:to>
      <xdr:col>3</xdr:col>
      <xdr:colOff>1104900</xdr:colOff>
      <xdr:row>3</xdr:row>
      <xdr:rowOff>127000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1663700" y="12700"/>
          <a:ext cx="234950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Jon's Orange Theory</a:t>
          </a:r>
        </a:p>
        <a:p>
          <a:r>
            <a:rPr lang="en-US" sz="1800" b="1"/>
            <a:t>Fitness Dashboard</a:t>
          </a:r>
        </a:p>
      </xdr:txBody>
    </xdr:sp>
    <xdr:clientData/>
  </xdr:twoCellAnchor>
  <xdr:twoCellAnchor>
    <xdr:from>
      <xdr:col>0</xdr:col>
      <xdr:colOff>279400</xdr:colOff>
      <xdr:row>26</xdr:row>
      <xdr:rowOff>0</xdr:rowOff>
    </xdr:from>
    <xdr:to>
      <xdr:col>2</xdr:col>
      <xdr:colOff>698500</xdr:colOff>
      <xdr:row>30</xdr:row>
      <xdr:rowOff>165100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279400" y="5283200"/>
          <a:ext cx="1917700" cy="977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Am I getting my money's worth each month?</a:t>
          </a:r>
        </a:p>
      </xdr:txBody>
    </xdr:sp>
    <xdr:clientData/>
  </xdr:twoCellAnchor>
  <xdr:twoCellAnchor>
    <xdr:from>
      <xdr:col>8</xdr:col>
      <xdr:colOff>368300</xdr:colOff>
      <xdr:row>26</xdr:row>
      <xdr:rowOff>0</xdr:rowOff>
    </xdr:from>
    <xdr:to>
      <xdr:col>11</xdr:col>
      <xdr:colOff>177800</xdr:colOff>
      <xdr:row>31</xdr:row>
      <xdr:rowOff>12700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7861300" y="5283200"/>
          <a:ext cx="2108200" cy="1028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Is my performance improving over time?</a:t>
          </a:r>
        </a:p>
      </xdr:txBody>
    </xdr:sp>
    <xdr:clientData/>
  </xdr:twoCellAnchor>
  <xdr:twoCellAnchor>
    <xdr:from>
      <xdr:col>0</xdr:col>
      <xdr:colOff>203200</xdr:colOff>
      <xdr:row>4</xdr:row>
      <xdr:rowOff>88900</xdr:rowOff>
    </xdr:from>
    <xdr:to>
      <xdr:col>2</xdr:col>
      <xdr:colOff>495300</xdr:colOff>
      <xdr:row>9</xdr:row>
      <xdr:rowOff>38100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203200" y="901700"/>
          <a:ext cx="1790700" cy="965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What were my best and worst</a:t>
          </a:r>
          <a:r>
            <a:rPr lang="en-US" sz="1800" b="1" baseline="0"/>
            <a:t> workouts?</a:t>
          </a:r>
          <a:endParaRPr lang="en-US" sz="1800" b="1"/>
        </a:p>
      </xdr:txBody>
    </xdr:sp>
    <xdr:clientData/>
  </xdr:twoCellAnchor>
  <xdr:twoCellAnchor editAs="absolute">
    <xdr:from>
      <xdr:col>3</xdr:col>
      <xdr:colOff>774700</xdr:colOff>
      <xdr:row>4</xdr:row>
      <xdr:rowOff>190500</xdr:rowOff>
    </xdr:from>
    <xdr:to>
      <xdr:col>5</xdr:col>
      <xdr:colOff>1</xdr:colOff>
      <xdr:row>9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83000" y="1003300"/>
          <a:ext cx="1219200" cy="914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absolute">
    <xdr:from>
      <xdr:col>6</xdr:col>
      <xdr:colOff>474132</xdr:colOff>
      <xdr:row>26</xdr:row>
      <xdr:rowOff>50800</xdr:rowOff>
    </xdr:from>
    <xdr:to>
      <xdr:col>7</xdr:col>
      <xdr:colOff>901699</xdr:colOff>
      <xdr:row>30</xdr:row>
      <xdr:rowOff>143256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3432" y="5334000"/>
          <a:ext cx="1227667" cy="9052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absolute">
    <xdr:from>
      <xdr:col>15</xdr:col>
      <xdr:colOff>776110</xdr:colOff>
      <xdr:row>26</xdr:row>
      <xdr:rowOff>23127</xdr:rowOff>
    </xdr:from>
    <xdr:to>
      <xdr:col>17</xdr:col>
      <xdr:colOff>204728</xdr:colOff>
      <xdr:row>30</xdr:row>
      <xdr:rowOff>115583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44410" y="5306327"/>
          <a:ext cx="1079618" cy="9052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absolute">
    <xdr:from>
      <xdr:col>16</xdr:col>
      <xdr:colOff>622300</xdr:colOff>
      <xdr:row>0</xdr:row>
      <xdr:rowOff>63500</xdr:rowOff>
    </xdr:from>
    <xdr:to>
      <xdr:col>17</xdr:col>
      <xdr:colOff>482601</xdr:colOff>
      <xdr:row>3</xdr:row>
      <xdr:rowOff>148063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27200" y="63500"/>
          <a:ext cx="685800" cy="6941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0F187A-F7AB-E04A-895D-EA31A4DB59B9}" name="Table1" displayName="Table1" ref="A1:AY144" totalsRowShown="0" headerRowDxfId="66">
  <autoFilter ref="A1:AY144" xr:uid="{8E352DD4-4135-1F47-A5A1-73ADE05061B3}"/>
  <tableColumns count="51">
    <tableColumn id="1" xr3:uid="{E48142A9-58C6-3F41-8514-31A6BF9FE5C0}" name="VisitNum"/>
    <tableColumn id="2" xr3:uid="{88A6D74B-38DD-554F-9562-A44DC0BB63EF}" name="VisitNum_Month">
      <calculatedColumnFormula>COUNTIF(S:S,S2)</calculatedColumnFormula>
    </tableColumn>
    <tableColumn id="3" xr3:uid="{AA29190A-AD7F-5F45-A515-9212B3F19792}" name="Date" dataDxfId="65"/>
    <tableColumn id="4" xr3:uid="{F3ED82B6-5CAE-0E47-8F7D-A12F8B848517}" name="ClassLength" dataDxfId="64"/>
    <tableColumn id="5" xr3:uid="{B615B799-25F4-2640-BF54-5CBEB8C5E43D}" name="Splat"/>
    <tableColumn id="6" xr3:uid="{E0D95F44-7F26-164B-999C-03DEBA5721F4}" name="Calories"/>
    <tableColumn id="7" xr3:uid="{ACCF8623-C801-E346-9FC0-876FC9C2DC01}" name="AvgHR"/>
    <tableColumn id="8" xr3:uid="{D90BE34B-FB6B-8841-BD9D-A9C1847E78DB}" name="MaxHR"/>
    <tableColumn id="9" xr3:uid="{84B2BE27-3072-7D49-9EA9-F41613F4ECEA}" name="GrayMin"/>
    <tableColumn id="10" xr3:uid="{8078660F-1C2F-EB4D-9069-492D63C69D0B}" name="BlueMin"/>
    <tableColumn id="11" xr3:uid="{630EBB39-77B6-8B4B-A687-D6F8E6028956}" name="GreenMin"/>
    <tableColumn id="12" xr3:uid="{9627E639-2112-8744-9032-F01144A9129F}" name="OrangeMin"/>
    <tableColumn id="13" xr3:uid="{09F60EBC-66ED-D74D-A238-AA6BFA80DAC3}" name="RedMin"/>
    <tableColumn id="14" xr3:uid="{0C87BDEE-AB7A-2D41-B255-F6849F451F50}" name="Location"/>
    <tableColumn id="15" xr3:uid="{9F1D5C77-6487-E04A-938B-BD379575F5FC}" name="Time"/>
    <tableColumn id="16" xr3:uid="{7D9FB7AE-2D68-0040-AE08-CC75D08E72E9}" name="Trainer"/>
    <tableColumn id="17" xr3:uid="{A3103291-955F-594C-AEBE-6879F3DA055B}" name="DaysSince" dataDxfId="63">
      <calculatedColumnFormula>C2-C1</calculatedColumnFormula>
    </tableColumn>
    <tableColumn id="18" xr3:uid="{849F1769-ED32-E843-AEC1-BAFF1BCA350E}" name="Gain_Loss_Correct" dataDxfId="62">
      <calculatedColumnFormula>IF(ROUND(E2,1)-ROUND(L2+M2,0)=0,"Correct",IF(ROUND(E2,1)-ROUND(L2+M2,0)=1,"Gain","Loss"))</calculatedColumnFormula>
    </tableColumn>
    <tableColumn id="19" xr3:uid="{42ED7792-35BC-AE4C-BCF4-0A6DF1FC46DE}" name="Mon_Yr">
      <calculatedColumnFormula>MONTH(C2)&amp;"-"&amp;YEAR(C2)</calculatedColumnFormula>
    </tableColumn>
    <tableColumn id="20" xr3:uid="{DE7F2EFF-DD01-784D-9FC0-4ACB162B957B}" name="Weekday">
      <calculatedColumnFormula>IF(WEEKDAY(C2)=1,"Sunday",IF(WEEKDAY(C2)=2,"Monday",IF(WEEKDAY(C2)=3,"Tuesday",IF(WEEKDAY(C2)=4,"Wednesday",IF(WEEKDAY(C2)=5,"Thursday",IF(WEEKDAY(C2)=6,"Friday","Saturday"))))))</calculatedColumnFormula>
    </tableColumn>
    <tableColumn id="21" xr3:uid="{07584748-D9BD-E34C-B56F-605374F28AA0}" name="Twelve_or_Above">
      <calculatedColumnFormula>IF(E2&gt;=12,1,0)</calculatedColumnFormula>
    </tableColumn>
    <tableColumn id="22" xr3:uid="{B78C7BDA-0CEE-4840-841A-45C87B4E943B}" name="MIN _SPLAT" dataDxfId="61">
      <calculatedColumnFormula>IFERROR(Table1[[#This Row],[ClassLength]]/Table1[[#This Row],[Splat]],0)</calculatedColumnFormula>
    </tableColumn>
    <tableColumn id="23" xr3:uid="{4FE91C8C-CEE6-0547-B096-5BB8CA2ECA66}" name="Correct" dataDxfId="60">
      <calculatedColumnFormula>IF(ROUND($E2,1)-ROUND($L2+$M2,0)=0,1,0)</calculatedColumnFormula>
    </tableColumn>
    <tableColumn id="24" xr3:uid="{98B00166-F78D-254C-86C9-917F2D825E60}" name="Gain" dataDxfId="59">
      <calculatedColumnFormula>IF(ROUND($E2,1)-ROUND($L2+$M2,0)=1,1,0)</calculatedColumnFormula>
    </tableColumn>
    <tableColumn id="25" xr3:uid="{A2A68B0F-8E76-A441-A74B-A531127ACDC9}" name="Loss" dataDxfId="58">
      <calculatedColumnFormula>IF(ROUND($E2,1)-ROUND($L2+$M2,0)=-1,1,0)</calculatedColumnFormula>
    </tableColumn>
    <tableColumn id="26" xr3:uid="{9440729D-37EC-AB4B-A448-2713EB554A37}" name="Gray_Perc" dataDxfId="57" dataCellStyle="Percent">
      <calculatedColumnFormula>IFERROR(I2/$D2,"")</calculatedColumnFormula>
    </tableColumn>
    <tableColumn id="27" xr3:uid="{937E5C07-D5EA-CA47-A061-DED3DB709826}" name="Blue_Perc" dataDxfId="56" dataCellStyle="Percent">
      <calculatedColumnFormula>IFERROR(J2/$D2,"")</calculatedColumnFormula>
    </tableColumn>
    <tableColumn id="28" xr3:uid="{4F31B78F-C4CD-4144-B16B-FB9B5F894FEA}" name="Green_Perc" dataDxfId="55" dataCellStyle="Percent">
      <calculatedColumnFormula>IFERROR(K2/$D2,"")</calculatedColumnFormula>
    </tableColumn>
    <tableColumn id="29" xr3:uid="{5E16266E-FA97-B04A-92F0-C22E70355D9D}" name="Orange_Perc" dataDxfId="54" dataCellStyle="Percent">
      <calculatedColumnFormula>IFERROR(L2/$D2,"")</calculatedColumnFormula>
    </tableColumn>
    <tableColumn id="30" xr3:uid="{2CB6F618-11FD-4045-8544-D84F9220E467}" name="Red_Perc" dataDxfId="53" dataCellStyle="Percent">
      <calculatedColumnFormula>IFERROR(M2/$D2,"")</calculatedColumnFormula>
    </tableColumn>
    <tableColumn id="31" xr3:uid="{C7C11492-67DA-2944-BE26-232828EEF8AA}" name="Monthly_Cost" dataDxfId="52" dataCellStyle="Currency">
      <calculatedColumnFormula>232.14+AJ2</calculatedColumnFormula>
    </tableColumn>
    <tableColumn id="32" xr3:uid="{87312282-0B8D-5844-9517-30A82C3D7D0E}" name="Cost_Per_Class" dataDxfId="51" dataCellStyle="Currency">
      <calculatedColumnFormula>AE2/B2</calculatedColumnFormula>
    </tableColumn>
    <tableColumn id="33" xr3:uid="{9BD30895-4EE7-DB4A-99A4-6E1ACB701003}" name="Calories_Month" dataDxfId="50">
      <calculatedColumnFormula>AVERAGEIF(S:S,S2,F:F)</calculatedColumnFormula>
    </tableColumn>
    <tableColumn id="34" xr3:uid="{5D9E808E-E27F-4B46-A3A6-96673A84B15B}" name="SplatPts_Month" dataDxfId="49">
      <calculatedColumnFormula>AVERAGEIF(S:S,S2,E:E)</calculatedColumnFormula>
    </tableColumn>
    <tableColumn id="35" xr3:uid="{A9C6E165-E83A-9F43-9801-22D71EB5C05F}" name="Year">
      <calculatedColumnFormula>YEAR(Table1[[#This Row],[Date]])</calculatedColumnFormula>
    </tableColumn>
    <tableColumn id="36" xr3:uid="{8822416E-8966-8943-972D-69CB9151CA7B}" name="ExtraExpenses" dataDxfId="48" dataCellStyle="Currency"/>
    <tableColumn id="37" xr3:uid="{DA450F72-64B9-ED4D-A346-9CA24B1BE8DE}" name="Goal"/>
    <tableColumn id="38" xr3:uid="{BE0AB1D2-9031-BD4D-80D1-004878232165}" name="CAL_MIN" dataDxfId="47">
      <calculatedColumnFormula>Table1[[#This Row],[Calories]]/Table1[[#This Row],[ClassLength]]</calculatedColumnFormula>
    </tableColumn>
    <tableColumn id="39" xr3:uid="{17DC0065-9E56-0048-B8F3-540BCA30F3F8}" name="Morn_Even" dataDxfId="46">
      <calculatedColumnFormula>RIGHT(Table1[[#This Row],[Time]],2)</calculatedColumnFormula>
    </tableColumn>
    <tableColumn id="40" xr3:uid="{C661FACA-737E-6446-82FB-641C7AECE357}" name="Week_Month" dataDxfId="45">
      <calculatedColumnFormula>Table1[[#This Row],[Mon_Yr]]&amp;"-"&amp;WEEKNUM(Table1[[#This Row],[Date]],1)-WEEKNUM(DATE(YEAR(Table1[[#This Row],[Date]]),MONTH(Table1[[#This Row],[Date]]),1),1)+1</calculatedColumnFormula>
    </tableColumn>
    <tableColumn id="41" xr3:uid="{125E9D4A-4E6E-9D4E-A98A-AA5CE996FA71}" name="Month" dataDxfId="44">
      <calculatedColumnFormula>MONTH(Table1[[#This Row],[Date]])</calculatedColumnFormula>
    </tableColumn>
    <tableColumn id="42" xr3:uid="{DD8C49F2-DE67-3049-81E7-92164FE038B1}" name="Calories_Splat" dataDxfId="43">
      <calculatedColumnFormula>IFERROR(Table1[[#This Row],[Calories]]/Table1[[#This Row],[Splat]],0)</calculatedColumnFormula>
    </tableColumn>
    <tableColumn id="43" xr3:uid="{0402ED91-77F1-FA45-9817-DF32DC49F9B6}" name="Visits_Studio" dataDxfId="42">
      <calculatedColumnFormula>COUNTIF(Table1[Location],Table1[[#This Row],[Location]])</calculatedColumnFormula>
    </tableColumn>
    <tableColumn id="44" xr3:uid="{00CC7CCC-AC0B-CB4E-B351-5A116534DE94}" name="SH_12" dataDxfId="41">
      <calculatedColumnFormula>IF(AND(Table1[[#This Row],[Calories]]&gt;=600,Table1[[#This Row],[Splat]]&gt;=12),1,0)</calculatedColumnFormula>
    </tableColumn>
    <tableColumn id="45" xr3:uid="{026BF50B-D1C2-1D4A-9EB2-F8091E9A9D85}" name="FH_12" dataDxfId="40">
      <calculatedColumnFormula>IF(AND(Table1[[#This Row],[Calories]]&gt;=500,Table1[[#This Row],[Splat]]&gt;=12),1,0)</calculatedColumnFormula>
    </tableColumn>
    <tableColumn id="46" xr3:uid="{8EBABF15-00C4-7A4F-B2C6-D81FDF21807E}" name="MIN_CAL" dataDxfId="39">
      <calculatedColumnFormula>Table1[[#This Row],[ClassLength]]/Table1[[#This Row],[Calories]]</calculatedColumnFormula>
    </tableColumn>
    <tableColumn id="47" xr3:uid="{EA844D2B-FC5C-2541-BF86-FB5CFA855489}" name="BellCurve" dataDxfId="38">
      <calculatedColumnFormula>IF(AND(Table1[[#This Row],[BlueMin]] &lt;Table1[[#This Row],[GreenMin]],Table1[[#This Row],[OrangeMin]]&lt;Table1[[#This Row],[GreenMin]],Table1[[#This Row],[RedMin]]&lt;Table1[[#This Row],[OrangeMin]],Table1[[#This Row],[GrayMin]]&lt;Table1[[#This Row],[BlueMin]]),1,0)</calculatedColumnFormula>
    </tableColumn>
    <tableColumn id="48" xr3:uid="{B34954A8-1F4A-CA4A-B109-A0022CAF0009}" name="Visits_Trainer" dataDxfId="37">
      <calculatedColumnFormula>COUNTIF(Table1[Trainer],Table1[[#This Row],[Trainer]])</calculatedColumnFormula>
    </tableColumn>
    <tableColumn id="49" xr3:uid="{79AB8586-3D7D-8246-97EF-24581028F0E4}" name="MONYEAR" dataDxfId="36">
      <calculatedColumnFormula>UPPER(LEFT(TEXT(Table1[Date],"mmmm"),3))&amp;" "&amp;TEXT(Table1[Date],"yyyy")</calculatedColumnFormula>
    </tableColumn>
    <tableColumn id="50" xr3:uid="{074C6467-61DA-2F4A-88EB-EFCE1C384FDC}" name="Latitude" dataDxfId="35">
      <calculatedColumnFormula>VLOOKUP(Table1[[#This Row],[Location]],'Tab for Charts'!$A$93:$B$103,2,FALSE)</calculatedColumnFormula>
    </tableColumn>
    <tableColumn id="51" xr3:uid="{7F3AEA97-831D-FB40-8BDC-161E18784997}" name="Longitude" dataDxfId="34">
      <calculatedColumnFormula>VLOOKUP(Table1[[#This Row],[Location]],'Tab for Charts'!$A$93:$C$103,3,FALSE)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DE9FFD-6E70-A24A-95D5-083D49C420B4}" name="Table2" displayName="Table2" ref="A2:F15" totalsRowShown="0" headerRowDxfId="33">
  <autoFilter ref="A2:F15" xr:uid="{D69B51AB-5093-8344-A383-FDDE84E6506A}"/>
  <tableColumns count="6">
    <tableColumn id="1" xr3:uid="{47BC090F-6BB1-2147-A2B6-F40D67226A08}" name="Month-Yr" dataDxfId="32"/>
    <tableColumn id="2" xr3:uid="{02D41A17-C6C3-8B4B-A2BD-FAF467FC1BDA}" name="Gray Avg Min" dataDxfId="31">
      <calculatedColumnFormula>AVERAGEIF(Table1[Mon_Yr],TimelineData!A3,Table1[GrayMin])</calculatedColumnFormula>
    </tableColumn>
    <tableColumn id="3" xr3:uid="{D9A3DC4C-6669-3044-958F-FB4AC41E1C40}" name="Blue Avg Min" dataDxfId="30">
      <calculatedColumnFormula>AVERAGEIF(Table1[Mon_Yr],TimelineData!$A3,Table1[BlueMin])</calculatedColumnFormula>
    </tableColumn>
    <tableColumn id="4" xr3:uid="{6D266763-0195-734D-92A4-C646B828EBFA}" name="Green Avg Min" dataDxfId="29">
      <calculatedColumnFormula>AVERAGEIF(Table1[Mon_Yr],TimelineData!$A3,Table1[GreenMin])</calculatedColumnFormula>
    </tableColumn>
    <tableColumn id="5" xr3:uid="{872CB1AF-7B83-4F4F-9679-A19E88E3AFFF}" name="Orange Avg Min" dataDxfId="28">
      <calculatedColumnFormula>AVERAGEIF(Table1[Mon_Yr],TimelineData!$A3,Table1[OrangeMin])</calculatedColumnFormula>
    </tableColumn>
    <tableColumn id="6" xr3:uid="{3DB13765-2C26-FE42-93D3-BA1244B7E11B}" name="Red Avg Min" dataDxfId="27">
      <calculatedColumnFormula>AVERAGEIF(Table1[Mon_Yr],TimelineData!$A3,Table1[RedMin])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87F40E-3753-3441-BF63-02DC0ED4FC3D}" name="Table3" displayName="Table3" ref="H2:M15" totalsRowShown="0" headerRowDxfId="26">
  <autoFilter ref="H2:M15" xr:uid="{106EE2F4-368D-314C-926A-4C868B636813}"/>
  <tableColumns count="6">
    <tableColumn id="1" xr3:uid="{4429D664-698F-FA49-B897-D9DE8FE06AB1}" name="Month-Yr" dataDxfId="25"/>
    <tableColumn id="2" xr3:uid="{38849396-4E34-734D-A16E-6536C4A7A756}" name="Gray Avg %" dataDxfId="24" dataCellStyle="Percent">
      <calculatedColumnFormula>AVERAGEIF(Table1[Mon_Yr],TimelineData!$H3,Table1[Gray_Perc])</calculatedColumnFormula>
    </tableColumn>
    <tableColumn id="3" xr3:uid="{00CADC3D-D333-0E45-98BB-78450010BAEC}" name="Blue Avg %" dataDxfId="23" dataCellStyle="Percent">
      <calculatedColumnFormula>AVERAGEIF(Table1[Mon_Yr],TimelineData!$H3,Table1[Blue_Perc])</calculatedColumnFormula>
    </tableColumn>
    <tableColumn id="4" xr3:uid="{893C88A2-16B3-0B49-B6B1-EF0AD629EC4D}" name="Green Avg %" dataDxfId="22" dataCellStyle="Percent">
      <calculatedColumnFormula>AVERAGEIF(Table1[Mon_Yr],TimelineData!$H3,Table1[Green_Perc])</calculatedColumnFormula>
    </tableColumn>
    <tableColumn id="5" xr3:uid="{6A1D27E0-6D0B-774D-AC08-A2F5C6B2CB85}" name="Orange Avg %" dataDxfId="21" dataCellStyle="Percent">
      <calculatedColumnFormula>AVERAGEIF(Table1[Mon_Yr],TimelineData!$H3,Table1[Orange_Perc])</calculatedColumnFormula>
    </tableColumn>
    <tableColumn id="6" xr3:uid="{FEB15895-262E-8949-BEE7-EBFCF5DCB746}" name="Red Avg %" dataDxfId="20" dataCellStyle="Percent">
      <calculatedColumnFormula>AVERAGEIF(Table1[Mon_Yr],TimelineData!$H3,Table1[Red_Perc])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4936259-F2BB-9945-B932-6E884AE03294}" name="Table4" displayName="Table4" ref="P1:R33" totalsRowShown="0">
  <autoFilter ref="P1:R33" xr:uid="{94602A32-665E-F64B-922E-C5D3C2104415}"/>
  <tableColumns count="3">
    <tableColumn id="1" xr3:uid="{676053F3-2311-6A4F-957A-E7DB7268D3B6}" name="Num">
      <calculatedColumnFormula>P1+1</calculatedColumnFormula>
    </tableColumn>
    <tableColumn id="2" xr3:uid="{4DDFFF60-09D3-3943-855C-5CFAD5E276E0}" name="Trainer" dataDxfId="19">
      <calculatedColumnFormula array="1">IFERROR(INDEX(Table1[Trainer],MATCH(0,COUNTIF('Tab for Charts'!$Q$1:'Tab for Charts'!Q1,Table1[Trainer]),0)),"")</calculatedColumnFormula>
    </tableColumn>
    <tableColumn id="4" xr3:uid="{B31087C1-539E-6C49-AD2A-A8ED816DA75D}" name="Column1" dataDxfId="18">
      <calculatedColumnFormula>COUNTIF(Table1[Trainer],Table4[[#This Row],[Trainer]])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7CFBFA7-F1B6-FA43-B925-E9C768FF7874}" name="Table8" displayName="Table8" ref="X1:Z11" totalsRowShown="0">
  <autoFilter ref="X1:Z11" xr:uid="{B270EC7C-8BDD-2146-945E-52AAE0A695BE}"/>
  <tableColumns count="3">
    <tableColumn id="1" xr3:uid="{C75EEF0E-CB43-324C-B422-D9CA810806AF}" name="Num"/>
    <tableColumn id="2" xr3:uid="{F106D010-F76F-794C-AEA8-67D2B1BBB591}" name="Location" dataDxfId="17">
      <calculatedColumnFormula array="1">IFERROR(INDEX(Table1[Location],MATCH(0,COUNTIF('Tab for Charts'!$Q$1:'Tab for Charts'!Y1,Table1[Location]),0)),"")</calculatedColumnFormula>
    </tableColumn>
    <tableColumn id="3" xr3:uid="{DAA3414E-F294-3447-B66C-329C4F717FA9}" name="Workouts" dataDxfId="16">
      <calculatedColumnFormula>COUNTIF(Table1[Location],Table8[[#This Row],[Location]])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893661-78F6-6844-BB05-461D68A65487}" name="Table6" displayName="Table6" ref="I1:N16" totalsRowShown="0">
  <autoFilter ref="I1:N16" xr:uid="{8314CED1-0F3A-4F4E-8B8C-13E57A3E2DA3}"/>
  <tableColumns count="6">
    <tableColumn id="1" xr3:uid="{BA714574-1F56-BE42-8E32-9F21AF818019}" name="Month" dataDxfId="15"/>
    <tableColumn id="2" xr3:uid="{973CBF25-ACF6-E041-86C5-EACFF70A6683}" name="Membership Cost " dataDxfId="14" dataCellStyle="Currency"/>
    <tableColumn id="3" xr3:uid="{F2AF21B9-5356-D740-A826-593F33EC37C3}" name="Other Charges" dataDxfId="13" dataCellStyle="Currency"/>
    <tableColumn id="4" xr3:uid="{D28F7BA6-BC0A-3C4F-B0EE-DA490E8380F2}" name="# Classes Attended" dataDxfId="12">
      <calculatedColumnFormula>COUNTIF(Data!$S:$S,'Tab for Charts'!I2)</calculatedColumnFormula>
    </tableColumn>
    <tableColumn id="5" xr3:uid="{9E0B50A5-56D8-924F-B726-9C61F8C450B3}" name="Cost per Class" dataDxfId="11" dataCellStyle="Currency">
      <calculatedColumnFormula>SUM(J2:K2)/L2</calculatedColumnFormula>
    </tableColumn>
    <tableColumn id="6" xr3:uid="{1C6E1E15-09A6-F449-8F90-9084D2FAEEF3}" name="Goal # Classes" dataDxfId="10" dataCellStyle="Currenc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3B118D-F64E-DE4E-8BB0-E04E07BFC211}" name="Table5" displayName="Table5" ref="T2:V13" totalsRowShown="0">
  <autoFilter ref="T2:V13" xr:uid="{3648A0C3-3E3E-F841-8FA7-DC02D15120F0}"/>
  <tableColumns count="3">
    <tableColumn id="1" xr3:uid="{54B5EB17-6054-2441-9C57-B81714BC733D}" name="Num">
      <calculatedColumnFormula>T2+1</calculatedColumnFormula>
    </tableColumn>
    <tableColumn id="2" xr3:uid="{74E9F6D2-2FA2-0242-B4F7-E8D7496B6F69}" name="Trainer" dataDxfId="9">
      <calculatedColumnFormula array="1">IFERROR(INDEX(Table4[Trainer],SMALL(IF(Table4[Column1]&gt;=$V$1,ROW(Table4[Trainer])),ROW(1:1))-1,1),"")</calculatedColumnFormula>
    </tableColumn>
    <tableColumn id="3" xr3:uid="{CBA7426A-F693-CF40-AA69-C6A0CC647A71}" name="Workouts">
      <calculatedColumnFormula>INDEX(Table4[Column1],MATCH(U3,Table4[Trainer],0))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EAA3FE0-CD80-3B4C-9D36-1BBDDED5DFE7}" name="Table7" displayName="Table7" ref="AB2:AD9" totalsRowShown="0">
  <autoFilter ref="AB2:AD9" xr:uid="{A3875848-184E-A047-9399-F25A531DC8D1}"/>
  <tableColumns count="3">
    <tableColumn id="1" xr3:uid="{48CE0FB4-E12E-1149-96E3-A1273536BB7D}" name="Num">
      <calculatedColumnFormula>AB2+1</calculatedColumnFormula>
    </tableColumn>
    <tableColumn id="2" xr3:uid="{7DABBD61-152C-AF4F-AA17-E3311040286A}" name="Location">
      <calculatedColumnFormula array="1">IFERROR(INDEX(Table8[Location],SMALL(IF(Table8[Workouts]&gt;=$AD$1,ROW(Table8[Location])),ROW(1:1))-1,1),"")</calculatedColumnFormula>
    </tableColumn>
    <tableColumn id="3" xr3:uid="{63D9080D-B600-464D-8500-FF3BD2BCEB0A}" name="Workouts">
      <calculatedColumnFormula>INDEX(Table8[Workouts],MATCH(AC3,Table8[Location],0))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9C6C355-EB3C-994D-BB4B-50A3A81C8D9F}" name="Table611" displayName="Table611" ref="B54:G66" totalsRowShown="0">
  <autoFilter ref="B54:G66" xr:uid="{45A834DA-E45A-9F4C-A383-F853F25CC434}"/>
  <tableColumns count="6">
    <tableColumn id="1" xr3:uid="{94EC03AD-10D9-7E4D-863A-0A66FD21A60B}" name="Month" dataDxfId="8"/>
    <tableColumn id="2" xr3:uid="{EBA964F5-5EF6-F44B-A385-4501053A4CC5}" name="Membership Cost " dataDxfId="7" dataCellStyle="Currency"/>
    <tableColumn id="3" xr3:uid="{7E8FDC9C-3C0C-424C-BFE5-987688D10AE8}" name="Other Charges" dataDxfId="6" dataCellStyle="Currency">
      <calculatedColumnFormula>SUMIF(Table1[Mon_Yr],Table611[[#This Row],[Month]],Table1[ExtraExpenses])</calculatedColumnFormula>
    </tableColumn>
    <tableColumn id="4" xr3:uid="{C1A8F1A2-8CBB-7640-ADCD-45463C502A29}" name="Classes Attended" dataDxfId="5">
      <calculatedColumnFormula>IFERROR(AVERAGEIF(Table1[Mon_Yr],Table611[[#This Row],[Month]],Table1[VisitNum_Month]),NA())</calculatedColumnFormula>
    </tableColumn>
    <tableColumn id="5" xr3:uid="{482C7A8D-5F43-044E-86BA-E53905E9529C}" name="Cost per Class" dataDxfId="4" dataCellStyle="Currency">
      <calculatedColumnFormula>IFERROR(AVERAGEIF(Table1[Mon_Yr],Table611[[#This Row],[Month]],Table1[Cost_Per_Class]),NA())</calculatedColumnFormula>
    </tableColumn>
    <tableColumn id="6" xr3:uid="{15AC5043-01BC-CB4B-A10A-6160AC85CE7F}" name="Goal" dataDxfId="3" dataCellStyle="Currency">
      <calculatedColumnFormula>IFERROR(AVERAGEIF(Table1[Mon_Yr],Table611[[#This Row],[Month]],Table1[Goal]),NA())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B2A85AA-4725-8C43-9563-2078992B2D6A}" name="Table11" displayName="Table11" ref="B77:D89" totalsRowShown="0">
  <autoFilter ref="B77:D89" xr:uid="{BFA3B67D-3DC4-CF42-BF4A-E0C1A5E500DB}"/>
  <tableColumns count="3">
    <tableColumn id="1" xr3:uid="{08FC9BFE-7486-7D46-B00C-71180811F3DF}" name="Month-Yr" dataDxfId="2"/>
    <tableColumn id="2" xr3:uid="{3A847E8B-7A51-1F46-8D34-835DCBEA80DB}" name="Average Splat Pts" dataDxfId="1">
      <calculatedColumnFormula>IFERROR(IF(Dashboard!$M$30=2019,AVERAGEIF(Table1[Mon_Yr],$B78,Table1[Splat]),AVERAGEIFS(Table1[Splat],Table1[Year],'Tab for Charts'!$E$80,Table1[Month],'Tab for Charts'!$A78)),NA())</calculatedColumnFormula>
    </tableColumn>
    <tableColumn id="5" xr3:uid="{8114B7DD-9988-6543-8F33-4F69129ECD78}" name="Average Calories Burned" dataDxfId="0">
      <calculatedColumnFormula>IFERROR(IF(Dashboard!$M$30=2019,AVERAGEIF(Table1[Mon_Yr],$B78,Table1[Calories]),AVERAGEIFS(Table1[Calories],Table1[Year],'Tab for Charts'!$E$80,Table1[Month],'Tab for Charts'!$A78)),NA())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F6FC6"/>
      </a:accent1>
      <a:accent2>
        <a:srgbClr val="009DD9"/>
      </a:accent2>
      <a:accent3>
        <a:srgbClr val="0BD0D9"/>
      </a:accent3>
      <a:accent4>
        <a:srgbClr val="10CF9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38618-0549-F540-9E78-6117EEC373A0}">
  <dimension ref="A1:AY144"/>
  <sheetViews>
    <sheetView topLeftCell="L1" workbookViewId="0">
      <pane ySplit="1" topLeftCell="A2" activePane="bottomLeft" state="frozen"/>
      <selection activeCell="B1" sqref="B1"/>
      <selection pane="bottomLeft" activeCell="Q10" sqref="Q10"/>
    </sheetView>
  </sheetViews>
  <sheetFormatPr baseColWidth="10" defaultRowHeight="16"/>
  <cols>
    <col min="1" max="1" width="11.1640625" customWidth="1"/>
    <col min="2" max="2" width="17.5" customWidth="1"/>
    <col min="4" max="4" width="13.1640625" style="8" customWidth="1"/>
    <col min="7" max="10" width="10.83203125" customWidth="1"/>
    <col min="11" max="11" width="11.6640625" customWidth="1"/>
    <col min="12" max="12" width="12.6640625" customWidth="1"/>
    <col min="13" max="13" width="12.1640625" customWidth="1"/>
    <col min="14" max="14" width="15.83203125" customWidth="1"/>
    <col min="15" max="16" width="10.83203125" customWidth="1"/>
    <col min="17" max="17" width="12" style="34" customWidth="1"/>
    <col min="18" max="18" width="18.6640625" customWidth="1"/>
    <col min="19" max="19" width="10.83203125" customWidth="1"/>
    <col min="20" max="20" width="11.33203125" customWidth="1"/>
    <col min="21" max="21" width="18.33203125" customWidth="1"/>
    <col min="22" max="22" width="17.33203125" customWidth="1"/>
    <col min="23" max="25" width="10.83203125" customWidth="1"/>
    <col min="26" max="26" width="12" customWidth="1"/>
    <col min="27" max="27" width="11.6640625" customWidth="1"/>
    <col min="28" max="28" width="13" customWidth="1"/>
    <col min="29" max="29" width="14" customWidth="1"/>
    <col min="30" max="30" width="11.1640625" customWidth="1"/>
    <col min="31" max="31" width="15.83203125" style="7" customWidth="1"/>
    <col min="32" max="32" width="16.83203125" style="7" customWidth="1"/>
    <col min="33" max="33" width="16.33203125" customWidth="1"/>
    <col min="34" max="34" width="16.6640625" customWidth="1"/>
    <col min="35" max="35" width="10.83203125" customWidth="1"/>
    <col min="36" max="36" width="16.5" style="7" customWidth="1"/>
    <col min="37" max="37" width="10.83203125" customWidth="1"/>
    <col min="38" max="38" width="11" customWidth="1"/>
    <col min="39" max="40" width="10.83203125" customWidth="1"/>
  </cols>
  <sheetData>
    <row r="1" spans="1:51">
      <c r="A1" s="2" t="s">
        <v>11</v>
      </c>
      <c r="B1" s="2" t="s">
        <v>68</v>
      </c>
      <c r="C1" s="2" t="s">
        <v>0</v>
      </c>
      <c r="D1" s="9" t="s">
        <v>26</v>
      </c>
      <c r="E1" s="2" t="s">
        <v>2</v>
      </c>
      <c r="F1" s="2" t="s">
        <v>3</v>
      </c>
      <c r="G1" s="2" t="s">
        <v>27</v>
      </c>
      <c r="H1" s="2" t="s">
        <v>28</v>
      </c>
      <c r="I1" s="2" t="s">
        <v>29</v>
      </c>
      <c r="J1" s="2" t="s">
        <v>30</v>
      </c>
      <c r="K1" s="2" t="s">
        <v>31</v>
      </c>
      <c r="L1" s="2" t="s">
        <v>32</v>
      </c>
      <c r="M1" s="2" t="s">
        <v>33</v>
      </c>
      <c r="N1" s="2" t="s">
        <v>4</v>
      </c>
      <c r="O1" s="2" t="s">
        <v>1</v>
      </c>
      <c r="P1" s="2" t="s">
        <v>5</v>
      </c>
      <c r="Q1" s="39" t="s">
        <v>34</v>
      </c>
      <c r="R1" s="2" t="s">
        <v>44</v>
      </c>
      <c r="S1" s="2" t="s">
        <v>71</v>
      </c>
      <c r="T1" s="2" t="s">
        <v>52</v>
      </c>
      <c r="U1" s="2" t="s">
        <v>53</v>
      </c>
      <c r="V1" s="9" t="s">
        <v>167</v>
      </c>
      <c r="W1" s="2" t="s">
        <v>41</v>
      </c>
      <c r="X1" s="2" t="s">
        <v>42</v>
      </c>
      <c r="Y1" s="2" t="s">
        <v>43</v>
      </c>
      <c r="Z1" s="2" t="s">
        <v>62</v>
      </c>
      <c r="AA1" s="2" t="s">
        <v>63</v>
      </c>
      <c r="AB1" s="2" t="s">
        <v>64</v>
      </c>
      <c r="AC1" s="2" t="s">
        <v>65</v>
      </c>
      <c r="AD1" s="2" t="s">
        <v>66</v>
      </c>
      <c r="AE1" s="6" t="s">
        <v>67</v>
      </c>
      <c r="AF1" s="6" t="s">
        <v>109</v>
      </c>
      <c r="AG1" s="2" t="s">
        <v>69</v>
      </c>
      <c r="AH1" s="2" t="s">
        <v>70</v>
      </c>
      <c r="AI1" s="2" t="s">
        <v>102</v>
      </c>
      <c r="AJ1" s="6" t="s">
        <v>104</v>
      </c>
      <c r="AK1" s="2" t="s">
        <v>101</v>
      </c>
      <c r="AL1" s="2" t="s">
        <v>107</v>
      </c>
      <c r="AM1" s="2" t="s">
        <v>114</v>
      </c>
      <c r="AN1" s="2" t="s">
        <v>126</v>
      </c>
      <c r="AO1" s="2" t="s">
        <v>96</v>
      </c>
      <c r="AP1" s="2" t="s">
        <v>191</v>
      </c>
      <c r="AQ1" s="2" t="s">
        <v>192</v>
      </c>
      <c r="AR1" s="2" t="s">
        <v>194</v>
      </c>
      <c r="AS1" s="2" t="s">
        <v>195</v>
      </c>
      <c r="AT1" s="2" t="s">
        <v>204</v>
      </c>
      <c r="AU1" s="2" t="s">
        <v>206</v>
      </c>
      <c r="AV1" s="2" t="s">
        <v>213</v>
      </c>
      <c r="AW1" s="2" t="s">
        <v>214</v>
      </c>
      <c r="AX1" s="2" t="s">
        <v>215</v>
      </c>
      <c r="AY1" s="2" t="s">
        <v>216</v>
      </c>
    </row>
    <row r="2" spans="1:51">
      <c r="A2">
        <v>1</v>
      </c>
      <c r="B2">
        <f t="shared" ref="B2:B33" si="0">COUNTIF(S:S,S2)</f>
        <v>3</v>
      </c>
      <c r="C2" s="1">
        <v>43538</v>
      </c>
      <c r="D2" s="8">
        <f>SUM(I2:M2)</f>
        <v>55</v>
      </c>
      <c r="E2">
        <f>1.0000000002</f>
        <v>1.0000000002</v>
      </c>
      <c r="F2">
        <v>565.00000000019998</v>
      </c>
      <c r="G2">
        <v>122</v>
      </c>
      <c r="H2">
        <v>165</v>
      </c>
      <c r="I2">
        <v>18</v>
      </c>
      <c r="J2">
        <v>20</v>
      </c>
      <c r="K2">
        <v>16</v>
      </c>
      <c r="L2">
        <v>1</v>
      </c>
      <c r="M2">
        <v>0</v>
      </c>
      <c r="N2" t="s">
        <v>6</v>
      </c>
      <c r="O2" t="s">
        <v>7</v>
      </c>
      <c r="P2" t="s">
        <v>8</v>
      </c>
      <c r="R2" t="str">
        <f t="shared" ref="R2:R33" si="1">IF(ROUND(E2,1)-ROUND(L2+M2,0)=0,"Correct",IF(ROUND(E2,1)-ROUND(L2+M2,0)=1,"Gain","Loss"))</f>
        <v>Correct</v>
      </c>
      <c r="S2" t="str">
        <f t="shared" ref="S2:S33" si="2">MONTH(C2)&amp;"-"&amp;YEAR(C2)</f>
        <v>3-2019</v>
      </c>
      <c r="T2" t="str">
        <f t="shared" ref="T2:T33" si="3">IF(WEEKDAY(C2)=1,"Sunday",IF(WEEKDAY(C2)=2,"Monday",IF(WEEKDAY(C2)=3,"Tuesday",IF(WEEKDAY(C2)=4,"Wednesday",IF(WEEKDAY(C2)=5,"Thursday",IF(WEEKDAY(C2)=6,"Friday","Saturday"))))))</f>
        <v>Thursday</v>
      </c>
      <c r="U2">
        <f>IF(E2&gt;=12,1,0)</f>
        <v>0</v>
      </c>
      <c r="V2" s="8">
        <f>IFERROR(Table1[[#This Row],[ClassLength]]/Table1[[#This Row],[Splat]],0)</f>
        <v>54.999999989000003</v>
      </c>
      <c r="W2">
        <f t="shared" ref="W2:W33" si="4">IF(ROUND($E2,1)-ROUND($L2+$M2,0)=0,1,0)</f>
        <v>1</v>
      </c>
      <c r="X2">
        <f t="shared" ref="X2:X33" si="5">IF(ROUND($E2,1)-ROUND($L2+$M2,0)=1,1,0)</f>
        <v>0</v>
      </c>
      <c r="Y2">
        <f t="shared" ref="Y2:Y33" si="6">IF(ROUND($E2,1)-ROUND($L2+$M2,0)=-1,1,0)</f>
        <v>0</v>
      </c>
      <c r="Z2" s="5">
        <f>IFERROR(I2/$D2,"")</f>
        <v>0.32727272727272727</v>
      </c>
      <c r="AA2" s="5">
        <f>IFERROR(J2/$D2,"")</f>
        <v>0.36363636363636365</v>
      </c>
      <c r="AB2" s="5">
        <f>IFERROR(K2/$D2,"")</f>
        <v>0.29090909090909089</v>
      </c>
      <c r="AC2" s="5">
        <f>IFERROR(L2/$D2,"")</f>
        <v>1.8181818181818181E-2</v>
      </c>
      <c r="AD2" s="5">
        <f>IFERROR(M2/$D2,"")</f>
        <v>0</v>
      </c>
      <c r="AE2" s="7">
        <v>133.49</v>
      </c>
      <c r="AF2" s="7">
        <f>AE2/3</f>
        <v>44.49666666666667</v>
      </c>
      <c r="AG2" s="8">
        <f t="shared" ref="AG2:AG33" si="7">AVERAGEIF(S:S,S2,F:F)</f>
        <v>596.33333333363328</v>
      </c>
      <c r="AH2" s="8">
        <f t="shared" ref="AH2:AH33" si="8">AVERAGEIF(S:S,S2,E:E)</f>
        <v>1.3333333336333333</v>
      </c>
      <c r="AI2">
        <f>YEAR(Table1[[#This Row],[Date]])</f>
        <v>2019</v>
      </c>
      <c r="AK2">
        <v>3</v>
      </c>
      <c r="AL2" s="8">
        <f>Table1[[#This Row],[Calories]]/Table1[[#This Row],[ClassLength]]</f>
        <v>10.272727272730908</v>
      </c>
      <c r="AM2" t="str">
        <f>RIGHT(Table1[[#This Row],[Time]],2)</f>
        <v>PM</v>
      </c>
      <c r="AN2" t="str">
        <f>Table1[[#This Row],[Mon_Yr]]&amp;"-"&amp;WEEKNUM(Table1[[#This Row],[Date]],1)-WEEKNUM(DATE(YEAR(Table1[[#This Row],[Date]]),MONTH(Table1[[#This Row],[Date]]),1),1)+1</f>
        <v>3-2019-3</v>
      </c>
      <c r="AO2">
        <f>MONTH(Table1[[#This Row],[Date]])</f>
        <v>3</v>
      </c>
      <c r="AP2" s="8">
        <f>IFERROR(Table1[[#This Row],[Calories]]/Table1[[#This Row],[Splat]],0)</f>
        <v>564.99999988719992</v>
      </c>
      <c r="AQ2" s="10">
        <f>COUNTIF(Table1[Location],Table1[[#This Row],[Location]])</f>
        <v>35</v>
      </c>
      <c r="AR2" s="10">
        <f>IF(AND(Table1[[#This Row],[Calories]]&gt;=600,Table1[[#This Row],[Splat]]&gt;=12),1,0)</f>
        <v>0</v>
      </c>
      <c r="AS2" s="10">
        <f>IF(AND(Table1[[#This Row],[Calories]]&gt;=500,Table1[[#This Row],[Splat]]&gt;=12),1,0)</f>
        <v>0</v>
      </c>
      <c r="AT2" s="8">
        <f>Table1[[#This Row],[ClassLength]]/Table1[[#This Row],[Calories]]</f>
        <v>9.7345132743328372E-2</v>
      </c>
      <c r="AU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2" s="10">
        <f>COUNTIF(Table1[Trainer],Table1[[#This Row],[Trainer]])</f>
        <v>13</v>
      </c>
      <c r="AW2" s="10" t="str">
        <f>UPPER(LEFT(TEXT(Table1[Date],"mmmm"),3))&amp;" "&amp;TEXT(Table1[Date],"yyyy")</f>
        <v>MAR 2019</v>
      </c>
      <c r="AX2" s="10">
        <f>VLOOKUP(Table1[[#This Row],[Location]],'Tab for Charts'!$A$93:$B$103,2,FALSE)</f>
        <v>38.881884999999997</v>
      </c>
      <c r="AY2" s="10">
        <f>VLOOKUP(Table1[[#This Row],[Location]],'Tab for Charts'!$A$93:$C$103,3,FALSE)</f>
        <v>-77.229702000000003</v>
      </c>
    </row>
    <row r="3" spans="1:51">
      <c r="A3">
        <f>A2+1</f>
        <v>2</v>
      </c>
      <c r="B3">
        <f t="shared" si="0"/>
        <v>3</v>
      </c>
      <c r="C3" s="1">
        <v>43545</v>
      </c>
      <c r="D3" s="8">
        <f>SUM(I3:M3)</f>
        <v>58</v>
      </c>
      <c r="E3">
        <f>1.0000000003</f>
        <v>1.0000000003</v>
      </c>
      <c r="F3">
        <v>586.00000000030002</v>
      </c>
      <c r="G3">
        <v>121</v>
      </c>
      <c r="H3">
        <v>167</v>
      </c>
      <c r="I3">
        <v>16</v>
      </c>
      <c r="J3">
        <v>17</v>
      </c>
      <c r="K3">
        <v>24</v>
      </c>
      <c r="L3">
        <v>1</v>
      </c>
      <c r="M3">
        <v>0</v>
      </c>
      <c r="N3" t="s">
        <v>6</v>
      </c>
      <c r="O3" t="s">
        <v>7</v>
      </c>
      <c r="P3" t="s">
        <v>8</v>
      </c>
      <c r="Q3" s="34">
        <f t="shared" ref="Q3:Q34" si="9">C3-C2</f>
        <v>7</v>
      </c>
      <c r="R3" t="str">
        <f t="shared" si="1"/>
        <v>Correct</v>
      </c>
      <c r="S3" t="str">
        <f t="shared" si="2"/>
        <v>3-2019</v>
      </c>
      <c r="T3" t="str">
        <f t="shared" si="3"/>
        <v>Thursday</v>
      </c>
      <c r="U3">
        <f t="shared" ref="U3:U66" si="10">IF(E3&gt;=12,1,0)</f>
        <v>0</v>
      </c>
      <c r="V3" s="8">
        <f>IFERROR(Table1[[#This Row],[ClassLength]]/Table1[[#This Row],[Splat]],0)</f>
        <v>57.999999982600002</v>
      </c>
      <c r="W3">
        <f t="shared" si="4"/>
        <v>1</v>
      </c>
      <c r="X3">
        <f t="shared" si="5"/>
        <v>0</v>
      </c>
      <c r="Y3">
        <f t="shared" si="6"/>
        <v>0</v>
      </c>
      <c r="Z3" s="5">
        <f t="shared" ref="Z3:Z63" si="11">IFERROR(I3/$D3,"")</f>
        <v>0.27586206896551724</v>
      </c>
      <c r="AA3" s="5">
        <f t="shared" ref="AA3:AA63" si="12">IFERROR(J3/$D3,"")</f>
        <v>0.29310344827586204</v>
      </c>
      <c r="AB3" s="5">
        <f t="shared" ref="AB3:AB62" si="13">IFERROR(K3/$D3,"")</f>
        <v>0.41379310344827586</v>
      </c>
      <c r="AC3" s="5">
        <f t="shared" ref="AC3:AC62" si="14">IFERROR(L3/$D3,"")</f>
        <v>1.7241379310344827E-2</v>
      </c>
      <c r="AD3" s="5">
        <f t="shared" ref="AD3:AD62" si="15">IFERROR(M3/$D3,"")</f>
        <v>0</v>
      </c>
      <c r="AE3" s="7">
        <v>133.49</v>
      </c>
      <c r="AF3" s="7">
        <f t="shared" ref="AF3:AF4" si="16">AE3/3</f>
        <v>44.49666666666667</v>
      </c>
      <c r="AG3" s="8">
        <f t="shared" si="7"/>
        <v>596.33333333363328</v>
      </c>
      <c r="AH3" s="8">
        <f t="shared" si="8"/>
        <v>1.3333333336333333</v>
      </c>
      <c r="AI3">
        <f>YEAR(Table1[[#This Row],[Date]])</f>
        <v>2019</v>
      </c>
      <c r="AK3">
        <v>3</v>
      </c>
      <c r="AL3" s="8">
        <f>Table1[[#This Row],[Calories]]/Table1[[#This Row],[ClassLength]]</f>
        <v>10.103448275867242</v>
      </c>
      <c r="AM3" t="str">
        <f>RIGHT(Table1[[#This Row],[Time]],2)</f>
        <v>PM</v>
      </c>
      <c r="AN3" t="str">
        <f>Table1[[#This Row],[Mon_Yr]]&amp;"-"&amp;WEEKNUM(Table1[[#This Row],[Date]],1)-WEEKNUM(DATE(YEAR(Table1[[#This Row],[Date]]),MONTH(Table1[[#This Row],[Date]]),1),1)+1</f>
        <v>3-2019-4</v>
      </c>
      <c r="AO3">
        <f>MONTH(Table1[[#This Row],[Date]])</f>
        <v>3</v>
      </c>
      <c r="AP3" s="8">
        <f>IFERROR(Table1[[#This Row],[Calories]]/Table1[[#This Row],[Splat]],0)</f>
        <v>585.99999982450004</v>
      </c>
      <c r="AQ3" s="10">
        <f>COUNTIF(Table1[Location],Table1[[#This Row],[Location]])</f>
        <v>35</v>
      </c>
      <c r="AR3" s="10">
        <f>IF(AND(Table1[[#This Row],[Calories]]&gt;=600,Table1[[#This Row],[Splat]]&gt;=12),1,0)</f>
        <v>0</v>
      </c>
      <c r="AS3" s="10">
        <f>IF(AND(Table1[[#This Row],[Calories]]&gt;=500,Table1[[#This Row],[Splat]]&gt;=12),1,0)</f>
        <v>0</v>
      </c>
      <c r="AT3" s="8">
        <f>Table1[[#This Row],[ClassLength]]/Table1[[#This Row],[Calories]]</f>
        <v>9.8976109214966385E-2</v>
      </c>
      <c r="AU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3" s="10">
        <f>COUNTIF(Table1[Trainer],Table1[[#This Row],[Trainer]])</f>
        <v>13</v>
      </c>
      <c r="AW3" s="10" t="str">
        <f>UPPER(LEFT(TEXT(Table1[Date],"mmmm"),3))&amp;" "&amp;TEXT(Table1[Date],"yyyy")</f>
        <v>MAR 2019</v>
      </c>
      <c r="AX3" s="10">
        <f>VLOOKUP(Table1[[#This Row],[Location]],'Tab for Charts'!$A$93:$B$103,2,FALSE)</f>
        <v>38.881884999999997</v>
      </c>
      <c r="AY3" s="10">
        <f>VLOOKUP(Table1[[#This Row],[Location]],'Tab for Charts'!$A$93:$C$103,3,FALSE)</f>
        <v>-77.229702000000003</v>
      </c>
    </row>
    <row r="4" spans="1:51">
      <c r="A4">
        <f t="shared" ref="A4:A67" si="17">A3+1</f>
        <v>3</v>
      </c>
      <c r="B4">
        <f t="shared" si="0"/>
        <v>3</v>
      </c>
      <c r="C4" s="1">
        <v>43552</v>
      </c>
      <c r="D4" s="8">
        <f>SUM(I4:M4)</f>
        <v>57</v>
      </c>
      <c r="E4">
        <f>2.0000000004</f>
        <v>2.0000000004</v>
      </c>
      <c r="F4">
        <v>638.00000000039995</v>
      </c>
      <c r="G4">
        <v>128</v>
      </c>
      <c r="H4">
        <v>169</v>
      </c>
      <c r="I4">
        <v>13</v>
      </c>
      <c r="J4">
        <v>17</v>
      </c>
      <c r="K4">
        <v>25</v>
      </c>
      <c r="L4">
        <v>2</v>
      </c>
      <c r="M4">
        <v>0</v>
      </c>
      <c r="N4" t="s">
        <v>6</v>
      </c>
      <c r="O4" t="s">
        <v>7</v>
      </c>
      <c r="P4" t="s">
        <v>9</v>
      </c>
      <c r="Q4" s="34">
        <f t="shared" si="9"/>
        <v>7</v>
      </c>
      <c r="R4" t="str">
        <f t="shared" si="1"/>
        <v>Correct</v>
      </c>
      <c r="S4" t="str">
        <f t="shared" si="2"/>
        <v>3-2019</v>
      </c>
      <c r="T4" t="str">
        <f t="shared" si="3"/>
        <v>Thursday</v>
      </c>
      <c r="U4">
        <f t="shared" si="10"/>
        <v>0</v>
      </c>
      <c r="V4" s="8">
        <f>IFERROR(Table1[[#This Row],[ClassLength]]/Table1[[#This Row],[Splat]],0)</f>
        <v>28.499999994300001</v>
      </c>
      <c r="W4">
        <f t="shared" si="4"/>
        <v>1</v>
      </c>
      <c r="X4">
        <f t="shared" si="5"/>
        <v>0</v>
      </c>
      <c r="Y4">
        <f t="shared" si="6"/>
        <v>0</v>
      </c>
      <c r="Z4" s="5">
        <f t="shared" si="11"/>
        <v>0.22807017543859648</v>
      </c>
      <c r="AA4" s="5">
        <f t="shared" si="12"/>
        <v>0.2982456140350877</v>
      </c>
      <c r="AB4" s="5">
        <f t="shared" si="13"/>
        <v>0.43859649122807015</v>
      </c>
      <c r="AC4" s="5">
        <f t="shared" si="14"/>
        <v>3.5087719298245612E-2</v>
      </c>
      <c r="AD4" s="5">
        <f t="shared" si="15"/>
        <v>0</v>
      </c>
      <c r="AE4" s="7">
        <v>133.49</v>
      </c>
      <c r="AF4" s="7">
        <f t="shared" si="16"/>
        <v>44.49666666666667</v>
      </c>
      <c r="AG4" s="8">
        <f t="shared" si="7"/>
        <v>596.33333333363328</v>
      </c>
      <c r="AH4" s="8">
        <f t="shared" si="8"/>
        <v>1.3333333336333333</v>
      </c>
      <c r="AI4">
        <f>YEAR(Table1[[#This Row],[Date]])</f>
        <v>2019</v>
      </c>
      <c r="AJ4" s="7">
        <v>83.74</v>
      </c>
      <c r="AK4">
        <v>3</v>
      </c>
      <c r="AL4" s="8">
        <f>Table1[[#This Row],[Calories]]/Table1[[#This Row],[ClassLength]]</f>
        <v>11.192982456147368</v>
      </c>
      <c r="AM4" t="str">
        <f>RIGHT(Table1[[#This Row],[Time]],2)</f>
        <v>PM</v>
      </c>
      <c r="AN4" t="str">
        <f>Table1[[#This Row],[Mon_Yr]]&amp;"-"&amp;WEEKNUM(Table1[[#This Row],[Date]],1)-WEEKNUM(DATE(YEAR(Table1[[#This Row],[Date]]),MONTH(Table1[[#This Row],[Date]]),1),1)+1</f>
        <v>3-2019-5</v>
      </c>
      <c r="AO4">
        <f>MONTH(Table1[[#This Row],[Date]])</f>
        <v>3</v>
      </c>
      <c r="AP4" s="8">
        <f>IFERROR(Table1[[#This Row],[Calories]]/Table1[[#This Row],[Splat]],0)</f>
        <v>318.99999993639994</v>
      </c>
      <c r="AQ4" s="10">
        <f>COUNTIF(Table1[Location],Table1[[#This Row],[Location]])</f>
        <v>35</v>
      </c>
      <c r="AR4" s="10">
        <f>IF(AND(Table1[[#This Row],[Calories]]&gt;=600,Table1[[#This Row],[Splat]]&gt;=12),1,0)</f>
        <v>0</v>
      </c>
      <c r="AS4" s="10">
        <f>IF(AND(Table1[[#This Row],[Calories]]&gt;=500,Table1[[#This Row],[Splat]]&gt;=12),1,0)</f>
        <v>0</v>
      </c>
      <c r="AT4" s="8">
        <f>Table1[[#This Row],[ClassLength]]/Table1[[#This Row],[Calories]]</f>
        <v>8.934169278991265E-2</v>
      </c>
      <c r="AU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4" s="10">
        <f>COUNTIF(Table1[Trainer],Table1[[#This Row],[Trainer]])</f>
        <v>10</v>
      </c>
      <c r="AW4" s="10" t="str">
        <f>UPPER(LEFT(TEXT(Table1[Date],"mmmm"),3))&amp;" "&amp;TEXT(Table1[Date],"yyyy")</f>
        <v>MAR 2019</v>
      </c>
      <c r="AX4" s="10">
        <f>VLOOKUP(Table1[[#This Row],[Location]],'Tab for Charts'!$A$93:$B$103,2,FALSE)</f>
        <v>38.881884999999997</v>
      </c>
      <c r="AY4" s="10">
        <f>VLOOKUP(Table1[[#This Row],[Location]],'Tab for Charts'!$A$93:$C$103,3,FALSE)</f>
        <v>-77.229702000000003</v>
      </c>
    </row>
    <row r="5" spans="1:51">
      <c r="A5">
        <f t="shared" si="17"/>
        <v>4</v>
      </c>
      <c r="B5">
        <f t="shared" si="0"/>
        <v>3</v>
      </c>
      <c r="C5" s="1">
        <v>43559</v>
      </c>
      <c r="D5" s="8">
        <v>57</v>
      </c>
      <c r="E5">
        <f>8.0000000005</f>
        <v>8.0000000005</v>
      </c>
      <c r="F5">
        <v>601.00000000049999</v>
      </c>
      <c r="G5">
        <v>124</v>
      </c>
      <c r="H5">
        <v>169</v>
      </c>
      <c r="I5">
        <f>25+(54/60)</f>
        <v>25.9</v>
      </c>
      <c r="J5">
        <f>5+(16/60)</f>
        <v>5.2666666666666666</v>
      </c>
      <c r="K5">
        <f>17+(32/60)</f>
        <v>17.533333333333335</v>
      </c>
      <c r="L5">
        <f>8+(18/60)</f>
        <v>8.3000000000000007</v>
      </c>
      <c r="M5">
        <v>0</v>
      </c>
      <c r="N5" t="s">
        <v>6</v>
      </c>
      <c r="O5" t="s">
        <v>7</v>
      </c>
      <c r="P5" t="s">
        <v>8</v>
      </c>
      <c r="Q5" s="34">
        <f t="shared" si="9"/>
        <v>7</v>
      </c>
      <c r="R5" t="str">
        <f t="shared" si="1"/>
        <v>Correct</v>
      </c>
      <c r="S5" t="str">
        <f t="shared" si="2"/>
        <v>4-2019</v>
      </c>
      <c r="T5" t="str">
        <f t="shared" si="3"/>
        <v>Thursday</v>
      </c>
      <c r="U5">
        <f t="shared" si="10"/>
        <v>0</v>
      </c>
      <c r="V5" s="8">
        <f>IFERROR(Table1[[#This Row],[ClassLength]]/Table1[[#This Row],[Splat]],0)</f>
        <v>7.1249999995546878</v>
      </c>
      <c r="W5">
        <f t="shared" si="4"/>
        <v>1</v>
      </c>
      <c r="X5">
        <f t="shared" si="5"/>
        <v>0</v>
      </c>
      <c r="Y5">
        <f t="shared" si="6"/>
        <v>0</v>
      </c>
      <c r="Z5" s="5">
        <f t="shared" si="11"/>
        <v>0.45438596491228067</v>
      </c>
      <c r="AA5" s="5">
        <f t="shared" si="12"/>
        <v>9.2397660818713451E-2</v>
      </c>
      <c r="AB5" s="5">
        <f t="shared" si="13"/>
        <v>0.3076023391812866</v>
      </c>
      <c r="AC5" s="5">
        <f t="shared" si="14"/>
        <v>0.14561403508771931</v>
      </c>
      <c r="AD5" s="5">
        <f t="shared" si="15"/>
        <v>0</v>
      </c>
      <c r="AE5" s="7">
        <v>49.75</v>
      </c>
      <c r="AF5" s="7">
        <f>AE5/3</f>
        <v>16.583333333333332</v>
      </c>
      <c r="AG5" s="8">
        <f t="shared" si="7"/>
        <v>563.66666666726667</v>
      </c>
      <c r="AH5" s="8">
        <f t="shared" si="8"/>
        <v>8.3333333339333322</v>
      </c>
      <c r="AI5">
        <f>YEAR(Table1[[#This Row],[Date]])</f>
        <v>2019</v>
      </c>
      <c r="AK5">
        <v>3</v>
      </c>
      <c r="AL5" s="8">
        <f>Table1[[#This Row],[Calories]]/Table1[[#This Row],[ClassLength]]</f>
        <v>10.543859649131578</v>
      </c>
      <c r="AM5" t="str">
        <f>RIGHT(Table1[[#This Row],[Time]],2)</f>
        <v>PM</v>
      </c>
      <c r="AN5" t="str">
        <f>Table1[[#This Row],[Mon_Yr]]&amp;"-"&amp;WEEKNUM(Table1[[#This Row],[Date]],1)-WEEKNUM(DATE(YEAR(Table1[[#This Row],[Date]]),MONTH(Table1[[#This Row],[Date]]),1),1)+1</f>
        <v>4-2019-1</v>
      </c>
      <c r="AO5">
        <f>MONTH(Table1[[#This Row],[Date]])</f>
        <v>4</v>
      </c>
      <c r="AP5" s="8">
        <f>IFERROR(Table1[[#This Row],[Calories]]/Table1[[#This Row],[Splat]],0)</f>
        <v>75.12499999536719</v>
      </c>
      <c r="AQ5" s="10">
        <f>COUNTIF(Table1[Location],Table1[[#This Row],[Location]])</f>
        <v>35</v>
      </c>
      <c r="AR5" s="10">
        <f>IF(AND(Table1[[#This Row],[Calories]]&gt;=600,Table1[[#This Row],[Splat]]&gt;=12),1,0)</f>
        <v>0</v>
      </c>
      <c r="AS5" s="10">
        <f>IF(AND(Table1[[#This Row],[Calories]]&gt;=500,Table1[[#This Row],[Splat]]&gt;=12),1,0)</f>
        <v>0</v>
      </c>
      <c r="AT5" s="8">
        <f>Table1[[#This Row],[ClassLength]]/Table1[[#This Row],[Calories]]</f>
        <v>9.484193011639365E-2</v>
      </c>
      <c r="AU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5" s="10">
        <f>COUNTIF(Table1[Trainer],Table1[[#This Row],[Trainer]])</f>
        <v>13</v>
      </c>
      <c r="AW5" s="10" t="str">
        <f>UPPER(LEFT(TEXT(Table1[Date],"mmmm"),3))&amp;" "&amp;TEXT(Table1[Date],"yyyy")</f>
        <v>APR 2019</v>
      </c>
      <c r="AX5" s="10">
        <f>VLOOKUP(Table1[[#This Row],[Location]],'Tab for Charts'!$A$93:$B$103,2,FALSE)</f>
        <v>38.881884999999997</v>
      </c>
      <c r="AY5" s="10">
        <f>VLOOKUP(Table1[[#This Row],[Location]],'Tab for Charts'!$A$93:$C$103,3,FALSE)</f>
        <v>-77.229702000000003</v>
      </c>
    </row>
    <row r="6" spans="1:51">
      <c r="A6">
        <f t="shared" si="17"/>
        <v>5</v>
      </c>
      <c r="B6">
        <f t="shared" si="0"/>
        <v>3</v>
      </c>
      <c r="C6" s="1">
        <v>43564</v>
      </c>
      <c r="D6" s="8">
        <f>57+(2/60)</f>
        <v>57.033333333333331</v>
      </c>
      <c r="E6">
        <v>9.0000000006</v>
      </c>
      <c r="F6">
        <v>542.00000000060004</v>
      </c>
      <c r="G6">
        <v>117</v>
      </c>
      <c r="H6">
        <v>177</v>
      </c>
      <c r="I6">
        <f>26+(39/60)</f>
        <v>26.65</v>
      </c>
      <c r="J6">
        <f>13+(55/60)</f>
        <v>13.916666666666666</v>
      </c>
      <c r="K6">
        <f>7+(25/60)</f>
        <v>7.416666666666667</v>
      </c>
      <c r="L6">
        <f>7+(16/60)</f>
        <v>7.2666666666666666</v>
      </c>
      <c r="M6">
        <f>1+(47/60)</f>
        <v>1.7833333333333332</v>
      </c>
      <c r="N6" t="s">
        <v>6</v>
      </c>
      <c r="O6" t="s">
        <v>7</v>
      </c>
      <c r="P6" t="s">
        <v>10</v>
      </c>
      <c r="Q6" s="34">
        <f t="shared" si="9"/>
        <v>5</v>
      </c>
      <c r="R6" t="str">
        <f t="shared" si="1"/>
        <v>Correct</v>
      </c>
      <c r="S6" t="str">
        <f t="shared" si="2"/>
        <v>4-2019</v>
      </c>
      <c r="T6" t="str">
        <f t="shared" si="3"/>
        <v>Tuesday</v>
      </c>
      <c r="U6">
        <f t="shared" si="10"/>
        <v>0</v>
      </c>
      <c r="V6" s="8">
        <f>IFERROR(Table1[[#This Row],[ClassLength]]/Table1[[#This Row],[Splat]],0)</f>
        <v>6.3370370366145679</v>
      </c>
      <c r="W6">
        <f t="shared" si="4"/>
        <v>1</v>
      </c>
      <c r="X6">
        <f t="shared" si="5"/>
        <v>0</v>
      </c>
      <c r="Y6">
        <f t="shared" si="6"/>
        <v>0</v>
      </c>
      <c r="Z6" s="5">
        <f t="shared" si="11"/>
        <v>0.46727060198714199</v>
      </c>
      <c r="AA6" s="5">
        <f t="shared" si="12"/>
        <v>0.24400935125657511</v>
      </c>
      <c r="AB6" s="5">
        <f t="shared" si="13"/>
        <v>0.13004091174751609</v>
      </c>
      <c r="AC6" s="5">
        <f t="shared" si="14"/>
        <v>0.12741087083576855</v>
      </c>
      <c r="AD6" s="5">
        <f t="shared" si="15"/>
        <v>3.1268264172998245E-2</v>
      </c>
      <c r="AE6" s="7">
        <v>49.75</v>
      </c>
      <c r="AF6" s="7">
        <f>AE6/3</f>
        <v>16.583333333333332</v>
      </c>
      <c r="AG6" s="8">
        <f t="shared" si="7"/>
        <v>563.66666666726667</v>
      </c>
      <c r="AH6" s="8">
        <f t="shared" si="8"/>
        <v>8.3333333339333322</v>
      </c>
      <c r="AI6">
        <f>YEAR(Table1[[#This Row],[Date]])</f>
        <v>2019</v>
      </c>
      <c r="AK6">
        <v>3</v>
      </c>
      <c r="AL6" s="8">
        <f>Table1[[#This Row],[Calories]]/Table1[[#This Row],[ClassLength]]</f>
        <v>9.5032144944582129</v>
      </c>
      <c r="AM6" t="str">
        <f>RIGHT(Table1[[#This Row],[Time]],2)</f>
        <v>PM</v>
      </c>
      <c r="AN6" t="str">
        <f>Table1[[#This Row],[Mon_Yr]]&amp;"-"&amp;WEEKNUM(Table1[[#This Row],[Date]],1)-WEEKNUM(DATE(YEAR(Table1[[#This Row],[Date]]),MONTH(Table1[[#This Row],[Date]]),1),1)+1</f>
        <v>4-2019-2</v>
      </c>
      <c r="AO6">
        <f>MONTH(Table1[[#This Row],[Date]])</f>
        <v>4</v>
      </c>
      <c r="AP6" s="8">
        <f>IFERROR(Table1[[#This Row],[Calories]]/Table1[[#This Row],[Splat]],0)</f>
        <v>60.222222218274077</v>
      </c>
      <c r="AQ6" s="10">
        <f>COUNTIF(Table1[Location],Table1[[#This Row],[Location]])</f>
        <v>35</v>
      </c>
      <c r="AR6" s="10">
        <f>IF(AND(Table1[[#This Row],[Calories]]&gt;=600,Table1[[#This Row],[Splat]]&gt;=12),1,0)</f>
        <v>0</v>
      </c>
      <c r="AS6" s="10">
        <f>IF(AND(Table1[[#This Row],[Calories]]&gt;=500,Table1[[#This Row],[Splat]]&gt;=12),1,0)</f>
        <v>0</v>
      </c>
      <c r="AT6" s="8">
        <f>Table1[[#This Row],[ClassLength]]/Table1[[#This Row],[Calories]]</f>
        <v>0.10522755227540626</v>
      </c>
      <c r="AU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6" s="10">
        <f>COUNTIF(Table1[Trainer],Table1[[#This Row],[Trainer]])</f>
        <v>2</v>
      </c>
      <c r="AW6" s="10" t="str">
        <f>UPPER(LEFT(TEXT(Table1[Date],"mmmm"),3))&amp;" "&amp;TEXT(Table1[Date],"yyyy")</f>
        <v>APR 2019</v>
      </c>
      <c r="AX6" s="10">
        <f>VLOOKUP(Table1[[#This Row],[Location]],'Tab for Charts'!$A$93:$B$103,2,FALSE)</f>
        <v>38.881884999999997</v>
      </c>
      <c r="AY6" s="10">
        <f>VLOOKUP(Table1[[#This Row],[Location]],'Tab for Charts'!$A$93:$C$103,3,FALSE)</f>
        <v>-77.229702000000003</v>
      </c>
    </row>
    <row r="7" spans="1:51">
      <c r="A7">
        <f t="shared" si="17"/>
        <v>6</v>
      </c>
      <c r="B7">
        <f t="shared" si="0"/>
        <v>3</v>
      </c>
      <c r="C7" s="1">
        <v>43573</v>
      </c>
      <c r="D7" s="8">
        <v>57</v>
      </c>
      <c r="E7">
        <v>8.0000000007000001</v>
      </c>
      <c r="F7">
        <v>548.00000000069997</v>
      </c>
      <c r="G7">
        <v>118</v>
      </c>
      <c r="H7">
        <v>167</v>
      </c>
      <c r="I7">
        <f>29+(4/60)</f>
        <v>29.066666666666666</v>
      </c>
      <c r="J7">
        <f>8+2/60</f>
        <v>8.0333333333333332</v>
      </c>
      <c r="K7">
        <f>12+15/60</f>
        <v>12.25</v>
      </c>
      <c r="L7">
        <f>7+(39/60)</f>
        <v>7.65</v>
      </c>
      <c r="M7">
        <v>0</v>
      </c>
      <c r="N7" t="s">
        <v>6</v>
      </c>
      <c r="O7" t="s">
        <v>7</v>
      </c>
      <c r="P7" t="s">
        <v>8</v>
      </c>
      <c r="Q7" s="34">
        <f t="shared" si="9"/>
        <v>9</v>
      </c>
      <c r="R7" t="str">
        <f t="shared" si="1"/>
        <v>Correct</v>
      </c>
      <c r="S7" t="str">
        <f t="shared" si="2"/>
        <v>4-2019</v>
      </c>
      <c r="T7" t="str">
        <f t="shared" si="3"/>
        <v>Thursday</v>
      </c>
      <c r="U7">
        <f t="shared" si="10"/>
        <v>0</v>
      </c>
      <c r="V7" s="8">
        <f>IFERROR(Table1[[#This Row],[ClassLength]]/Table1[[#This Row],[Splat]],0)</f>
        <v>7.1249999993765627</v>
      </c>
      <c r="W7">
        <f t="shared" si="4"/>
        <v>1</v>
      </c>
      <c r="X7">
        <f t="shared" si="5"/>
        <v>0</v>
      </c>
      <c r="Y7">
        <f t="shared" si="6"/>
        <v>0</v>
      </c>
      <c r="Z7" s="5">
        <f t="shared" si="11"/>
        <v>0.50994152046783625</v>
      </c>
      <c r="AA7" s="5">
        <f t="shared" si="12"/>
        <v>0.14093567251461989</v>
      </c>
      <c r="AB7" s="5">
        <f t="shared" si="13"/>
        <v>0.21491228070175439</v>
      </c>
      <c r="AC7" s="5">
        <f t="shared" si="14"/>
        <v>0.13421052631578947</v>
      </c>
      <c r="AD7" s="5">
        <f t="shared" si="15"/>
        <v>0</v>
      </c>
      <c r="AE7" s="7">
        <v>49.75</v>
      </c>
      <c r="AF7" s="7">
        <f>AE7/3</f>
        <v>16.583333333333332</v>
      </c>
      <c r="AG7" s="8">
        <f t="shared" si="7"/>
        <v>563.66666666726667</v>
      </c>
      <c r="AH7" s="8">
        <f t="shared" si="8"/>
        <v>8.3333333339333322</v>
      </c>
      <c r="AI7">
        <f>YEAR(Table1[[#This Row],[Date]])</f>
        <v>2019</v>
      </c>
      <c r="AK7">
        <v>3</v>
      </c>
      <c r="AL7" s="8">
        <f>Table1[[#This Row],[Calories]]/Table1[[#This Row],[ClassLength]]</f>
        <v>9.6140350877315779</v>
      </c>
      <c r="AM7" t="str">
        <f>RIGHT(Table1[[#This Row],[Time]],2)</f>
        <v>PM</v>
      </c>
      <c r="AN7" t="str">
        <f>Table1[[#This Row],[Mon_Yr]]&amp;"-"&amp;WEEKNUM(Table1[[#This Row],[Date]],1)-WEEKNUM(DATE(YEAR(Table1[[#This Row],[Date]]),MONTH(Table1[[#This Row],[Date]]),1),1)+1</f>
        <v>4-2019-3</v>
      </c>
      <c r="AO7">
        <f>MONTH(Table1[[#This Row],[Date]])</f>
        <v>4</v>
      </c>
      <c r="AP7" s="8">
        <f>IFERROR(Table1[[#This Row],[Calories]]/Table1[[#This Row],[Splat]],0)</f>
        <v>68.499999994093741</v>
      </c>
      <c r="AQ7" s="10">
        <f>COUNTIF(Table1[Location],Table1[[#This Row],[Location]])</f>
        <v>35</v>
      </c>
      <c r="AR7" s="10">
        <f>IF(AND(Table1[[#This Row],[Calories]]&gt;=600,Table1[[#This Row],[Splat]]&gt;=12),1,0)</f>
        <v>0</v>
      </c>
      <c r="AS7" s="10">
        <f>IF(AND(Table1[[#This Row],[Calories]]&gt;=500,Table1[[#This Row],[Splat]]&gt;=12),1,0)</f>
        <v>0</v>
      </c>
      <c r="AT7" s="8">
        <f>Table1[[#This Row],[ClassLength]]/Table1[[#This Row],[Calories]]</f>
        <v>0.10401459854001313</v>
      </c>
      <c r="AU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7" s="10">
        <f>COUNTIF(Table1[Trainer],Table1[[#This Row],[Trainer]])</f>
        <v>13</v>
      </c>
      <c r="AW7" s="10" t="str">
        <f>UPPER(LEFT(TEXT(Table1[Date],"mmmm"),3))&amp;" "&amp;TEXT(Table1[Date],"yyyy")</f>
        <v>APR 2019</v>
      </c>
      <c r="AX7" s="10">
        <f>VLOOKUP(Table1[[#This Row],[Location]],'Tab for Charts'!$A$93:$B$103,2,FALSE)</f>
        <v>38.881884999999997</v>
      </c>
      <c r="AY7" s="10">
        <f>VLOOKUP(Table1[[#This Row],[Location]],'Tab for Charts'!$A$93:$C$103,3,FALSE)</f>
        <v>-77.229702000000003</v>
      </c>
    </row>
    <row r="8" spans="1:51">
      <c r="A8">
        <f t="shared" si="17"/>
        <v>7</v>
      </c>
      <c r="B8">
        <f t="shared" si="0"/>
        <v>4</v>
      </c>
      <c r="C8" s="1">
        <v>43587</v>
      </c>
      <c r="D8" s="8">
        <v>53</v>
      </c>
      <c r="E8">
        <v>8.0000000008000001</v>
      </c>
      <c r="F8">
        <v>534.00000000080001</v>
      </c>
      <c r="G8">
        <v>121</v>
      </c>
      <c r="H8">
        <v>177</v>
      </c>
      <c r="I8">
        <f>24+34/60</f>
        <v>24.566666666666666</v>
      </c>
      <c r="J8">
        <f>12+20/60</f>
        <v>12.333333333333334</v>
      </c>
      <c r="K8">
        <f>7+39/60</f>
        <v>7.65</v>
      </c>
      <c r="L8">
        <f>6+10/60</f>
        <v>6.166666666666667</v>
      </c>
      <c r="M8">
        <f>2+17/60</f>
        <v>2.2833333333333332</v>
      </c>
      <c r="N8" t="s">
        <v>6</v>
      </c>
      <c r="O8" t="s">
        <v>7</v>
      </c>
      <c r="P8" t="s">
        <v>8</v>
      </c>
      <c r="Q8" s="34">
        <f t="shared" si="9"/>
        <v>14</v>
      </c>
      <c r="R8" t="str">
        <f t="shared" si="1"/>
        <v>Correct</v>
      </c>
      <c r="S8" t="str">
        <f t="shared" si="2"/>
        <v>5-2019</v>
      </c>
      <c r="T8" t="str">
        <f t="shared" si="3"/>
        <v>Thursday</v>
      </c>
      <c r="U8">
        <f t="shared" si="10"/>
        <v>0</v>
      </c>
      <c r="V8" s="8">
        <f>IFERROR(Table1[[#This Row],[ClassLength]]/Table1[[#This Row],[Splat]],0)</f>
        <v>6.6249999993374997</v>
      </c>
      <c r="W8">
        <f t="shared" si="4"/>
        <v>1</v>
      </c>
      <c r="X8">
        <f t="shared" si="5"/>
        <v>0</v>
      </c>
      <c r="Y8">
        <f t="shared" si="6"/>
        <v>0</v>
      </c>
      <c r="Z8" s="5">
        <f t="shared" si="11"/>
        <v>0.46352201257861636</v>
      </c>
      <c r="AA8" s="5">
        <f t="shared" si="12"/>
        <v>0.23270440251572327</v>
      </c>
      <c r="AB8" s="5">
        <f t="shared" si="13"/>
        <v>0.14433962264150943</v>
      </c>
      <c r="AC8" s="5">
        <f t="shared" si="14"/>
        <v>0.11635220125786164</v>
      </c>
      <c r="AD8" s="5">
        <f t="shared" si="15"/>
        <v>4.3081761006289306E-2</v>
      </c>
      <c r="AE8" s="7">
        <v>66.33</v>
      </c>
      <c r="AF8" s="7">
        <f>AE8/4</f>
        <v>16.5825</v>
      </c>
      <c r="AG8" s="8">
        <f t="shared" si="7"/>
        <v>641.00000000094997</v>
      </c>
      <c r="AH8" s="8">
        <f t="shared" si="8"/>
        <v>10.500000000950001</v>
      </c>
      <c r="AI8">
        <f>YEAR(Table1[[#This Row],[Date]])</f>
        <v>2019</v>
      </c>
      <c r="AK8">
        <v>3</v>
      </c>
      <c r="AL8" s="8">
        <f>Table1[[#This Row],[Calories]]/Table1[[#This Row],[ClassLength]]</f>
        <v>10.075471698128302</v>
      </c>
      <c r="AM8" t="str">
        <f>RIGHT(Table1[[#This Row],[Time]],2)</f>
        <v>PM</v>
      </c>
      <c r="AN8" t="str">
        <f>Table1[[#This Row],[Mon_Yr]]&amp;"-"&amp;WEEKNUM(Table1[[#This Row],[Date]],1)-WEEKNUM(DATE(YEAR(Table1[[#This Row],[Date]]),MONTH(Table1[[#This Row],[Date]]),1),1)+1</f>
        <v>5-2019-1</v>
      </c>
      <c r="AO8">
        <f>MONTH(Table1[[#This Row],[Date]])</f>
        <v>5</v>
      </c>
      <c r="AP8" s="8">
        <f>IFERROR(Table1[[#This Row],[Calories]]/Table1[[#This Row],[Splat]],0)</f>
        <v>66.749999993425007</v>
      </c>
      <c r="AQ8" s="10">
        <f>COUNTIF(Table1[Location],Table1[[#This Row],[Location]])</f>
        <v>35</v>
      </c>
      <c r="AR8" s="10">
        <f>IF(AND(Table1[[#This Row],[Calories]]&gt;=600,Table1[[#This Row],[Splat]]&gt;=12),1,0)</f>
        <v>0</v>
      </c>
      <c r="AS8" s="10">
        <f>IF(AND(Table1[[#This Row],[Calories]]&gt;=500,Table1[[#This Row],[Splat]]&gt;=12),1,0)</f>
        <v>0</v>
      </c>
      <c r="AT8" s="8">
        <f>Table1[[#This Row],[ClassLength]]/Table1[[#This Row],[Calories]]</f>
        <v>9.9250936329439321E-2</v>
      </c>
      <c r="AU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8" s="10">
        <f>COUNTIF(Table1[Trainer],Table1[[#This Row],[Trainer]])</f>
        <v>13</v>
      </c>
      <c r="AW8" s="10" t="str">
        <f>UPPER(LEFT(TEXT(Table1[Date],"mmmm"),3))&amp;" "&amp;TEXT(Table1[Date],"yyyy")</f>
        <v>MAY 2019</v>
      </c>
      <c r="AX8" s="10">
        <f>VLOOKUP(Table1[[#This Row],[Location]],'Tab for Charts'!$A$93:$B$103,2,FALSE)</f>
        <v>38.881884999999997</v>
      </c>
      <c r="AY8" s="10">
        <f>VLOOKUP(Table1[[#This Row],[Location]],'Tab for Charts'!$A$93:$C$103,3,FALSE)</f>
        <v>-77.229702000000003</v>
      </c>
    </row>
    <row r="9" spans="1:51">
      <c r="A9">
        <f t="shared" si="17"/>
        <v>8</v>
      </c>
      <c r="B9">
        <f t="shared" si="0"/>
        <v>4</v>
      </c>
      <c r="C9" s="1">
        <v>43599</v>
      </c>
      <c r="D9" s="8">
        <v>58</v>
      </c>
      <c r="E9">
        <v>12.0000000009</v>
      </c>
      <c r="F9">
        <v>649.00000000089995</v>
      </c>
      <c r="G9">
        <v>129</v>
      </c>
      <c r="H9">
        <v>177</v>
      </c>
      <c r="I9">
        <f>20+28/60</f>
        <v>20.466666666666665</v>
      </c>
      <c r="J9">
        <f>10+5/60</f>
        <v>10.083333333333334</v>
      </c>
      <c r="K9">
        <f>16+14/60</f>
        <v>16.233333333333334</v>
      </c>
      <c r="L9">
        <f>9+41/60</f>
        <v>9.6833333333333336</v>
      </c>
      <c r="M9">
        <f>1+32/60</f>
        <v>1.5333333333333332</v>
      </c>
      <c r="N9" t="s">
        <v>6</v>
      </c>
      <c r="O9" t="s">
        <v>7</v>
      </c>
      <c r="P9" t="s">
        <v>10</v>
      </c>
      <c r="Q9" s="34">
        <f t="shared" si="9"/>
        <v>12</v>
      </c>
      <c r="R9" t="str">
        <f t="shared" si="1"/>
        <v>Gain</v>
      </c>
      <c r="S9" t="str">
        <f t="shared" si="2"/>
        <v>5-2019</v>
      </c>
      <c r="T9" t="str">
        <f t="shared" si="3"/>
        <v>Tuesday</v>
      </c>
      <c r="U9">
        <f t="shared" si="10"/>
        <v>1</v>
      </c>
      <c r="V9" s="8">
        <f>IFERROR(Table1[[#This Row],[ClassLength]]/Table1[[#This Row],[Splat]],0)</f>
        <v>4.8333333329708337</v>
      </c>
      <c r="W9">
        <f t="shared" si="4"/>
        <v>0</v>
      </c>
      <c r="X9">
        <f t="shared" si="5"/>
        <v>1</v>
      </c>
      <c r="Y9">
        <f t="shared" si="6"/>
        <v>0</v>
      </c>
      <c r="Z9" s="5">
        <f t="shared" si="11"/>
        <v>0.35287356321839075</v>
      </c>
      <c r="AA9" s="5">
        <f t="shared" si="12"/>
        <v>0.1738505747126437</v>
      </c>
      <c r="AB9" s="5">
        <f t="shared" si="13"/>
        <v>0.27988505747126441</v>
      </c>
      <c r="AC9" s="5">
        <f t="shared" si="14"/>
        <v>0.16695402298850576</v>
      </c>
      <c r="AD9" s="5">
        <f t="shared" si="15"/>
        <v>2.6436781609195402E-2</v>
      </c>
      <c r="AE9" s="7">
        <v>66.33</v>
      </c>
      <c r="AF9" s="7">
        <f>AE9/4</f>
        <v>16.5825</v>
      </c>
      <c r="AG9" s="8">
        <f t="shared" si="7"/>
        <v>641.00000000094997</v>
      </c>
      <c r="AH9" s="8">
        <f t="shared" si="8"/>
        <v>10.500000000950001</v>
      </c>
      <c r="AI9">
        <f>YEAR(Table1[[#This Row],[Date]])</f>
        <v>2019</v>
      </c>
      <c r="AK9">
        <v>3</v>
      </c>
      <c r="AL9" s="8">
        <f>Table1[[#This Row],[Calories]]/Table1[[#This Row],[ClassLength]]</f>
        <v>11.18965517242931</v>
      </c>
      <c r="AM9" t="str">
        <f>RIGHT(Table1[[#This Row],[Time]],2)</f>
        <v>PM</v>
      </c>
      <c r="AN9" t="str">
        <f>Table1[[#This Row],[Mon_Yr]]&amp;"-"&amp;WEEKNUM(Table1[[#This Row],[Date]],1)-WEEKNUM(DATE(YEAR(Table1[[#This Row],[Date]]),MONTH(Table1[[#This Row],[Date]]),1),1)+1</f>
        <v>5-2019-3</v>
      </c>
      <c r="AO9">
        <f>MONTH(Table1[[#This Row],[Date]])</f>
        <v>5</v>
      </c>
      <c r="AP9" s="8">
        <f>IFERROR(Table1[[#This Row],[Calories]]/Table1[[#This Row],[Splat]],0)</f>
        <v>54.083333329352079</v>
      </c>
      <c r="AQ9" s="10">
        <f>COUNTIF(Table1[Location],Table1[[#This Row],[Location]])</f>
        <v>35</v>
      </c>
      <c r="AR9" s="10">
        <f>IF(AND(Table1[[#This Row],[Calories]]&gt;=600,Table1[[#This Row],[Splat]]&gt;=12),1,0)</f>
        <v>1</v>
      </c>
      <c r="AS9" s="10">
        <f>IF(AND(Table1[[#This Row],[Calories]]&gt;=500,Table1[[#This Row],[Splat]]&gt;=12),1,0)</f>
        <v>1</v>
      </c>
      <c r="AT9" s="8">
        <f>Table1[[#This Row],[ClassLength]]/Table1[[#This Row],[Calories]]</f>
        <v>8.9368258859660363E-2</v>
      </c>
      <c r="AU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9" s="10">
        <f>COUNTIF(Table1[Trainer],Table1[[#This Row],[Trainer]])</f>
        <v>2</v>
      </c>
      <c r="AW9" s="10" t="str">
        <f>UPPER(LEFT(TEXT(Table1[Date],"mmmm"),3))&amp;" "&amp;TEXT(Table1[Date],"yyyy")</f>
        <v>MAY 2019</v>
      </c>
      <c r="AX9" s="10">
        <f>VLOOKUP(Table1[[#This Row],[Location]],'Tab for Charts'!$A$93:$B$103,2,FALSE)</f>
        <v>38.881884999999997</v>
      </c>
      <c r="AY9" s="10">
        <f>VLOOKUP(Table1[[#This Row],[Location]],'Tab for Charts'!$A$93:$C$103,3,FALSE)</f>
        <v>-77.229702000000003</v>
      </c>
    </row>
    <row r="10" spans="1:51">
      <c r="A10">
        <f t="shared" si="17"/>
        <v>9</v>
      </c>
      <c r="B10">
        <f t="shared" si="0"/>
        <v>4</v>
      </c>
      <c r="C10" s="1">
        <v>43608</v>
      </c>
      <c r="D10" s="8">
        <f>59+3/60</f>
        <v>59.05</v>
      </c>
      <c r="E10">
        <v>13.000000001</v>
      </c>
      <c r="F10">
        <v>709.00000000099999</v>
      </c>
      <c r="G10">
        <v>134</v>
      </c>
      <c r="H10">
        <v>177</v>
      </c>
      <c r="I10">
        <f>9+40/60</f>
        <v>9.6666666666666661</v>
      </c>
      <c r="J10">
        <f>15+23/60</f>
        <v>15.383333333333333</v>
      </c>
      <c r="K10">
        <f>21+19/60</f>
        <v>21.316666666666666</v>
      </c>
      <c r="L10">
        <f>12+35/60</f>
        <v>12.583333333333334</v>
      </c>
      <c r="M10">
        <f>0+6/60</f>
        <v>0.1</v>
      </c>
      <c r="N10" t="s">
        <v>6</v>
      </c>
      <c r="O10" t="s">
        <v>7</v>
      </c>
      <c r="P10" t="s">
        <v>8</v>
      </c>
      <c r="Q10" s="34">
        <f t="shared" si="9"/>
        <v>9</v>
      </c>
      <c r="R10" t="str">
        <f t="shared" si="1"/>
        <v>Correct</v>
      </c>
      <c r="S10" t="str">
        <f t="shared" si="2"/>
        <v>5-2019</v>
      </c>
      <c r="T10" t="str">
        <f t="shared" si="3"/>
        <v>Thursday</v>
      </c>
      <c r="U10">
        <f t="shared" si="10"/>
        <v>1</v>
      </c>
      <c r="V10" s="8">
        <f>IFERROR(Table1[[#This Row],[ClassLength]]/Table1[[#This Row],[Splat]],0)</f>
        <v>4.5423076919582837</v>
      </c>
      <c r="W10">
        <f t="shared" si="4"/>
        <v>1</v>
      </c>
      <c r="X10">
        <f t="shared" si="5"/>
        <v>0</v>
      </c>
      <c r="Y10">
        <f t="shared" si="6"/>
        <v>0</v>
      </c>
      <c r="Z10" s="5">
        <f t="shared" si="11"/>
        <v>0.16370307648885124</v>
      </c>
      <c r="AA10" s="5">
        <f t="shared" si="12"/>
        <v>0.26051368896415467</v>
      </c>
      <c r="AB10" s="5">
        <f t="shared" si="13"/>
        <v>0.36099350832627719</v>
      </c>
      <c r="AC10" s="5">
        <f t="shared" si="14"/>
        <v>0.21309624611910813</v>
      </c>
      <c r="AD10" s="5">
        <f t="shared" si="15"/>
        <v>1.6934801016088063E-3</v>
      </c>
      <c r="AE10" s="7">
        <v>66.33</v>
      </c>
      <c r="AF10" s="7">
        <f>AE10/4</f>
        <v>16.5825</v>
      </c>
      <c r="AG10" s="8">
        <f t="shared" si="7"/>
        <v>641.00000000094997</v>
      </c>
      <c r="AH10" s="8">
        <f t="shared" si="8"/>
        <v>10.500000000950001</v>
      </c>
      <c r="AI10">
        <f>YEAR(Table1[[#This Row],[Date]])</f>
        <v>2019</v>
      </c>
      <c r="AK10">
        <v>3</v>
      </c>
      <c r="AL10" s="8">
        <f>Table1[[#This Row],[Calories]]/Table1[[#This Row],[ClassLength]]</f>
        <v>12.00677392042337</v>
      </c>
      <c r="AM10" t="str">
        <f>RIGHT(Table1[[#This Row],[Time]],2)</f>
        <v>PM</v>
      </c>
      <c r="AN10" t="str">
        <f>Table1[[#This Row],[Mon_Yr]]&amp;"-"&amp;WEEKNUM(Table1[[#This Row],[Date]],1)-WEEKNUM(DATE(YEAR(Table1[[#This Row],[Date]]),MONTH(Table1[[#This Row],[Date]]),1),1)+1</f>
        <v>5-2019-4</v>
      </c>
      <c r="AO10">
        <f>MONTH(Table1[[#This Row],[Date]])</f>
        <v>5</v>
      </c>
      <c r="AP10" s="8">
        <f>IFERROR(Table1[[#This Row],[Calories]]/Table1[[#This Row],[Splat]],0)</f>
        <v>54.538461534343192</v>
      </c>
      <c r="AQ10" s="10">
        <f>COUNTIF(Table1[Location],Table1[[#This Row],[Location]])</f>
        <v>35</v>
      </c>
      <c r="AR10" s="10">
        <f>IF(AND(Table1[[#This Row],[Calories]]&gt;=600,Table1[[#This Row],[Splat]]&gt;=12),1,0)</f>
        <v>1</v>
      </c>
      <c r="AS10" s="10">
        <f>IF(AND(Table1[[#This Row],[Calories]]&gt;=500,Table1[[#This Row],[Splat]]&gt;=12),1,0)</f>
        <v>1</v>
      </c>
      <c r="AT10" s="8">
        <f>Table1[[#This Row],[ClassLength]]/Table1[[#This Row],[Calories]]</f>
        <v>8.3286318758697755E-2</v>
      </c>
      <c r="AU1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0" s="10">
        <f>COUNTIF(Table1[Trainer],Table1[[#This Row],[Trainer]])</f>
        <v>13</v>
      </c>
      <c r="AW10" s="10" t="str">
        <f>UPPER(LEFT(TEXT(Table1[Date],"mmmm"),3))&amp;" "&amp;TEXT(Table1[Date],"yyyy")</f>
        <v>MAY 2019</v>
      </c>
      <c r="AX10" s="10">
        <f>VLOOKUP(Table1[[#This Row],[Location]],'Tab for Charts'!$A$93:$B$103,2,FALSE)</f>
        <v>38.881884999999997</v>
      </c>
      <c r="AY10" s="10">
        <f>VLOOKUP(Table1[[#This Row],[Location]],'Tab for Charts'!$A$93:$C$103,3,FALSE)</f>
        <v>-77.229702000000003</v>
      </c>
    </row>
    <row r="11" spans="1:51">
      <c r="A11">
        <f t="shared" si="17"/>
        <v>10</v>
      </c>
      <c r="B11">
        <f t="shared" si="0"/>
        <v>4</v>
      </c>
      <c r="C11" s="1">
        <v>43615</v>
      </c>
      <c r="D11" s="8">
        <f>SUM(I11:M11)</f>
        <v>56.3</v>
      </c>
      <c r="E11">
        <v>9.0000000011000001</v>
      </c>
      <c r="F11">
        <v>672.00000000110003</v>
      </c>
      <c r="G11">
        <v>134</v>
      </c>
      <c r="H11">
        <v>177</v>
      </c>
      <c r="I11">
        <f>6+5/60</f>
        <v>6.083333333333333</v>
      </c>
      <c r="J11">
        <f>21+11/60</f>
        <v>21.183333333333334</v>
      </c>
      <c r="K11">
        <f>19+32/60</f>
        <v>19.533333333333335</v>
      </c>
      <c r="L11">
        <f>8+15/60</f>
        <v>8.25</v>
      </c>
      <c r="M11">
        <f>1+15/60</f>
        <v>1.25</v>
      </c>
      <c r="N11" t="s">
        <v>6</v>
      </c>
      <c r="O11" t="s">
        <v>7</v>
      </c>
      <c r="P11" t="s">
        <v>8</v>
      </c>
      <c r="Q11" s="34">
        <f t="shared" si="9"/>
        <v>7</v>
      </c>
      <c r="R11" t="str">
        <f t="shared" si="1"/>
        <v>Loss</v>
      </c>
      <c r="S11" t="str">
        <f t="shared" si="2"/>
        <v>5-2019</v>
      </c>
      <c r="T11" t="str">
        <f t="shared" si="3"/>
        <v>Thursday</v>
      </c>
      <c r="U11">
        <f t="shared" si="10"/>
        <v>0</v>
      </c>
      <c r="V11" s="8">
        <f>IFERROR(Table1[[#This Row],[ClassLength]]/Table1[[#This Row],[Splat]],0)</f>
        <v>6.2555555547909876</v>
      </c>
      <c r="W11">
        <f t="shared" si="4"/>
        <v>0</v>
      </c>
      <c r="X11">
        <f t="shared" si="5"/>
        <v>0</v>
      </c>
      <c r="Y11">
        <f t="shared" si="6"/>
        <v>1</v>
      </c>
      <c r="Z11" s="5">
        <f t="shared" si="11"/>
        <v>0.10805210183540556</v>
      </c>
      <c r="AA11" s="5">
        <f t="shared" si="12"/>
        <v>0.37625814091178217</v>
      </c>
      <c r="AB11" s="5">
        <f t="shared" si="13"/>
        <v>0.34695085849615159</v>
      </c>
      <c r="AC11" s="5">
        <f t="shared" si="14"/>
        <v>0.14653641207815277</v>
      </c>
      <c r="AD11" s="5">
        <f t="shared" si="15"/>
        <v>2.2202486678507993E-2</v>
      </c>
      <c r="AE11" s="7">
        <v>66.33</v>
      </c>
      <c r="AF11" s="7">
        <f>AE11/4</f>
        <v>16.5825</v>
      </c>
      <c r="AG11" s="8">
        <f t="shared" si="7"/>
        <v>641.00000000094997</v>
      </c>
      <c r="AH11" s="8">
        <f t="shared" si="8"/>
        <v>10.500000000950001</v>
      </c>
      <c r="AI11">
        <f>YEAR(Table1[[#This Row],[Date]])</f>
        <v>2019</v>
      </c>
      <c r="AK11">
        <v>3</v>
      </c>
      <c r="AL11" s="8">
        <f>Table1[[#This Row],[Calories]]/Table1[[#This Row],[ClassLength]]</f>
        <v>11.936056838385436</v>
      </c>
      <c r="AM11" t="str">
        <f>RIGHT(Table1[[#This Row],[Time]],2)</f>
        <v>PM</v>
      </c>
      <c r="AN11" t="str">
        <f>Table1[[#This Row],[Mon_Yr]]&amp;"-"&amp;WEEKNUM(Table1[[#This Row],[Date]],1)-WEEKNUM(DATE(YEAR(Table1[[#This Row],[Date]]),MONTH(Table1[[#This Row],[Date]]),1),1)+1</f>
        <v>5-2019-5</v>
      </c>
      <c r="AO11">
        <f>MONTH(Table1[[#This Row],[Date]])</f>
        <v>5</v>
      </c>
      <c r="AP11" s="8">
        <f>IFERROR(Table1[[#This Row],[Calories]]/Table1[[#This Row],[Splat]],0)</f>
        <v>74.666666657662972</v>
      </c>
      <c r="AQ11" s="10">
        <f>COUNTIF(Table1[Location],Table1[[#This Row],[Location]])</f>
        <v>35</v>
      </c>
      <c r="AR11" s="10">
        <f>IF(AND(Table1[[#This Row],[Calories]]&gt;=600,Table1[[#This Row],[Splat]]&gt;=12),1,0)</f>
        <v>0</v>
      </c>
      <c r="AS11" s="10">
        <f>IF(AND(Table1[[#This Row],[Calories]]&gt;=500,Table1[[#This Row],[Splat]]&gt;=12),1,0)</f>
        <v>0</v>
      </c>
      <c r="AT11" s="8">
        <f>Table1[[#This Row],[ClassLength]]/Table1[[#This Row],[Calories]]</f>
        <v>8.3779761904624758E-2</v>
      </c>
      <c r="AU1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1" s="10">
        <f>COUNTIF(Table1[Trainer],Table1[[#This Row],[Trainer]])</f>
        <v>13</v>
      </c>
      <c r="AW11" s="10" t="str">
        <f>UPPER(LEFT(TEXT(Table1[Date],"mmmm"),3))&amp;" "&amp;TEXT(Table1[Date],"yyyy")</f>
        <v>MAY 2019</v>
      </c>
      <c r="AX11" s="10">
        <f>VLOOKUP(Table1[[#This Row],[Location]],'Tab for Charts'!$A$93:$B$103,2,FALSE)</f>
        <v>38.881884999999997</v>
      </c>
      <c r="AY11" s="10">
        <f>VLOOKUP(Table1[[#This Row],[Location]],'Tab for Charts'!$A$93:$C$103,3,FALSE)</f>
        <v>-77.229702000000003</v>
      </c>
    </row>
    <row r="12" spans="1:51">
      <c r="A12">
        <f t="shared" si="17"/>
        <v>11</v>
      </c>
      <c r="B12">
        <f t="shared" si="0"/>
        <v>10</v>
      </c>
      <c r="C12" s="1">
        <v>43622</v>
      </c>
      <c r="D12" s="8">
        <f>SUM(I12:M12)</f>
        <v>60.550000000000004</v>
      </c>
      <c r="E12">
        <v>14.0000000012</v>
      </c>
      <c r="F12">
        <v>701.00000000119996</v>
      </c>
      <c r="G12">
        <v>131</v>
      </c>
      <c r="H12">
        <v>172</v>
      </c>
      <c r="I12">
        <f>17+47/60</f>
        <v>17.783333333333335</v>
      </c>
      <c r="J12">
        <f>13+54/60</f>
        <v>13.9</v>
      </c>
      <c r="K12">
        <f>14+42/60</f>
        <v>14.7</v>
      </c>
      <c r="L12">
        <f>14+7/60</f>
        <v>14.116666666666667</v>
      </c>
      <c r="M12">
        <f>0+3/60</f>
        <v>0.05</v>
      </c>
      <c r="N12" t="s">
        <v>6</v>
      </c>
      <c r="O12" t="s">
        <v>7</v>
      </c>
      <c r="P12" t="s">
        <v>8</v>
      </c>
      <c r="Q12" s="34">
        <f t="shared" si="9"/>
        <v>7</v>
      </c>
      <c r="R12" t="str">
        <f t="shared" si="1"/>
        <v>Correct</v>
      </c>
      <c r="S12" t="str">
        <f t="shared" si="2"/>
        <v>6-2019</v>
      </c>
      <c r="T12" t="str">
        <f t="shared" si="3"/>
        <v>Thursday</v>
      </c>
      <c r="U12">
        <f t="shared" si="10"/>
        <v>1</v>
      </c>
      <c r="V12" s="8">
        <f>IFERROR(Table1[[#This Row],[ClassLength]]/Table1[[#This Row],[Splat]],0)</f>
        <v>4.3249999996292861</v>
      </c>
      <c r="W12">
        <f t="shared" si="4"/>
        <v>1</v>
      </c>
      <c r="X12">
        <f t="shared" si="5"/>
        <v>0</v>
      </c>
      <c r="Y12">
        <f t="shared" si="6"/>
        <v>0</v>
      </c>
      <c r="Z12" s="5">
        <f>IFERROR(I12/$D12,"")</f>
        <v>0.2936966694192128</v>
      </c>
      <c r="AA12" s="5">
        <f t="shared" si="12"/>
        <v>0.22956234516928156</v>
      </c>
      <c r="AB12" s="5">
        <f t="shared" si="13"/>
        <v>0.2427745664739884</v>
      </c>
      <c r="AC12" s="5">
        <f t="shared" si="14"/>
        <v>0.23314065510597301</v>
      </c>
      <c r="AD12" s="5">
        <f t="shared" si="15"/>
        <v>8.2576383154417832E-4</v>
      </c>
      <c r="AE12" s="7">
        <v>33.17</v>
      </c>
      <c r="AF12" s="7">
        <f>AE12/2</f>
        <v>16.585000000000001</v>
      </c>
      <c r="AG12" s="8">
        <f t="shared" si="7"/>
        <v>669.60000000164996</v>
      </c>
      <c r="AH12" s="8">
        <f t="shared" si="8"/>
        <v>10.20000000165</v>
      </c>
      <c r="AI12">
        <f>YEAR(Table1[[#This Row],[Date]])</f>
        <v>2019</v>
      </c>
      <c r="AK12">
        <v>12</v>
      </c>
      <c r="AL12" s="8">
        <f>Table1[[#This Row],[Calories]]/Table1[[#This Row],[ClassLength]]</f>
        <v>11.577208918269198</v>
      </c>
      <c r="AM12" t="str">
        <f>RIGHT(Table1[[#This Row],[Time]],2)</f>
        <v>PM</v>
      </c>
      <c r="AN12" t="str">
        <f>Table1[[#This Row],[Mon_Yr]]&amp;"-"&amp;WEEKNUM(Table1[[#This Row],[Date]],1)-WEEKNUM(DATE(YEAR(Table1[[#This Row],[Date]]),MONTH(Table1[[#This Row],[Date]]),1),1)+1</f>
        <v>6-2019-2</v>
      </c>
      <c r="AO12">
        <f>MONTH(Table1[[#This Row],[Date]])</f>
        <v>6</v>
      </c>
      <c r="AP12" s="8">
        <f>IFERROR(Table1[[#This Row],[Calories]]/Table1[[#This Row],[Splat]],0)</f>
        <v>50.071428567222448</v>
      </c>
      <c r="AQ12" s="10">
        <f>COUNTIF(Table1[Location],Table1[[#This Row],[Location]])</f>
        <v>35</v>
      </c>
      <c r="AR12" s="10">
        <f>IF(AND(Table1[[#This Row],[Calories]]&gt;=600,Table1[[#This Row],[Splat]]&gt;=12),1,0)</f>
        <v>1</v>
      </c>
      <c r="AS12" s="10">
        <f>IF(AND(Table1[[#This Row],[Calories]]&gt;=500,Table1[[#This Row],[Splat]]&gt;=12),1,0)</f>
        <v>1</v>
      </c>
      <c r="AT12" s="8">
        <f>Table1[[#This Row],[ClassLength]]/Table1[[#This Row],[Calories]]</f>
        <v>8.6376604850066124E-2</v>
      </c>
      <c r="AU1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2" s="10">
        <f>COUNTIF(Table1[Trainer],Table1[[#This Row],[Trainer]])</f>
        <v>13</v>
      </c>
      <c r="AW12" s="10" t="str">
        <f>UPPER(LEFT(TEXT(Table1[Date],"mmmm"),3))&amp;" "&amp;TEXT(Table1[Date],"yyyy")</f>
        <v>JUN 2019</v>
      </c>
      <c r="AX12" s="10">
        <f>VLOOKUP(Table1[[#This Row],[Location]],'Tab for Charts'!$A$93:$B$103,2,FALSE)</f>
        <v>38.881884999999997</v>
      </c>
      <c r="AY12" s="10">
        <f>VLOOKUP(Table1[[#This Row],[Location]],'Tab for Charts'!$A$93:$C$103,3,FALSE)</f>
        <v>-77.229702000000003</v>
      </c>
    </row>
    <row r="13" spans="1:51">
      <c r="A13">
        <f t="shared" si="17"/>
        <v>12</v>
      </c>
      <c r="B13">
        <f t="shared" si="0"/>
        <v>10</v>
      </c>
      <c r="C13" s="1">
        <v>43625</v>
      </c>
      <c r="D13" s="8">
        <f>55+49/60</f>
        <v>55.81666666666667</v>
      </c>
      <c r="E13">
        <v>8.0000000013000001</v>
      </c>
      <c r="F13">
        <v>667.00000000130001</v>
      </c>
      <c r="G13">
        <v>134</v>
      </c>
      <c r="H13">
        <v>187</v>
      </c>
      <c r="I13">
        <f>7+12/60</f>
        <v>7.2</v>
      </c>
      <c r="J13">
        <f>17+52/60</f>
        <v>17.866666666666667</v>
      </c>
      <c r="K13">
        <f>22+39/60</f>
        <v>22.65</v>
      </c>
      <c r="L13">
        <f>8+5/60</f>
        <v>8.0833333333333339</v>
      </c>
      <c r="M13">
        <f>0+1/60</f>
        <v>1.6666666666666666E-2</v>
      </c>
      <c r="N13" t="s">
        <v>12</v>
      </c>
      <c r="O13" t="s">
        <v>13</v>
      </c>
      <c r="P13" t="s">
        <v>14</v>
      </c>
      <c r="Q13" s="34">
        <f t="shared" si="9"/>
        <v>3</v>
      </c>
      <c r="R13" t="str">
        <f t="shared" si="1"/>
        <v>Correct</v>
      </c>
      <c r="S13" t="str">
        <f t="shared" si="2"/>
        <v>6-2019</v>
      </c>
      <c r="T13" t="str">
        <f t="shared" si="3"/>
        <v>Sunday</v>
      </c>
      <c r="U13">
        <f t="shared" si="10"/>
        <v>0</v>
      </c>
      <c r="V13" s="8">
        <f>IFERROR(Table1[[#This Row],[ClassLength]]/Table1[[#This Row],[Splat]],0)</f>
        <v>6.977083332199558</v>
      </c>
      <c r="W13">
        <f t="shared" si="4"/>
        <v>1</v>
      </c>
      <c r="X13">
        <f t="shared" si="5"/>
        <v>0</v>
      </c>
      <c r="Y13">
        <f t="shared" si="6"/>
        <v>0</v>
      </c>
      <c r="Z13" s="5">
        <f t="shared" si="11"/>
        <v>0.12899372947148402</v>
      </c>
      <c r="AA13" s="5">
        <f t="shared" si="12"/>
        <v>0.32009555091071962</v>
      </c>
      <c r="AB13" s="5">
        <f t="shared" si="13"/>
        <v>0.40579277396237678</v>
      </c>
      <c r="AC13" s="5">
        <f t="shared" si="14"/>
        <v>0.14481934905942073</v>
      </c>
      <c r="AD13" s="5">
        <f t="shared" si="15"/>
        <v>2.9859659599880558E-4</v>
      </c>
      <c r="AE13" s="7">
        <v>33.17</v>
      </c>
      <c r="AF13" s="7">
        <f>AE13/2</f>
        <v>16.585000000000001</v>
      </c>
      <c r="AG13" s="8">
        <f t="shared" si="7"/>
        <v>669.60000000164996</v>
      </c>
      <c r="AH13" s="8">
        <f t="shared" si="8"/>
        <v>10.20000000165</v>
      </c>
      <c r="AI13">
        <f>YEAR(Table1[[#This Row],[Date]])</f>
        <v>2019</v>
      </c>
      <c r="AK13">
        <v>12</v>
      </c>
      <c r="AL13" s="8">
        <f>Table1[[#This Row],[Calories]]/Table1[[#This Row],[ClassLength]]</f>
        <v>11.94983577189549</v>
      </c>
      <c r="AM13" t="str">
        <f>RIGHT(Table1[[#This Row],[Time]],2)</f>
        <v>AM</v>
      </c>
      <c r="AN13" t="str">
        <f>Table1[[#This Row],[Mon_Yr]]&amp;"-"&amp;WEEKNUM(Table1[[#This Row],[Date]],1)-WEEKNUM(DATE(YEAR(Table1[[#This Row],[Date]]),MONTH(Table1[[#This Row],[Date]]),1),1)+1</f>
        <v>6-2019-3</v>
      </c>
      <c r="AO13">
        <f>MONTH(Table1[[#This Row],[Date]])</f>
        <v>6</v>
      </c>
      <c r="AP13" s="8">
        <f>IFERROR(Table1[[#This Row],[Calories]]/Table1[[#This Row],[Splat]],0)</f>
        <v>83.374999986614057</v>
      </c>
      <c r="AQ13" s="10">
        <f>COUNTIF(Table1[Location],Table1[[#This Row],[Location]])</f>
        <v>1</v>
      </c>
      <c r="AR13" s="10">
        <f>IF(AND(Table1[[#This Row],[Calories]]&gt;=600,Table1[[#This Row],[Splat]]&gt;=12),1,0)</f>
        <v>0</v>
      </c>
      <c r="AS13" s="10">
        <f>IF(AND(Table1[[#This Row],[Calories]]&gt;=500,Table1[[#This Row],[Splat]]&gt;=12),1,0)</f>
        <v>0</v>
      </c>
      <c r="AT13" s="8">
        <f>Table1[[#This Row],[ClassLength]]/Table1[[#This Row],[Calories]]</f>
        <v>8.3683158420626513E-2</v>
      </c>
      <c r="AU1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3" s="10">
        <f>COUNTIF(Table1[Trainer],Table1[[#This Row],[Trainer]])</f>
        <v>1</v>
      </c>
      <c r="AW13" s="10" t="str">
        <f>UPPER(LEFT(TEXT(Table1[Date],"mmmm"),3))&amp;" "&amp;TEXT(Table1[Date],"yyyy")</f>
        <v>JUN 2019</v>
      </c>
      <c r="AX13" s="10">
        <f>VLOOKUP(Table1[[#This Row],[Location]],'Tab for Charts'!$A$93:$B$103,2,FALSE)</f>
        <v>38.894024999999999</v>
      </c>
      <c r="AY13" s="10">
        <f>VLOOKUP(Table1[[#This Row],[Location]],'Tab for Charts'!$A$93:$C$103,3,FALSE)</f>
        <v>-77.078213000000005</v>
      </c>
    </row>
    <row r="14" spans="1:51">
      <c r="A14">
        <f t="shared" si="17"/>
        <v>13</v>
      </c>
      <c r="B14">
        <f t="shared" si="0"/>
        <v>10</v>
      </c>
      <c r="C14" s="1">
        <v>43631</v>
      </c>
      <c r="D14" s="8">
        <f>54+43/60</f>
        <v>54.716666666666669</v>
      </c>
      <c r="E14">
        <v>10.0000000014</v>
      </c>
      <c r="F14">
        <v>622.00000000140005</v>
      </c>
      <c r="G14">
        <v>130</v>
      </c>
      <c r="H14">
        <v>175</v>
      </c>
      <c r="I14">
        <f>14+29/60</f>
        <v>14.483333333333333</v>
      </c>
      <c r="J14">
        <f>16+47/60</f>
        <v>16.783333333333335</v>
      </c>
      <c r="K14">
        <f>13+14/60</f>
        <v>13.233333333333333</v>
      </c>
      <c r="L14">
        <f>9+5/60</f>
        <v>9.0833333333333339</v>
      </c>
      <c r="M14">
        <f>1+8/60</f>
        <v>1.1333333333333333</v>
      </c>
      <c r="N14" t="s">
        <v>15</v>
      </c>
      <c r="O14" t="s">
        <v>16</v>
      </c>
      <c r="P14" t="s">
        <v>17</v>
      </c>
      <c r="Q14" s="34">
        <f t="shared" si="9"/>
        <v>6</v>
      </c>
      <c r="R14" t="str">
        <f t="shared" si="1"/>
        <v>Correct</v>
      </c>
      <c r="S14" t="str">
        <f t="shared" si="2"/>
        <v>6-2019</v>
      </c>
      <c r="T14" t="str">
        <f t="shared" si="3"/>
        <v>Saturday</v>
      </c>
      <c r="U14">
        <f t="shared" si="10"/>
        <v>0</v>
      </c>
      <c r="V14" s="8">
        <f>IFERROR(Table1[[#This Row],[ClassLength]]/Table1[[#This Row],[Splat]],0)</f>
        <v>5.4716666659006332</v>
      </c>
      <c r="W14">
        <f t="shared" si="4"/>
        <v>1</v>
      </c>
      <c r="X14">
        <f t="shared" si="5"/>
        <v>0</v>
      </c>
      <c r="Y14">
        <f t="shared" si="6"/>
        <v>0</v>
      </c>
      <c r="Z14" s="5">
        <f t="shared" si="11"/>
        <v>0.26469692354553759</v>
      </c>
      <c r="AA14" s="5">
        <f t="shared" si="12"/>
        <v>0.30673164788303381</v>
      </c>
      <c r="AB14" s="5">
        <f t="shared" si="13"/>
        <v>0.24185196466646358</v>
      </c>
      <c r="AC14" s="5">
        <f t="shared" si="14"/>
        <v>0.16600670118793787</v>
      </c>
      <c r="AD14" s="5">
        <f t="shared" si="15"/>
        <v>2.0712762717027107E-2</v>
      </c>
      <c r="AE14" s="7">
        <v>10.6</v>
      </c>
      <c r="AF14" s="7">
        <f>AE14/1</f>
        <v>10.6</v>
      </c>
      <c r="AG14" s="8">
        <f t="shared" si="7"/>
        <v>669.60000000164996</v>
      </c>
      <c r="AH14" s="8">
        <f t="shared" si="8"/>
        <v>10.20000000165</v>
      </c>
      <c r="AI14">
        <f>YEAR(Table1[[#This Row],[Date]])</f>
        <v>2019</v>
      </c>
      <c r="AJ14" s="7">
        <v>10.6</v>
      </c>
      <c r="AK14">
        <v>12</v>
      </c>
      <c r="AL14" s="8">
        <f>Table1[[#This Row],[Calories]]/Table1[[#This Row],[ClassLength]]</f>
        <v>11.367651538252819</v>
      </c>
      <c r="AM14" t="str">
        <f>RIGHT(Table1[[#This Row],[Time]],2)</f>
        <v>AM</v>
      </c>
      <c r="AN14" t="str">
        <f>Table1[[#This Row],[Mon_Yr]]&amp;"-"&amp;WEEKNUM(Table1[[#This Row],[Date]],1)-WEEKNUM(DATE(YEAR(Table1[[#This Row],[Date]]),MONTH(Table1[[#This Row],[Date]]),1),1)+1</f>
        <v>6-2019-3</v>
      </c>
      <c r="AO14">
        <f>MONTH(Table1[[#This Row],[Date]])</f>
        <v>6</v>
      </c>
      <c r="AP14" s="8">
        <f>IFERROR(Table1[[#This Row],[Calories]]/Table1[[#This Row],[Splat]],0)</f>
        <v>62.199999991432001</v>
      </c>
      <c r="AQ14" s="10">
        <f>COUNTIF(Table1[Location],Table1[[#This Row],[Location]])</f>
        <v>48</v>
      </c>
      <c r="AR14" s="10">
        <f>IF(AND(Table1[[#This Row],[Calories]]&gt;=600,Table1[[#This Row],[Splat]]&gt;=12),1,0)</f>
        <v>0</v>
      </c>
      <c r="AS14" s="10">
        <f>IF(AND(Table1[[#This Row],[Calories]]&gt;=500,Table1[[#This Row],[Splat]]&gt;=12),1,0)</f>
        <v>0</v>
      </c>
      <c r="AT14" s="8">
        <f>Table1[[#This Row],[ClassLength]]/Table1[[#This Row],[Calories]]</f>
        <v>8.7968917470327188E-2</v>
      </c>
      <c r="AU1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4" s="10">
        <f>COUNTIF(Table1[Trainer],Table1[[#This Row],[Trainer]])</f>
        <v>29</v>
      </c>
      <c r="AW14" s="10" t="str">
        <f>UPPER(LEFT(TEXT(Table1[Date],"mmmm"),3))&amp;" "&amp;TEXT(Table1[Date],"yyyy")</f>
        <v>JUN 2019</v>
      </c>
      <c r="AX14" s="10">
        <f>VLOOKUP(Table1[[#This Row],[Location]],'Tab for Charts'!$A$93:$B$103,2,FALSE)</f>
        <v>38.916486999999996</v>
      </c>
      <c r="AY14" s="10">
        <f>VLOOKUP(Table1[[#This Row],[Location]],'Tab for Charts'!$A$93:$C$103,3,FALSE)</f>
        <v>-77.031514000000001</v>
      </c>
    </row>
    <row r="15" spans="1:51">
      <c r="A15">
        <f t="shared" si="17"/>
        <v>14</v>
      </c>
      <c r="B15">
        <f t="shared" si="0"/>
        <v>10</v>
      </c>
      <c r="C15" s="1">
        <v>43632</v>
      </c>
      <c r="D15" s="8">
        <f>SUM(I15:M15)</f>
        <v>53.4</v>
      </c>
      <c r="E15">
        <v>13.0000000015</v>
      </c>
      <c r="F15">
        <v>676.00000000149998</v>
      </c>
      <c r="G15">
        <v>139</v>
      </c>
      <c r="H15">
        <v>172</v>
      </c>
      <c r="I15">
        <f>6+5/60</f>
        <v>6.083333333333333</v>
      </c>
      <c r="J15">
        <f>12+41/60</f>
        <v>12.683333333333334</v>
      </c>
      <c r="K15">
        <f>21+27/60</f>
        <v>21.45</v>
      </c>
      <c r="L15">
        <f>13+10/60</f>
        <v>13.166666666666666</v>
      </c>
      <c r="M15">
        <f>0+1/60</f>
        <v>1.6666666666666666E-2</v>
      </c>
      <c r="N15" t="s">
        <v>15</v>
      </c>
      <c r="O15" t="s">
        <v>18</v>
      </c>
      <c r="P15" t="s">
        <v>19</v>
      </c>
      <c r="Q15" s="34">
        <f t="shared" si="9"/>
        <v>1</v>
      </c>
      <c r="R15" t="str">
        <f t="shared" si="1"/>
        <v>Correct</v>
      </c>
      <c r="S15" t="str">
        <f t="shared" si="2"/>
        <v>6-2019</v>
      </c>
      <c r="T15" t="str">
        <f t="shared" si="3"/>
        <v>Sunday</v>
      </c>
      <c r="U15">
        <f t="shared" si="10"/>
        <v>1</v>
      </c>
      <c r="V15" s="8">
        <f>IFERROR(Table1[[#This Row],[ClassLength]]/Table1[[#This Row],[Splat]],0)</f>
        <v>4.1076923072183433</v>
      </c>
      <c r="W15">
        <f t="shared" si="4"/>
        <v>1</v>
      </c>
      <c r="X15">
        <f t="shared" si="5"/>
        <v>0</v>
      </c>
      <c r="Y15">
        <f t="shared" si="6"/>
        <v>0</v>
      </c>
      <c r="Z15" s="5">
        <f t="shared" si="11"/>
        <v>0.11392009987515606</v>
      </c>
      <c r="AA15" s="5">
        <f t="shared" si="12"/>
        <v>0.23751560549313358</v>
      </c>
      <c r="AB15" s="5">
        <f t="shared" si="13"/>
        <v>0.40168539325842695</v>
      </c>
      <c r="AC15" s="5">
        <f t="shared" si="14"/>
        <v>0.24656679151061173</v>
      </c>
      <c r="AD15" s="5">
        <f t="shared" si="15"/>
        <v>3.1210986267166043E-4</v>
      </c>
      <c r="AE15" s="7">
        <v>10.6</v>
      </c>
      <c r="AF15" s="7">
        <f>AE15/1</f>
        <v>10.6</v>
      </c>
      <c r="AG15" s="8">
        <f t="shared" si="7"/>
        <v>669.60000000164996</v>
      </c>
      <c r="AH15" s="8">
        <f t="shared" si="8"/>
        <v>10.20000000165</v>
      </c>
      <c r="AI15">
        <f>YEAR(Table1[[#This Row],[Date]])</f>
        <v>2019</v>
      </c>
      <c r="AJ15" s="7">
        <v>10.6</v>
      </c>
      <c r="AK15">
        <v>12</v>
      </c>
      <c r="AL15" s="8">
        <f>Table1[[#This Row],[Calories]]/Table1[[#This Row],[ClassLength]]</f>
        <v>12.659176029990636</v>
      </c>
      <c r="AM15" t="str">
        <f>RIGHT(Table1[[#This Row],[Time]],2)</f>
        <v>PM</v>
      </c>
      <c r="AN15" t="str">
        <f>Table1[[#This Row],[Mon_Yr]]&amp;"-"&amp;WEEKNUM(Table1[[#This Row],[Date]],1)-WEEKNUM(DATE(YEAR(Table1[[#This Row],[Date]]),MONTH(Table1[[#This Row],[Date]]),1),1)+1</f>
        <v>6-2019-4</v>
      </c>
      <c r="AO15">
        <f>MONTH(Table1[[#This Row],[Date]])</f>
        <v>6</v>
      </c>
      <c r="AP15" s="8">
        <f>IFERROR(Table1[[#This Row],[Calories]]/Table1[[#This Row],[Splat]],0)</f>
        <v>51.999999994115385</v>
      </c>
      <c r="AQ15" s="10">
        <f>COUNTIF(Table1[Location],Table1[[#This Row],[Location]])</f>
        <v>48</v>
      </c>
      <c r="AR15" s="10">
        <f>IF(AND(Table1[[#This Row],[Calories]]&gt;=600,Table1[[#This Row],[Splat]]&gt;=12),1,0)</f>
        <v>1</v>
      </c>
      <c r="AS15" s="10">
        <f>IF(AND(Table1[[#This Row],[Calories]]&gt;=500,Table1[[#This Row],[Splat]]&gt;=12),1,0)</f>
        <v>1</v>
      </c>
      <c r="AT15" s="8">
        <f>Table1[[#This Row],[ClassLength]]/Table1[[#This Row],[Calories]]</f>
        <v>7.8994082840061403E-2</v>
      </c>
      <c r="AU1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5" s="10">
        <f>COUNTIF(Table1[Trainer],Table1[[#This Row],[Trainer]])</f>
        <v>12</v>
      </c>
      <c r="AW15" s="10" t="str">
        <f>UPPER(LEFT(TEXT(Table1[Date],"mmmm"),3))&amp;" "&amp;TEXT(Table1[Date],"yyyy")</f>
        <v>JUN 2019</v>
      </c>
      <c r="AX15" s="10">
        <f>VLOOKUP(Table1[[#This Row],[Location]],'Tab for Charts'!$A$93:$B$103,2,FALSE)</f>
        <v>38.916486999999996</v>
      </c>
      <c r="AY15" s="10">
        <f>VLOOKUP(Table1[[#This Row],[Location]],'Tab for Charts'!$A$93:$C$103,3,FALSE)</f>
        <v>-77.031514000000001</v>
      </c>
    </row>
    <row r="16" spans="1:51">
      <c r="A16">
        <f t="shared" si="17"/>
        <v>15</v>
      </c>
      <c r="B16">
        <f t="shared" si="0"/>
        <v>10</v>
      </c>
      <c r="C16" s="1">
        <v>43634</v>
      </c>
      <c r="D16" s="8">
        <f>57+39/60</f>
        <v>57.65</v>
      </c>
      <c r="E16">
        <v>11.0000000016</v>
      </c>
      <c r="F16">
        <v>639.00000000160003</v>
      </c>
      <c r="G16">
        <v>128</v>
      </c>
      <c r="H16">
        <v>171</v>
      </c>
      <c r="I16">
        <f>19+50/60</f>
        <v>19.833333333333332</v>
      </c>
      <c r="J16">
        <f>10+29/60</f>
        <v>10.483333333333333</v>
      </c>
      <c r="K16">
        <f>16+9/60</f>
        <v>16.149999999999999</v>
      </c>
      <c r="L16">
        <f>11+11/60</f>
        <v>11.183333333333334</v>
      </c>
      <c r="M16">
        <v>0</v>
      </c>
      <c r="N16" t="s">
        <v>15</v>
      </c>
      <c r="O16" t="s">
        <v>20</v>
      </c>
      <c r="P16" t="s">
        <v>17</v>
      </c>
      <c r="Q16" s="34">
        <f t="shared" si="9"/>
        <v>2</v>
      </c>
      <c r="R16" t="str">
        <f t="shared" si="1"/>
        <v>Correct</v>
      </c>
      <c r="S16" t="str">
        <f t="shared" si="2"/>
        <v>6-2019</v>
      </c>
      <c r="T16" t="str">
        <f t="shared" si="3"/>
        <v>Tuesday</v>
      </c>
      <c r="U16">
        <f t="shared" si="10"/>
        <v>0</v>
      </c>
      <c r="V16" s="8">
        <f>IFERROR(Table1[[#This Row],[ClassLength]]/Table1[[#This Row],[Splat]],0)</f>
        <v>5.2409090901467765</v>
      </c>
      <c r="W16">
        <f t="shared" si="4"/>
        <v>1</v>
      </c>
      <c r="X16">
        <f t="shared" si="5"/>
        <v>0</v>
      </c>
      <c r="Y16">
        <f t="shared" si="6"/>
        <v>0</v>
      </c>
      <c r="Z16" s="5">
        <f t="shared" si="11"/>
        <v>0.34403006649320611</v>
      </c>
      <c r="AA16" s="5">
        <f t="shared" si="12"/>
        <v>0.18184446371783752</v>
      </c>
      <c r="AB16" s="5">
        <f t="shared" si="13"/>
        <v>0.28013876843018209</v>
      </c>
      <c r="AC16" s="5">
        <f t="shared" si="14"/>
        <v>0.19398670135877422</v>
      </c>
      <c r="AD16" s="5">
        <f t="shared" si="15"/>
        <v>0</v>
      </c>
      <c r="AE16" s="7">
        <f>232.14+AJ16</f>
        <v>232.14</v>
      </c>
      <c r="AF16" s="7">
        <f t="shared" ref="AF16:AF47" si="18">AE16/B16</f>
        <v>23.213999999999999</v>
      </c>
      <c r="AG16" s="8">
        <f t="shared" si="7"/>
        <v>669.60000000164996</v>
      </c>
      <c r="AH16" s="8">
        <f t="shared" si="8"/>
        <v>10.20000000165</v>
      </c>
      <c r="AI16">
        <f>YEAR(Table1[[#This Row],[Date]])</f>
        <v>2019</v>
      </c>
      <c r="AK16">
        <v>12</v>
      </c>
      <c r="AL16" s="8">
        <f>Table1[[#This Row],[Calories]]/Table1[[#This Row],[ClassLength]]</f>
        <v>11.084128360825673</v>
      </c>
      <c r="AM16" t="str">
        <f>RIGHT(Table1[[#This Row],[Time]],2)</f>
        <v>PM</v>
      </c>
      <c r="AN16" t="str">
        <f>Table1[[#This Row],[Mon_Yr]]&amp;"-"&amp;WEEKNUM(Table1[[#This Row],[Date]],1)-WEEKNUM(DATE(YEAR(Table1[[#This Row],[Date]]),MONTH(Table1[[#This Row],[Date]]),1),1)+1</f>
        <v>6-2019-4</v>
      </c>
      <c r="AO16">
        <f>MONTH(Table1[[#This Row],[Date]])</f>
        <v>6</v>
      </c>
      <c r="AP16" s="8">
        <f>IFERROR(Table1[[#This Row],[Calories]]/Table1[[#This Row],[Splat]],0)</f>
        <v>58.090909082604959</v>
      </c>
      <c r="AQ16" s="10">
        <f>COUNTIF(Table1[Location],Table1[[#This Row],[Location]])</f>
        <v>48</v>
      </c>
      <c r="AR16" s="10">
        <f>IF(AND(Table1[[#This Row],[Calories]]&gt;=600,Table1[[#This Row],[Splat]]&gt;=12),1,0)</f>
        <v>0</v>
      </c>
      <c r="AS16" s="10">
        <f>IF(AND(Table1[[#This Row],[Calories]]&gt;=500,Table1[[#This Row],[Splat]]&gt;=12),1,0)</f>
        <v>0</v>
      </c>
      <c r="AT16" s="8">
        <f>Table1[[#This Row],[ClassLength]]/Table1[[#This Row],[Calories]]</f>
        <v>9.0219092331542475E-2</v>
      </c>
      <c r="AU1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6" s="10">
        <f>COUNTIF(Table1[Trainer],Table1[[#This Row],[Trainer]])</f>
        <v>29</v>
      </c>
      <c r="AW16" s="10" t="str">
        <f>UPPER(LEFT(TEXT(Table1[Date],"mmmm"),3))&amp;" "&amp;TEXT(Table1[Date],"yyyy")</f>
        <v>JUN 2019</v>
      </c>
      <c r="AX16" s="10">
        <f>VLOOKUP(Table1[[#This Row],[Location]],'Tab for Charts'!$A$93:$B$103,2,FALSE)</f>
        <v>38.916486999999996</v>
      </c>
      <c r="AY16" s="10">
        <f>VLOOKUP(Table1[[#This Row],[Location]],'Tab for Charts'!$A$93:$C$103,3,FALSE)</f>
        <v>-77.031514000000001</v>
      </c>
    </row>
    <row r="17" spans="1:51">
      <c r="A17">
        <f t="shared" si="17"/>
        <v>16</v>
      </c>
      <c r="B17">
        <f t="shared" si="0"/>
        <v>10</v>
      </c>
      <c r="C17" s="1">
        <v>43636</v>
      </c>
      <c r="D17" s="8">
        <f>57+8/60</f>
        <v>57.133333333333333</v>
      </c>
      <c r="E17">
        <v>10.0000000017</v>
      </c>
      <c r="F17">
        <v>663.00000000169996</v>
      </c>
      <c r="G17">
        <v>131</v>
      </c>
      <c r="H17">
        <v>172</v>
      </c>
      <c r="I17">
        <f>8+36/60</f>
        <v>8.6</v>
      </c>
      <c r="J17">
        <f>25+30/60</f>
        <v>25.5</v>
      </c>
      <c r="K17">
        <f>12+40/60</f>
        <v>12.666666666666666</v>
      </c>
      <c r="L17">
        <f>10+16/60</f>
        <v>10.266666666666667</v>
      </c>
      <c r="M17">
        <f>0+6/60</f>
        <v>0.1</v>
      </c>
      <c r="N17" t="s">
        <v>6</v>
      </c>
      <c r="O17" t="s">
        <v>7</v>
      </c>
      <c r="P17" t="s">
        <v>8</v>
      </c>
      <c r="Q17" s="34">
        <f t="shared" si="9"/>
        <v>2</v>
      </c>
      <c r="R17" t="str">
        <f t="shared" si="1"/>
        <v>Correct</v>
      </c>
      <c r="S17" t="str">
        <f t="shared" si="2"/>
        <v>6-2019</v>
      </c>
      <c r="T17" t="str">
        <f t="shared" si="3"/>
        <v>Thursday</v>
      </c>
      <c r="U17">
        <f t="shared" si="10"/>
        <v>0</v>
      </c>
      <c r="V17" s="8">
        <f>IFERROR(Table1[[#This Row],[ClassLength]]/Table1[[#This Row],[Splat]],0)</f>
        <v>5.7133333323620663</v>
      </c>
      <c r="W17">
        <f t="shared" si="4"/>
        <v>1</v>
      </c>
      <c r="X17">
        <f t="shared" si="5"/>
        <v>0</v>
      </c>
      <c r="Y17">
        <f t="shared" si="6"/>
        <v>0</v>
      </c>
      <c r="Z17" s="5">
        <f t="shared" si="11"/>
        <v>0.15052508751458576</v>
      </c>
      <c r="AA17" s="5">
        <f t="shared" si="12"/>
        <v>0.44632438739789965</v>
      </c>
      <c r="AB17" s="5">
        <f t="shared" si="13"/>
        <v>0.22170361726954491</v>
      </c>
      <c r="AC17" s="5">
        <f t="shared" si="14"/>
        <v>0.17969661610268381</v>
      </c>
      <c r="AD17" s="5">
        <f t="shared" si="15"/>
        <v>1.750291715285881E-3</v>
      </c>
      <c r="AE17" s="7">
        <f t="shared" ref="AE17:AE21" si="19">232.14+AJ17</f>
        <v>232.14</v>
      </c>
      <c r="AF17" s="7">
        <f t="shared" si="18"/>
        <v>23.213999999999999</v>
      </c>
      <c r="AG17" s="8">
        <f t="shared" si="7"/>
        <v>669.60000000164996</v>
      </c>
      <c r="AH17" s="8">
        <f t="shared" si="8"/>
        <v>10.20000000165</v>
      </c>
      <c r="AI17">
        <f>YEAR(Table1[[#This Row],[Date]])</f>
        <v>2019</v>
      </c>
      <c r="AK17">
        <v>12</v>
      </c>
      <c r="AL17" s="8">
        <f>Table1[[#This Row],[Calories]]/Table1[[#This Row],[ClassLength]]</f>
        <v>11.604434072375145</v>
      </c>
      <c r="AM17" t="str">
        <f>RIGHT(Table1[[#This Row],[Time]],2)</f>
        <v>PM</v>
      </c>
      <c r="AN17" t="str">
        <f>Table1[[#This Row],[Mon_Yr]]&amp;"-"&amp;WEEKNUM(Table1[[#This Row],[Date]],1)-WEEKNUM(DATE(YEAR(Table1[[#This Row],[Date]]),MONTH(Table1[[#This Row],[Date]]),1),1)+1</f>
        <v>6-2019-4</v>
      </c>
      <c r="AO17">
        <f>MONTH(Table1[[#This Row],[Date]])</f>
        <v>6</v>
      </c>
      <c r="AP17" s="8">
        <f>IFERROR(Table1[[#This Row],[Calories]]/Table1[[#This Row],[Splat]],0)</f>
        <v>66.299999988898989</v>
      </c>
      <c r="AQ17" s="10">
        <f>COUNTIF(Table1[Location],Table1[[#This Row],[Location]])</f>
        <v>35</v>
      </c>
      <c r="AR17" s="10">
        <f>IF(AND(Table1[[#This Row],[Calories]]&gt;=600,Table1[[#This Row],[Splat]]&gt;=12),1,0)</f>
        <v>0</v>
      </c>
      <c r="AS17" s="10">
        <f>IF(AND(Table1[[#This Row],[Calories]]&gt;=500,Table1[[#This Row],[Splat]]&gt;=12),1,0)</f>
        <v>0</v>
      </c>
      <c r="AT17" s="8">
        <f>Table1[[#This Row],[ClassLength]]/Table1[[#This Row],[Calories]]</f>
        <v>8.6173956761971107E-2</v>
      </c>
      <c r="AU1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7" s="10">
        <f>COUNTIF(Table1[Trainer],Table1[[#This Row],[Trainer]])</f>
        <v>13</v>
      </c>
      <c r="AW17" s="10" t="str">
        <f>UPPER(LEFT(TEXT(Table1[Date],"mmmm"),3))&amp;" "&amp;TEXT(Table1[Date],"yyyy")</f>
        <v>JUN 2019</v>
      </c>
      <c r="AX17" s="10">
        <f>VLOOKUP(Table1[[#This Row],[Location]],'Tab for Charts'!$A$93:$B$103,2,FALSE)</f>
        <v>38.881884999999997</v>
      </c>
      <c r="AY17" s="10">
        <f>VLOOKUP(Table1[[#This Row],[Location]],'Tab for Charts'!$A$93:$C$103,3,FALSE)</f>
        <v>-77.229702000000003</v>
      </c>
    </row>
    <row r="18" spans="1:51">
      <c r="A18">
        <f t="shared" si="17"/>
        <v>17</v>
      </c>
      <c r="B18">
        <f t="shared" si="0"/>
        <v>10</v>
      </c>
      <c r="C18" s="1">
        <v>43638</v>
      </c>
      <c r="D18" s="8">
        <f>61+56/60</f>
        <v>61.93333333333333</v>
      </c>
      <c r="E18">
        <v>9.0000000018000001</v>
      </c>
      <c r="F18">
        <v>702.0000000018</v>
      </c>
      <c r="G18">
        <v>130</v>
      </c>
      <c r="H18">
        <v>167</v>
      </c>
      <c r="I18">
        <f>12+25/60</f>
        <v>12.416666666666666</v>
      </c>
      <c r="J18">
        <f>22+48/60</f>
        <v>22.8</v>
      </c>
      <c r="K18">
        <f>18+12/60</f>
        <v>18.2</v>
      </c>
      <c r="L18">
        <f>8+31/60</f>
        <v>8.5166666666666675</v>
      </c>
      <c r="M18">
        <v>0</v>
      </c>
      <c r="N18" t="s">
        <v>21</v>
      </c>
      <c r="O18" t="s">
        <v>22</v>
      </c>
      <c r="P18" t="s">
        <v>23</v>
      </c>
      <c r="Q18" s="34">
        <f t="shared" si="9"/>
        <v>2</v>
      </c>
      <c r="R18" t="str">
        <f t="shared" si="1"/>
        <v>Correct</v>
      </c>
      <c r="S18" t="str">
        <f t="shared" si="2"/>
        <v>6-2019</v>
      </c>
      <c r="T18" t="str">
        <f t="shared" si="3"/>
        <v>Saturday</v>
      </c>
      <c r="U18">
        <f t="shared" si="10"/>
        <v>0</v>
      </c>
      <c r="V18" s="8">
        <f>IFERROR(Table1[[#This Row],[ClassLength]]/Table1[[#This Row],[Splat]],0)</f>
        <v>6.8814814801051849</v>
      </c>
      <c r="W18">
        <f t="shared" si="4"/>
        <v>1</v>
      </c>
      <c r="X18">
        <f t="shared" si="5"/>
        <v>0</v>
      </c>
      <c r="Y18">
        <f t="shared" si="6"/>
        <v>0</v>
      </c>
      <c r="Z18" s="5">
        <f t="shared" si="11"/>
        <v>0.20048439181916039</v>
      </c>
      <c r="AA18" s="5">
        <f t="shared" si="12"/>
        <v>0.36813778256189456</v>
      </c>
      <c r="AB18" s="5">
        <f t="shared" si="13"/>
        <v>0.29386437029063511</v>
      </c>
      <c r="AC18" s="5">
        <f t="shared" si="14"/>
        <v>0.13751345532831002</v>
      </c>
      <c r="AD18" s="5">
        <f t="shared" si="15"/>
        <v>0</v>
      </c>
      <c r="AE18" s="7">
        <f t="shared" si="19"/>
        <v>232.14</v>
      </c>
      <c r="AF18" s="7">
        <f t="shared" si="18"/>
        <v>23.213999999999999</v>
      </c>
      <c r="AG18" s="8">
        <f t="shared" si="7"/>
        <v>669.60000000164996</v>
      </c>
      <c r="AH18" s="8">
        <f t="shared" si="8"/>
        <v>10.20000000165</v>
      </c>
      <c r="AI18">
        <f>YEAR(Table1[[#This Row],[Date]])</f>
        <v>2019</v>
      </c>
      <c r="AK18">
        <v>12</v>
      </c>
      <c r="AL18" s="8">
        <f>Table1[[#This Row],[Calories]]/Table1[[#This Row],[ClassLength]]</f>
        <v>11.334768568382133</v>
      </c>
      <c r="AM18" t="str">
        <f>RIGHT(Table1[[#This Row],[Time]],2)</f>
        <v>AM</v>
      </c>
      <c r="AN18" t="str">
        <f>Table1[[#This Row],[Mon_Yr]]&amp;"-"&amp;WEEKNUM(Table1[[#This Row],[Date]],1)-WEEKNUM(DATE(YEAR(Table1[[#This Row],[Date]]),MONTH(Table1[[#This Row],[Date]]),1),1)+1</f>
        <v>6-2019-4</v>
      </c>
      <c r="AO18">
        <f>MONTH(Table1[[#This Row],[Date]])</f>
        <v>6</v>
      </c>
      <c r="AP18" s="8">
        <f>IFERROR(Table1[[#This Row],[Calories]]/Table1[[#This Row],[Splat]],0)</f>
        <v>77.999999984599995</v>
      </c>
      <c r="AQ18" s="10">
        <f>COUNTIF(Table1[Location],Table1[[#This Row],[Location]])</f>
        <v>37</v>
      </c>
      <c r="AR18" s="10">
        <f>IF(AND(Table1[[#This Row],[Calories]]&gt;=600,Table1[[#This Row],[Splat]]&gt;=12),1,0)</f>
        <v>0</v>
      </c>
      <c r="AS18" s="10">
        <f>IF(AND(Table1[[#This Row],[Calories]]&gt;=500,Table1[[#This Row],[Splat]]&gt;=12),1,0)</f>
        <v>0</v>
      </c>
      <c r="AT18" s="8">
        <f>Table1[[#This Row],[ClassLength]]/Table1[[#This Row],[Calories]]</f>
        <v>8.8224121557228669E-2</v>
      </c>
      <c r="AU1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8" s="10">
        <f>COUNTIF(Table1[Trainer],Table1[[#This Row],[Trainer]])</f>
        <v>20</v>
      </c>
      <c r="AW18" s="10" t="str">
        <f>UPPER(LEFT(TEXT(Table1[Date],"mmmm"),3))&amp;" "&amp;TEXT(Table1[Date],"yyyy")</f>
        <v>JUN 2019</v>
      </c>
      <c r="AX18" s="10">
        <f>VLOOKUP(Table1[[#This Row],[Location]],'Tab for Charts'!$A$93:$B$103,2,FALSE)</f>
        <v>38.903509999999997</v>
      </c>
      <c r="AY18" s="10">
        <f>VLOOKUP(Table1[[#This Row],[Location]],'Tab for Charts'!$A$93:$C$103,3,FALSE)</f>
        <v>-77.051809000000006</v>
      </c>
    </row>
    <row r="19" spans="1:51">
      <c r="A19">
        <f t="shared" si="17"/>
        <v>18</v>
      </c>
      <c r="B19">
        <f t="shared" si="0"/>
        <v>10</v>
      </c>
      <c r="C19" s="1">
        <v>43641</v>
      </c>
      <c r="D19" s="8">
        <f>60+33/60</f>
        <v>60.55</v>
      </c>
      <c r="E19">
        <v>8.0000000019000002</v>
      </c>
      <c r="F19">
        <v>681.00000000190005</v>
      </c>
      <c r="G19">
        <v>129</v>
      </c>
      <c r="H19">
        <v>173</v>
      </c>
      <c r="I19">
        <f>17+25/60</f>
        <v>17.416666666666668</v>
      </c>
      <c r="J19">
        <f>16+50/60</f>
        <v>16.833333333333332</v>
      </c>
      <c r="K19">
        <f>17+31/60</f>
        <v>17.516666666666666</v>
      </c>
      <c r="L19">
        <f>8+19/60</f>
        <v>8.3166666666666664</v>
      </c>
      <c r="M19">
        <f>0+28/60</f>
        <v>0.46666666666666667</v>
      </c>
      <c r="N19" t="s">
        <v>15</v>
      </c>
      <c r="O19" t="s">
        <v>20</v>
      </c>
      <c r="P19" t="s">
        <v>17</v>
      </c>
      <c r="Q19" s="34">
        <f t="shared" si="9"/>
        <v>3</v>
      </c>
      <c r="R19" t="str">
        <f t="shared" si="1"/>
        <v>Loss</v>
      </c>
      <c r="S19" t="str">
        <f t="shared" si="2"/>
        <v>6-2019</v>
      </c>
      <c r="T19" t="str">
        <f t="shared" si="3"/>
        <v>Tuesday</v>
      </c>
      <c r="U19">
        <f t="shared" si="10"/>
        <v>0</v>
      </c>
      <c r="V19" s="8">
        <f>IFERROR(Table1[[#This Row],[ClassLength]]/Table1[[#This Row],[Splat]],0)</f>
        <v>7.5687499982024216</v>
      </c>
      <c r="W19">
        <f t="shared" si="4"/>
        <v>0</v>
      </c>
      <c r="X19">
        <f t="shared" si="5"/>
        <v>0</v>
      </c>
      <c r="Y19">
        <f t="shared" si="6"/>
        <v>1</v>
      </c>
      <c r="Z19" s="5">
        <f t="shared" si="11"/>
        <v>0.28764106798788885</v>
      </c>
      <c r="AA19" s="5">
        <f t="shared" si="12"/>
        <v>0.27800715661987335</v>
      </c>
      <c r="AB19" s="5">
        <f t="shared" si="13"/>
        <v>0.28929259565097715</v>
      </c>
      <c r="AC19" s="5">
        <f t="shared" si="14"/>
        <v>0.13735205064684833</v>
      </c>
      <c r="AD19" s="5">
        <f t="shared" si="15"/>
        <v>7.7071290944123322E-3</v>
      </c>
      <c r="AE19" s="7">
        <f t="shared" si="19"/>
        <v>232.14</v>
      </c>
      <c r="AF19" s="7">
        <f t="shared" si="18"/>
        <v>23.213999999999999</v>
      </c>
      <c r="AG19" s="8">
        <f t="shared" si="7"/>
        <v>669.60000000164996</v>
      </c>
      <c r="AH19" s="8">
        <f t="shared" si="8"/>
        <v>10.20000000165</v>
      </c>
      <c r="AI19">
        <f>YEAR(Table1[[#This Row],[Date]])</f>
        <v>2019</v>
      </c>
      <c r="AK19">
        <v>12</v>
      </c>
      <c r="AL19" s="8">
        <f>Table1[[#This Row],[Calories]]/Table1[[#This Row],[ClassLength]]</f>
        <v>11.24690338566309</v>
      </c>
      <c r="AM19" t="str">
        <f>RIGHT(Table1[[#This Row],[Time]],2)</f>
        <v>PM</v>
      </c>
      <c r="AN19" t="str">
        <f>Table1[[#This Row],[Mon_Yr]]&amp;"-"&amp;WEEKNUM(Table1[[#This Row],[Date]],1)-WEEKNUM(DATE(YEAR(Table1[[#This Row],[Date]]),MONTH(Table1[[#This Row],[Date]]),1),1)+1</f>
        <v>6-2019-5</v>
      </c>
      <c r="AO19">
        <f>MONTH(Table1[[#This Row],[Date]])</f>
        <v>6</v>
      </c>
      <c r="AP19" s="8">
        <f>IFERROR(Table1[[#This Row],[Calories]]/Table1[[#This Row],[Splat]],0)</f>
        <v>85.12499998002032</v>
      </c>
      <c r="AQ19" s="10">
        <f>COUNTIF(Table1[Location],Table1[[#This Row],[Location]])</f>
        <v>48</v>
      </c>
      <c r="AR19" s="10">
        <f>IF(AND(Table1[[#This Row],[Calories]]&gt;=600,Table1[[#This Row],[Splat]]&gt;=12),1,0)</f>
        <v>0</v>
      </c>
      <c r="AS19" s="10">
        <f>IF(AND(Table1[[#This Row],[Calories]]&gt;=500,Table1[[#This Row],[Splat]]&gt;=12),1,0)</f>
        <v>0</v>
      </c>
      <c r="AT19" s="8">
        <f>Table1[[#This Row],[ClassLength]]/Table1[[#This Row],[Calories]]</f>
        <v>8.8913362701660878E-2</v>
      </c>
      <c r="AU1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9" s="10">
        <f>COUNTIF(Table1[Trainer],Table1[[#This Row],[Trainer]])</f>
        <v>29</v>
      </c>
      <c r="AW19" s="10" t="str">
        <f>UPPER(LEFT(TEXT(Table1[Date],"mmmm"),3))&amp;" "&amp;TEXT(Table1[Date],"yyyy")</f>
        <v>JUN 2019</v>
      </c>
      <c r="AX19" s="10">
        <f>VLOOKUP(Table1[[#This Row],[Location]],'Tab for Charts'!$A$93:$B$103,2,FALSE)</f>
        <v>38.916486999999996</v>
      </c>
      <c r="AY19" s="10">
        <f>VLOOKUP(Table1[[#This Row],[Location]],'Tab for Charts'!$A$93:$C$103,3,FALSE)</f>
        <v>-77.031514000000001</v>
      </c>
    </row>
    <row r="20" spans="1:51">
      <c r="A20">
        <f t="shared" si="17"/>
        <v>19</v>
      </c>
      <c r="B20">
        <f t="shared" si="0"/>
        <v>10</v>
      </c>
      <c r="C20" s="1">
        <v>43643</v>
      </c>
      <c r="D20" s="8">
        <v>56</v>
      </c>
      <c r="E20">
        <v>10.000000002</v>
      </c>
      <c r="F20">
        <v>684.00000000199998</v>
      </c>
      <c r="G20">
        <v>135</v>
      </c>
      <c r="H20">
        <v>170</v>
      </c>
      <c r="I20">
        <f>6+22/60</f>
        <v>6.3666666666666663</v>
      </c>
      <c r="J20">
        <f>19+27/60</f>
        <v>19.45</v>
      </c>
      <c r="K20">
        <f>20+26/60</f>
        <v>20.433333333333334</v>
      </c>
      <c r="L20">
        <f>9+45/60</f>
        <v>9.75</v>
      </c>
      <c r="M20">
        <v>0</v>
      </c>
      <c r="N20" t="s">
        <v>6</v>
      </c>
      <c r="O20" t="s">
        <v>7</v>
      </c>
      <c r="P20" t="s">
        <v>8</v>
      </c>
      <c r="Q20" s="34">
        <f t="shared" si="9"/>
        <v>2</v>
      </c>
      <c r="R20" t="str">
        <f t="shared" si="1"/>
        <v>Correct</v>
      </c>
      <c r="S20" t="str">
        <f t="shared" si="2"/>
        <v>6-2019</v>
      </c>
      <c r="T20" t="str">
        <f t="shared" si="3"/>
        <v>Thursday</v>
      </c>
      <c r="U20">
        <f t="shared" si="10"/>
        <v>0</v>
      </c>
      <c r="V20" s="8">
        <f>IFERROR(Table1[[#This Row],[ClassLength]]/Table1[[#This Row],[Splat]],0)</f>
        <v>5.5999999988799996</v>
      </c>
      <c r="W20">
        <f t="shared" si="4"/>
        <v>1</v>
      </c>
      <c r="X20">
        <f t="shared" si="5"/>
        <v>0</v>
      </c>
      <c r="Y20">
        <f t="shared" si="6"/>
        <v>0</v>
      </c>
      <c r="Z20" s="5">
        <f t="shared" si="11"/>
        <v>0.11369047619047619</v>
      </c>
      <c r="AA20" s="5">
        <f t="shared" si="12"/>
        <v>0.34732142857142856</v>
      </c>
      <c r="AB20" s="5">
        <f t="shared" si="13"/>
        <v>0.36488095238095236</v>
      </c>
      <c r="AC20" s="5">
        <f t="shared" si="14"/>
        <v>0.17410714285714285</v>
      </c>
      <c r="AD20" s="5">
        <f t="shared" si="15"/>
        <v>0</v>
      </c>
      <c r="AE20" s="7">
        <f t="shared" si="19"/>
        <v>232.14</v>
      </c>
      <c r="AF20" s="7">
        <f t="shared" si="18"/>
        <v>23.213999999999999</v>
      </c>
      <c r="AG20" s="8">
        <f t="shared" si="7"/>
        <v>669.60000000164996</v>
      </c>
      <c r="AH20" s="8">
        <f t="shared" si="8"/>
        <v>10.20000000165</v>
      </c>
      <c r="AI20">
        <f>YEAR(Table1[[#This Row],[Date]])</f>
        <v>2019</v>
      </c>
      <c r="AK20">
        <v>12</v>
      </c>
      <c r="AL20" s="8">
        <f>Table1[[#This Row],[Calories]]/Table1[[#This Row],[ClassLength]]</f>
        <v>12.214285714321429</v>
      </c>
      <c r="AM20" t="str">
        <f>RIGHT(Table1[[#This Row],[Time]],2)</f>
        <v>PM</v>
      </c>
      <c r="AN20" t="str">
        <f>Table1[[#This Row],[Mon_Yr]]&amp;"-"&amp;WEEKNUM(Table1[[#This Row],[Date]],1)-WEEKNUM(DATE(YEAR(Table1[[#This Row],[Date]]),MONTH(Table1[[#This Row],[Date]]),1),1)+1</f>
        <v>6-2019-5</v>
      </c>
      <c r="AO20">
        <f>MONTH(Table1[[#This Row],[Date]])</f>
        <v>6</v>
      </c>
      <c r="AP20" s="8">
        <f>IFERROR(Table1[[#This Row],[Calories]]/Table1[[#This Row],[Splat]],0)</f>
        <v>68.399999986520001</v>
      </c>
      <c r="AQ20" s="10">
        <f>COUNTIF(Table1[Location],Table1[[#This Row],[Location]])</f>
        <v>35</v>
      </c>
      <c r="AR20" s="10">
        <f>IF(AND(Table1[[#This Row],[Calories]]&gt;=600,Table1[[#This Row],[Splat]]&gt;=12),1,0)</f>
        <v>0</v>
      </c>
      <c r="AS20" s="10">
        <f>IF(AND(Table1[[#This Row],[Calories]]&gt;=500,Table1[[#This Row],[Splat]]&gt;=12),1,0)</f>
        <v>0</v>
      </c>
      <c r="AT20" s="8">
        <f>Table1[[#This Row],[ClassLength]]/Table1[[#This Row],[Calories]]</f>
        <v>8.1871345029000384E-2</v>
      </c>
      <c r="AU2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20" s="10">
        <f>COUNTIF(Table1[Trainer],Table1[[#This Row],[Trainer]])</f>
        <v>13</v>
      </c>
      <c r="AW20" s="10" t="str">
        <f>UPPER(LEFT(TEXT(Table1[Date],"mmmm"),3))&amp;" "&amp;TEXT(Table1[Date],"yyyy")</f>
        <v>JUN 2019</v>
      </c>
      <c r="AX20" s="10">
        <f>VLOOKUP(Table1[[#This Row],[Location]],'Tab for Charts'!$A$93:$B$103,2,FALSE)</f>
        <v>38.881884999999997</v>
      </c>
      <c r="AY20" s="10">
        <f>VLOOKUP(Table1[[#This Row],[Location]],'Tab for Charts'!$A$93:$C$103,3,FALSE)</f>
        <v>-77.229702000000003</v>
      </c>
    </row>
    <row r="21" spans="1:51">
      <c r="A21">
        <f t="shared" si="17"/>
        <v>20</v>
      </c>
      <c r="B21">
        <f t="shared" si="0"/>
        <v>10</v>
      </c>
      <c r="C21" s="1">
        <v>43645</v>
      </c>
      <c r="D21" s="8">
        <f>55+50/60</f>
        <v>55.833333333333336</v>
      </c>
      <c r="E21">
        <v>9.0000000021000002</v>
      </c>
      <c r="F21">
        <v>661.00000000210002</v>
      </c>
      <c r="G21">
        <v>133</v>
      </c>
      <c r="H21">
        <v>170</v>
      </c>
      <c r="I21">
        <f>8+23/60</f>
        <v>8.3833333333333329</v>
      </c>
      <c r="J21">
        <f>19+16/60</f>
        <v>19.266666666666666</v>
      </c>
      <c r="K21">
        <f>19+32/60</f>
        <v>19.533333333333335</v>
      </c>
      <c r="L21">
        <f>8+39/60</f>
        <v>8.65</v>
      </c>
      <c r="M21">
        <v>0</v>
      </c>
      <c r="N21" t="s">
        <v>15</v>
      </c>
      <c r="O21" t="s">
        <v>24</v>
      </c>
      <c r="P21" t="s">
        <v>17</v>
      </c>
      <c r="Q21" s="34">
        <f t="shared" si="9"/>
        <v>2</v>
      </c>
      <c r="R21" t="str">
        <f t="shared" si="1"/>
        <v>Correct</v>
      </c>
      <c r="S21" t="str">
        <f t="shared" si="2"/>
        <v>6-2019</v>
      </c>
      <c r="T21" t="str">
        <f t="shared" si="3"/>
        <v>Saturday</v>
      </c>
      <c r="U21">
        <f t="shared" si="10"/>
        <v>0</v>
      </c>
      <c r="V21" s="8">
        <f>IFERROR(Table1[[#This Row],[ClassLength]]/Table1[[#This Row],[Splat]],0)</f>
        <v>6.2037037022561732</v>
      </c>
      <c r="W21">
        <f t="shared" si="4"/>
        <v>1</v>
      </c>
      <c r="X21">
        <f t="shared" si="5"/>
        <v>0</v>
      </c>
      <c r="Y21">
        <f t="shared" si="6"/>
        <v>0</v>
      </c>
      <c r="Z21" s="5">
        <f t="shared" si="11"/>
        <v>0.15014925373134327</v>
      </c>
      <c r="AA21" s="5">
        <f t="shared" si="12"/>
        <v>0.34507462686567159</v>
      </c>
      <c r="AB21" s="5">
        <f t="shared" si="13"/>
        <v>0.34985074626865675</v>
      </c>
      <c r="AC21" s="5">
        <f t="shared" si="14"/>
        <v>0.15492537313432836</v>
      </c>
      <c r="AD21" s="5">
        <f t="shared" si="15"/>
        <v>0</v>
      </c>
      <c r="AE21" s="7">
        <f t="shared" si="19"/>
        <v>232.14</v>
      </c>
      <c r="AF21" s="7">
        <f t="shared" si="18"/>
        <v>23.213999999999999</v>
      </c>
      <c r="AG21" s="8">
        <f t="shared" si="7"/>
        <v>669.60000000164996</v>
      </c>
      <c r="AH21" s="8">
        <f t="shared" si="8"/>
        <v>10.20000000165</v>
      </c>
      <c r="AI21">
        <f>YEAR(Table1[[#This Row],[Date]])</f>
        <v>2019</v>
      </c>
      <c r="AK21">
        <v>12</v>
      </c>
      <c r="AL21" s="8">
        <f>Table1[[#This Row],[Calories]]/Table1[[#This Row],[ClassLength]]</f>
        <v>11.838805970186865</v>
      </c>
      <c r="AM21" t="str">
        <f>RIGHT(Table1[[#This Row],[Time]],2)</f>
        <v>AM</v>
      </c>
      <c r="AN21" t="str">
        <f>Table1[[#This Row],[Mon_Yr]]&amp;"-"&amp;WEEKNUM(Table1[[#This Row],[Date]],1)-WEEKNUM(DATE(YEAR(Table1[[#This Row],[Date]]),MONTH(Table1[[#This Row],[Date]]),1),1)+1</f>
        <v>6-2019-5</v>
      </c>
      <c r="AO21">
        <f>MONTH(Table1[[#This Row],[Date]])</f>
        <v>6</v>
      </c>
      <c r="AP21" s="8">
        <f>IFERROR(Table1[[#This Row],[Calories]]/Table1[[#This Row],[Splat]],0)</f>
        <v>73.444444427540745</v>
      </c>
      <c r="AQ21" s="10">
        <f>COUNTIF(Table1[Location],Table1[[#This Row],[Location]])</f>
        <v>48</v>
      </c>
      <c r="AR21" s="10">
        <f>IF(AND(Table1[[#This Row],[Calories]]&gt;=600,Table1[[#This Row],[Splat]]&gt;=12),1,0)</f>
        <v>0</v>
      </c>
      <c r="AS21" s="10">
        <f>IF(AND(Table1[[#This Row],[Calories]]&gt;=500,Table1[[#This Row],[Splat]]&gt;=12),1,0)</f>
        <v>0</v>
      </c>
      <c r="AT21" s="8">
        <f>Table1[[#This Row],[ClassLength]]/Table1[[#This Row],[Calories]]</f>
        <v>8.4467977811128525E-2</v>
      </c>
      <c r="AU2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21" s="10">
        <f>COUNTIF(Table1[Trainer],Table1[[#This Row],[Trainer]])</f>
        <v>29</v>
      </c>
      <c r="AW21" s="10" t="str">
        <f>UPPER(LEFT(TEXT(Table1[Date],"mmmm"),3))&amp;" "&amp;TEXT(Table1[Date],"yyyy")</f>
        <v>JUN 2019</v>
      </c>
      <c r="AX21" s="10">
        <f>VLOOKUP(Table1[[#This Row],[Location]],'Tab for Charts'!$A$93:$B$103,2,FALSE)</f>
        <v>38.916486999999996</v>
      </c>
      <c r="AY21" s="10">
        <f>VLOOKUP(Table1[[#This Row],[Location]],'Tab for Charts'!$A$93:$C$103,3,FALSE)</f>
        <v>-77.031514000000001</v>
      </c>
    </row>
    <row r="22" spans="1:51">
      <c r="A22">
        <f t="shared" si="17"/>
        <v>21</v>
      </c>
      <c r="B22">
        <f t="shared" si="0"/>
        <v>11</v>
      </c>
      <c r="C22" s="1">
        <v>43648</v>
      </c>
      <c r="D22" s="8">
        <f>SUM(I22:M22)</f>
        <v>56.35</v>
      </c>
      <c r="E22">
        <v>17.0000000022</v>
      </c>
      <c r="F22">
        <v>650.00000000219995</v>
      </c>
      <c r="G22">
        <v>132</v>
      </c>
      <c r="H22">
        <v>171</v>
      </c>
      <c r="I22">
        <f>8+6/60</f>
        <v>8.1</v>
      </c>
      <c r="J22">
        <f>16+23/30</f>
        <v>16.766666666666666</v>
      </c>
      <c r="K22">
        <f>14+54/60</f>
        <v>14.9</v>
      </c>
      <c r="L22">
        <f>8+56/60</f>
        <v>8.9333333333333336</v>
      </c>
      <c r="M22">
        <f>7+39/60</f>
        <v>7.65</v>
      </c>
      <c r="N22" t="s">
        <v>15</v>
      </c>
      <c r="O22" t="s">
        <v>20</v>
      </c>
      <c r="P22" t="s">
        <v>17</v>
      </c>
      <c r="Q22" s="34">
        <f t="shared" si="9"/>
        <v>3</v>
      </c>
      <c r="R22" t="str">
        <f t="shared" si="1"/>
        <v>Correct</v>
      </c>
      <c r="S22" t="str">
        <f t="shared" si="2"/>
        <v>7-2019</v>
      </c>
      <c r="T22" t="str">
        <f t="shared" si="3"/>
        <v>Tuesday</v>
      </c>
      <c r="U22">
        <f t="shared" si="10"/>
        <v>1</v>
      </c>
      <c r="V22" s="8">
        <f>IFERROR(Table1[[#This Row],[ClassLength]]/Table1[[#This Row],[Splat]],0)</f>
        <v>3.3147058819239792</v>
      </c>
      <c r="W22">
        <f t="shared" si="4"/>
        <v>1</v>
      </c>
      <c r="X22">
        <f t="shared" si="5"/>
        <v>0</v>
      </c>
      <c r="Y22">
        <f t="shared" si="6"/>
        <v>0</v>
      </c>
      <c r="Z22" s="5">
        <f t="shared" si="11"/>
        <v>0.1437444543034605</v>
      </c>
      <c r="AA22" s="5">
        <f t="shared" si="12"/>
        <v>0.2975451049985211</v>
      </c>
      <c r="AB22" s="5">
        <f t="shared" si="13"/>
        <v>0.26441881100266196</v>
      </c>
      <c r="AC22" s="5">
        <f t="shared" si="14"/>
        <v>0.1585329784087548</v>
      </c>
      <c r="AD22" s="5">
        <f t="shared" si="15"/>
        <v>0.13575865128660161</v>
      </c>
      <c r="AE22" s="7">
        <f>232.14+SUMIFS(Table1[ExtraExpenses],Table1[Mon_Yr],Table1[[#This Row],[Mon_Yr]])</f>
        <v>232.14</v>
      </c>
      <c r="AF22" s="7">
        <f t="shared" si="18"/>
        <v>21.103636363636362</v>
      </c>
      <c r="AG22" s="8">
        <f t="shared" si="7"/>
        <v>649.63636363906346</v>
      </c>
      <c r="AH22" s="8">
        <f t="shared" si="8"/>
        <v>15.636363639063637</v>
      </c>
      <c r="AI22">
        <f>YEAR(Table1[[#This Row],[Date]])</f>
        <v>2019</v>
      </c>
      <c r="AK22">
        <v>12</v>
      </c>
      <c r="AL22" s="8">
        <f>Table1[[#This Row],[Calories]]/Table1[[#This Row],[ClassLength]]</f>
        <v>11.535048802168587</v>
      </c>
      <c r="AM22" t="str">
        <f>RIGHT(Table1[[#This Row],[Time]],2)</f>
        <v>PM</v>
      </c>
      <c r="AN22" t="str">
        <f>Table1[[#This Row],[Mon_Yr]]&amp;"-"&amp;WEEKNUM(Table1[[#This Row],[Date]],1)-WEEKNUM(DATE(YEAR(Table1[[#This Row],[Date]]),MONTH(Table1[[#This Row],[Date]]),1),1)+1</f>
        <v>7-2019-1</v>
      </c>
      <c r="AO22">
        <f>MONTH(Table1[[#This Row],[Date]])</f>
        <v>7</v>
      </c>
      <c r="AP22" s="8">
        <f>IFERROR(Table1[[#This Row],[Calories]]/Table1[[#This Row],[Splat]],0)</f>
        <v>38.23529411282837</v>
      </c>
      <c r="AQ22" s="10">
        <f>COUNTIF(Table1[Location],Table1[[#This Row],[Location]])</f>
        <v>48</v>
      </c>
      <c r="AR22" s="10">
        <f>IF(AND(Table1[[#This Row],[Calories]]&gt;=600,Table1[[#This Row],[Splat]]&gt;=12),1,0)</f>
        <v>1</v>
      </c>
      <c r="AS22" s="10">
        <f>IF(AND(Table1[[#This Row],[Calories]]&gt;=500,Table1[[#This Row],[Splat]]&gt;=12),1,0)</f>
        <v>1</v>
      </c>
      <c r="AT22" s="8">
        <f>Table1[[#This Row],[ClassLength]]/Table1[[#This Row],[Calories]]</f>
        <v>8.6692307692014275E-2</v>
      </c>
      <c r="AU2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22" s="10">
        <f>COUNTIF(Table1[Trainer],Table1[[#This Row],[Trainer]])</f>
        <v>29</v>
      </c>
      <c r="AW22" s="10" t="str">
        <f>UPPER(LEFT(TEXT(Table1[Date],"mmmm"),3))&amp;" "&amp;TEXT(Table1[Date],"yyyy")</f>
        <v>JUL 2019</v>
      </c>
      <c r="AX22" s="10">
        <f>VLOOKUP(Table1[[#This Row],[Location]],'Tab for Charts'!$A$93:$B$103,2,FALSE)</f>
        <v>38.916486999999996</v>
      </c>
      <c r="AY22" s="10">
        <f>VLOOKUP(Table1[[#This Row],[Location]],'Tab for Charts'!$A$93:$C$103,3,FALSE)</f>
        <v>-77.031514000000001</v>
      </c>
    </row>
    <row r="23" spans="1:51">
      <c r="A23">
        <f t="shared" si="17"/>
        <v>22</v>
      </c>
      <c r="B23">
        <f t="shared" si="0"/>
        <v>11</v>
      </c>
      <c r="C23" s="1">
        <v>43649</v>
      </c>
      <c r="D23" s="8">
        <f>62+17/60</f>
        <v>62.283333333333331</v>
      </c>
      <c r="E23">
        <v>12.0000000023</v>
      </c>
      <c r="F23">
        <v>701.0000000023</v>
      </c>
      <c r="G23">
        <v>129</v>
      </c>
      <c r="H23">
        <v>165</v>
      </c>
      <c r="I23">
        <f>10+39/60</f>
        <v>10.65</v>
      </c>
      <c r="J23">
        <f>15+13/60</f>
        <v>15.216666666666667</v>
      </c>
      <c r="K23">
        <f>23+49/60</f>
        <v>23.816666666666666</v>
      </c>
      <c r="L23">
        <f>11+21/60</f>
        <v>11.35</v>
      </c>
      <c r="M23">
        <f>1+15/60</f>
        <v>1.25</v>
      </c>
      <c r="N23" t="s">
        <v>15</v>
      </c>
      <c r="O23" t="s">
        <v>20</v>
      </c>
      <c r="P23" t="s">
        <v>25</v>
      </c>
      <c r="Q23" s="34">
        <f t="shared" si="9"/>
        <v>1</v>
      </c>
      <c r="R23" t="str">
        <f t="shared" si="1"/>
        <v>Loss</v>
      </c>
      <c r="S23" t="str">
        <f t="shared" si="2"/>
        <v>7-2019</v>
      </c>
      <c r="T23" t="str">
        <f t="shared" si="3"/>
        <v>Wednesday</v>
      </c>
      <c r="U23">
        <f t="shared" si="10"/>
        <v>1</v>
      </c>
      <c r="V23" s="8">
        <f>IFERROR(Table1[[#This Row],[ClassLength]]/Table1[[#This Row],[Splat]],0)</f>
        <v>5.190277776782974</v>
      </c>
      <c r="W23">
        <f t="shared" si="4"/>
        <v>0</v>
      </c>
      <c r="X23">
        <f t="shared" si="5"/>
        <v>0</v>
      </c>
      <c r="Y23">
        <f t="shared" si="6"/>
        <v>1</v>
      </c>
      <c r="Z23" s="5">
        <f t="shared" si="11"/>
        <v>0.170992774953171</v>
      </c>
      <c r="AA23" s="5">
        <f t="shared" si="12"/>
        <v>0.24431362055124431</v>
      </c>
      <c r="AB23" s="5">
        <f t="shared" si="13"/>
        <v>0.38239229328338242</v>
      </c>
      <c r="AC23" s="5">
        <f t="shared" si="14"/>
        <v>0.18223173668718223</v>
      </c>
      <c r="AD23" s="5">
        <f t="shared" si="15"/>
        <v>2.0069574525020069E-2</v>
      </c>
      <c r="AE23" s="7">
        <f>232.14+SUMIFS(Table1[ExtraExpenses],Table1[Mon_Yr],Table1[[#This Row],[Mon_Yr]])</f>
        <v>232.14</v>
      </c>
      <c r="AF23" s="7">
        <f t="shared" si="18"/>
        <v>21.103636363636362</v>
      </c>
      <c r="AG23" s="8">
        <f t="shared" si="7"/>
        <v>649.63636363906346</v>
      </c>
      <c r="AH23" s="8">
        <f t="shared" si="8"/>
        <v>15.636363639063637</v>
      </c>
      <c r="AI23">
        <f>YEAR(Table1[[#This Row],[Date]])</f>
        <v>2019</v>
      </c>
      <c r="AK23">
        <v>12</v>
      </c>
      <c r="AL23" s="8">
        <f>Table1[[#This Row],[Calories]]/Table1[[#This Row],[ClassLength]]</f>
        <v>11.255017393668183</v>
      </c>
      <c r="AM23" t="str">
        <f>RIGHT(Table1[[#This Row],[Time]],2)</f>
        <v>PM</v>
      </c>
      <c r="AN23" t="str">
        <f>Table1[[#This Row],[Mon_Yr]]&amp;"-"&amp;WEEKNUM(Table1[[#This Row],[Date]],1)-WEEKNUM(DATE(YEAR(Table1[[#This Row],[Date]]),MONTH(Table1[[#This Row],[Date]]),1),1)+1</f>
        <v>7-2019-1</v>
      </c>
      <c r="AO23">
        <f>MONTH(Table1[[#This Row],[Date]])</f>
        <v>7</v>
      </c>
      <c r="AP23" s="8">
        <f>IFERROR(Table1[[#This Row],[Calories]]/Table1[[#This Row],[Splat]],0)</f>
        <v>58.416666655661807</v>
      </c>
      <c r="AQ23" s="10">
        <f>COUNTIF(Table1[Location],Table1[[#This Row],[Location]])</f>
        <v>48</v>
      </c>
      <c r="AR23" s="10">
        <f>IF(AND(Table1[[#This Row],[Calories]]&gt;=600,Table1[[#This Row],[Splat]]&gt;=12),1,0)</f>
        <v>1</v>
      </c>
      <c r="AS23" s="10">
        <f>IF(AND(Table1[[#This Row],[Calories]]&gt;=500,Table1[[#This Row],[Splat]]&gt;=12),1,0)</f>
        <v>1</v>
      </c>
      <c r="AT23" s="8">
        <f>Table1[[#This Row],[ClassLength]]/Table1[[#This Row],[Calories]]</f>
        <v>8.8849262957387987E-2</v>
      </c>
      <c r="AU2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23" s="10">
        <f>COUNTIF(Table1[Trainer],Table1[[#This Row],[Trainer]])</f>
        <v>1</v>
      </c>
      <c r="AW23" s="10" t="str">
        <f>UPPER(LEFT(TEXT(Table1[Date],"mmmm"),3))&amp;" "&amp;TEXT(Table1[Date],"yyyy")</f>
        <v>JUL 2019</v>
      </c>
      <c r="AX23" s="10">
        <f>VLOOKUP(Table1[[#This Row],[Location]],'Tab for Charts'!$A$93:$B$103,2,FALSE)</f>
        <v>38.916486999999996</v>
      </c>
      <c r="AY23" s="10">
        <f>VLOOKUP(Table1[[#This Row],[Location]],'Tab for Charts'!$A$93:$C$103,3,FALSE)</f>
        <v>-77.031514000000001</v>
      </c>
    </row>
    <row r="24" spans="1:51">
      <c r="A24">
        <f>A23+1</f>
        <v>23</v>
      </c>
      <c r="B24">
        <f t="shared" si="0"/>
        <v>11</v>
      </c>
      <c r="C24" s="1">
        <v>43654</v>
      </c>
      <c r="D24" s="8">
        <f>59+35/60</f>
        <v>59.583333333333336</v>
      </c>
      <c r="E24">
        <v>20.0000000024</v>
      </c>
      <c r="F24">
        <v>639.00000000240004</v>
      </c>
      <c r="G24">
        <v>126</v>
      </c>
      <c r="H24">
        <v>171</v>
      </c>
      <c r="I24">
        <f>20+9/60</f>
        <v>20.149999999999999</v>
      </c>
      <c r="J24">
        <f>11+40/60</f>
        <v>11.666666666666666</v>
      </c>
      <c r="K24">
        <f>8+1/60</f>
        <v>8.0166666666666675</v>
      </c>
      <c r="L24">
        <f>13+34/60</f>
        <v>13.566666666666666</v>
      </c>
      <c r="M24">
        <f>6+11/60</f>
        <v>6.1833333333333336</v>
      </c>
      <c r="N24" t="s">
        <v>21</v>
      </c>
      <c r="O24" t="s">
        <v>7</v>
      </c>
      <c r="P24" t="s">
        <v>23</v>
      </c>
      <c r="Q24" s="34">
        <f t="shared" si="9"/>
        <v>5</v>
      </c>
      <c r="R24" t="str">
        <f t="shared" si="1"/>
        <v>Correct</v>
      </c>
      <c r="S24" t="str">
        <f t="shared" si="2"/>
        <v>7-2019</v>
      </c>
      <c r="T24" t="str">
        <f t="shared" si="3"/>
        <v>Monday</v>
      </c>
      <c r="U24">
        <f t="shared" si="10"/>
        <v>1</v>
      </c>
      <c r="V24" s="8">
        <f>IFERROR(Table1[[#This Row],[ClassLength]]/Table1[[#This Row],[Splat]],0)</f>
        <v>2.9791666663091667</v>
      </c>
      <c r="W24">
        <f t="shared" si="4"/>
        <v>1</v>
      </c>
      <c r="X24">
        <f t="shared" si="5"/>
        <v>0</v>
      </c>
      <c r="Y24">
        <f t="shared" si="6"/>
        <v>0</v>
      </c>
      <c r="Z24" s="5">
        <f t="shared" si="11"/>
        <v>0.33818181818181814</v>
      </c>
      <c r="AA24" s="5">
        <f t="shared" si="12"/>
        <v>0.19580419580419578</v>
      </c>
      <c r="AB24" s="5">
        <f t="shared" si="13"/>
        <v>0.13454545454545455</v>
      </c>
      <c r="AC24" s="5">
        <f t="shared" si="14"/>
        <v>0.22769230769230767</v>
      </c>
      <c r="AD24" s="5">
        <f t="shared" si="15"/>
        <v>0.10377622377622378</v>
      </c>
      <c r="AE24" s="7">
        <f>232.14+SUMIFS(Table1[ExtraExpenses],Table1[Mon_Yr],Table1[[#This Row],[Mon_Yr]])</f>
        <v>232.14</v>
      </c>
      <c r="AF24" s="7">
        <f t="shared" si="18"/>
        <v>21.103636363636362</v>
      </c>
      <c r="AG24" s="8">
        <f t="shared" si="7"/>
        <v>649.63636363906346</v>
      </c>
      <c r="AH24" s="8">
        <f t="shared" si="8"/>
        <v>15.636363639063637</v>
      </c>
      <c r="AI24">
        <f>YEAR(Table1[[#This Row],[Date]])</f>
        <v>2019</v>
      </c>
      <c r="AK24">
        <v>12</v>
      </c>
      <c r="AL24" s="8">
        <f>Table1[[#This Row],[Calories]]/Table1[[#This Row],[ClassLength]]</f>
        <v>10.724475524515805</v>
      </c>
      <c r="AM24" t="str">
        <f>RIGHT(Table1[[#This Row],[Time]],2)</f>
        <v>PM</v>
      </c>
      <c r="AN24" t="str">
        <f>Table1[[#This Row],[Mon_Yr]]&amp;"-"&amp;WEEKNUM(Table1[[#This Row],[Date]],1)-WEEKNUM(DATE(YEAR(Table1[[#This Row],[Date]]),MONTH(Table1[[#This Row],[Date]]),1),1)+1</f>
        <v>7-2019-2</v>
      </c>
      <c r="AO24">
        <f>MONTH(Table1[[#This Row],[Date]])</f>
        <v>7</v>
      </c>
      <c r="AP24" s="8">
        <f>IFERROR(Table1[[#This Row],[Calories]]/Table1[[#This Row],[Splat]],0)</f>
        <v>31.949999996286003</v>
      </c>
      <c r="AQ24" s="10">
        <f>COUNTIF(Table1[Location],Table1[[#This Row],[Location]])</f>
        <v>37</v>
      </c>
      <c r="AR24" s="10">
        <f>IF(AND(Table1[[#This Row],[Calories]]&gt;=600,Table1[[#This Row],[Splat]]&gt;=12),1,0)</f>
        <v>1</v>
      </c>
      <c r="AS24" s="10">
        <f>IF(AND(Table1[[#This Row],[Calories]]&gt;=500,Table1[[#This Row],[Splat]]&gt;=12),1,0)</f>
        <v>1</v>
      </c>
      <c r="AT24" s="8">
        <f>Table1[[#This Row],[ClassLength]]/Table1[[#This Row],[Calories]]</f>
        <v>9.3244653103457822E-2</v>
      </c>
      <c r="AU2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24" s="10">
        <f>COUNTIF(Table1[Trainer],Table1[[#This Row],[Trainer]])</f>
        <v>20</v>
      </c>
      <c r="AW24" s="10" t="str">
        <f>UPPER(LEFT(TEXT(Table1[Date],"mmmm"),3))&amp;" "&amp;TEXT(Table1[Date],"yyyy")</f>
        <v>JUL 2019</v>
      </c>
      <c r="AX24" s="10">
        <f>VLOOKUP(Table1[[#This Row],[Location]],'Tab for Charts'!$A$93:$B$103,2,FALSE)</f>
        <v>38.903509999999997</v>
      </c>
      <c r="AY24" s="10">
        <f>VLOOKUP(Table1[[#This Row],[Location]],'Tab for Charts'!$A$93:$C$103,3,FALSE)</f>
        <v>-77.051809000000006</v>
      </c>
    </row>
    <row r="25" spans="1:51">
      <c r="A25">
        <f t="shared" si="17"/>
        <v>24</v>
      </c>
      <c r="B25">
        <f t="shared" si="0"/>
        <v>11</v>
      </c>
      <c r="C25" s="1">
        <v>43655</v>
      </c>
      <c r="D25" s="8">
        <f>59+32/60</f>
        <v>59.533333333333331</v>
      </c>
      <c r="E25">
        <v>20.000000002499998</v>
      </c>
      <c r="F25">
        <v>710.00000000249997</v>
      </c>
      <c r="G25">
        <v>134</v>
      </c>
      <c r="H25">
        <v>176</v>
      </c>
      <c r="I25">
        <f>4+26/60</f>
        <v>4.4333333333333336</v>
      </c>
      <c r="J25">
        <f>18+27/60</f>
        <v>18.45</v>
      </c>
      <c r="K25">
        <f>16+30/60</f>
        <v>16.5</v>
      </c>
      <c r="L25">
        <f>17+29/60</f>
        <v>17.483333333333334</v>
      </c>
      <c r="M25">
        <f>2+40/60</f>
        <v>2.6666666666666665</v>
      </c>
      <c r="N25" t="s">
        <v>15</v>
      </c>
      <c r="O25" t="s">
        <v>20</v>
      </c>
      <c r="P25" t="s">
        <v>17</v>
      </c>
      <c r="Q25" s="34">
        <f t="shared" si="9"/>
        <v>1</v>
      </c>
      <c r="R25" t="str">
        <f t="shared" si="1"/>
        <v>Correct</v>
      </c>
      <c r="S25" t="str">
        <f t="shared" si="2"/>
        <v>7-2019</v>
      </c>
      <c r="T25" t="str">
        <f t="shared" si="3"/>
        <v>Tuesday</v>
      </c>
      <c r="U25">
        <f t="shared" si="10"/>
        <v>1</v>
      </c>
      <c r="V25" s="8">
        <f>IFERROR(Table1[[#This Row],[ClassLength]]/Table1[[#This Row],[Splat]],0)</f>
        <v>2.9766666662945833</v>
      </c>
      <c r="W25">
        <f t="shared" si="4"/>
        <v>1</v>
      </c>
      <c r="X25">
        <f t="shared" si="5"/>
        <v>0</v>
      </c>
      <c r="Y25">
        <f t="shared" si="6"/>
        <v>0</v>
      </c>
      <c r="Z25" s="5">
        <f t="shared" si="11"/>
        <v>7.4468085106382989E-2</v>
      </c>
      <c r="AA25" s="5">
        <f t="shared" si="12"/>
        <v>0.30991041433370659</v>
      </c>
      <c r="AB25" s="5">
        <f t="shared" si="13"/>
        <v>0.27715565509518481</v>
      </c>
      <c r="AC25" s="5">
        <f t="shared" si="14"/>
        <v>0.29367301231802911</v>
      </c>
      <c r="AD25" s="5">
        <f t="shared" si="15"/>
        <v>4.4792833146696527E-2</v>
      </c>
      <c r="AE25" s="7">
        <f>232.14+SUMIFS(Table1[ExtraExpenses],Table1[Mon_Yr],Table1[[#This Row],[Mon_Yr]])</f>
        <v>232.14</v>
      </c>
      <c r="AF25" s="7">
        <f t="shared" si="18"/>
        <v>21.103636363636362</v>
      </c>
      <c r="AG25" s="8">
        <f t="shared" si="7"/>
        <v>649.63636363906346</v>
      </c>
      <c r="AH25" s="8">
        <f t="shared" si="8"/>
        <v>15.636363639063637</v>
      </c>
      <c r="AI25">
        <f>YEAR(Table1[[#This Row],[Date]])</f>
        <v>2019</v>
      </c>
      <c r="AK25">
        <v>12</v>
      </c>
      <c r="AL25" s="8">
        <f>Table1[[#This Row],[Calories]]/Table1[[#This Row],[ClassLength]]</f>
        <v>11.926091825349944</v>
      </c>
      <c r="AM25" t="str">
        <f>RIGHT(Table1[[#This Row],[Time]],2)</f>
        <v>PM</v>
      </c>
      <c r="AN25" t="str">
        <f>Table1[[#This Row],[Mon_Yr]]&amp;"-"&amp;WEEKNUM(Table1[[#This Row],[Date]],1)-WEEKNUM(DATE(YEAR(Table1[[#This Row],[Date]]),MONTH(Table1[[#This Row],[Date]]),1),1)+1</f>
        <v>7-2019-2</v>
      </c>
      <c r="AO25">
        <f>MONTH(Table1[[#This Row],[Date]])</f>
        <v>7</v>
      </c>
      <c r="AP25" s="8">
        <f>IFERROR(Table1[[#This Row],[Calories]]/Table1[[#This Row],[Splat]],0)</f>
        <v>35.499999995687503</v>
      </c>
      <c r="AQ25" s="10">
        <f>COUNTIF(Table1[Location],Table1[[#This Row],[Location]])</f>
        <v>48</v>
      </c>
      <c r="AR25" s="10">
        <f>IF(AND(Table1[[#This Row],[Calories]]&gt;=600,Table1[[#This Row],[Splat]]&gt;=12),1,0)</f>
        <v>1</v>
      </c>
      <c r="AS25" s="10">
        <f>IF(AND(Table1[[#This Row],[Calories]]&gt;=500,Table1[[#This Row],[Splat]]&gt;=12),1,0)</f>
        <v>1</v>
      </c>
      <c r="AT25" s="8">
        <f>Table1[[#This Row],[ClassLength]]/Table1[[#This Row],[Calories]]</f>
        <v>8.3849765257920719E-2</v>
      </c>
      <c r="AU2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25" s="10">
        <f>COUNTIF(Table1[Trainer],Table1[[#This Row],[Trainer]])</f>
        <v>29</v>
      </c>
      <c r="AW25" s="10" t="str">
        <f>UPPER(LEFT(TEXT(Table1[Date],"mmmm"),3))&amp;" "&amp;TEXT(Table1[Date],"yyyy")</f>
        <v>JUL 2019</v>
      </c>
      <c r="AX25" s="10">
        <f>VLOOKUP(Table1[[#This Row],[Location]],'Tab for Charts'!$A$93:$B$103,2,FALSE)</f>
        <v>38.916486999999996</v>
      </c>
      <c r="AY25" s="10">
        <f>VLOOKUP(Table1[[#This Row],[Location]],'Tab for Charts'!$A$93:$C$103,3,FALSE)</f>
        <v>-77.031514000000001</v>
      </c>
    </row>
    <row r="26" spans="1:51">
      <c r="A26">
        <f t="shared" si="17"/>
        <v>25</v>
      </c>
      <c r="B26">
        <f t="shared" si="0"/>
        <v>11</v>
      </c>
      <c r="C26" s="1">
        <v>43663</v>
      </c>
      <c r="D26" s="8">
        <f>56+8/60</f>
        <v>56.133333333333333</v>
      </c>
      <c r="E26">
        <v>16.0000000026</v>
      </c>
      <c r="F26">
        <v>624.00000000260002</v>
      </c>
      <c r="G26">
        <v>128</v>
      </c>
      <c r="H26">
        <v>174</v>
      </c>
      <c r="I26">
        <f>10+53/60</f>
        <v>10.883333333333333</v>
      </c>
      <c r="J26">
        <f>16+31/60</f>
        <v>16.516666666666666</v>
      </c>
      <c r="K26">
        <f>12+27/60</f>
        <v>12.45</v>
      </c>
      <c r="L26">
        <f>12+29/60</f>
        <v>12.483333333333333</v>
      </c>
      <c r="M26">
        <f>3+48/60</f>
        <v>3.8</v>
      </c>
      <c r="N26" t="s">
        <v>21</v>
      </c>
      <c r="O26" t="s">
        <v>7</v>
      </c>
      <c r="P26" t="s">
        <v>19</v>
      </c>
      <c r="Q26" s="34">
        <f t="shared" si="9"/>
        <v>8</v>
      </c>
      <c r="R26" t="str">
        <f t="shared" si="1"/>
        <v>Correct</v>
      </c>
      <c r="S26" t="str">
        <f t="shared" si="2"/>
        <v>7-2019</v>
      </c>
      <c r="T26" t="str">
        <f t="shared" si="3"/>
        <v>Wednesday</v>
      </c>
      <c r="U26">
        <f t="shared" si="10"/>
        <v>1</v>
      </c>
      <c r="V26" s="8">
        <f>IFERROR(Table1[[#This Row],[ClassLength]]/Table1[[#This Row],[Splat]],0)</f>
        <v>3.5083333327632289</v>
      </c>
      <c r="W26">
        <f t="shared" si="4"/>
        <v>1</v>
      </c>
      <c r="X26">
        <f t="shared" si="5"/>
        <v>0</v>
      </c>
      <c r="Y26">
        <f t="shared" si="6"/>
        <v>0</v>
      </c>
      <c r="Z26" s="5">
        <f t="shared" si="11"/>
        <v>0.19388361045130639</v>
      </c>
      <c r="AA26" s="5">
        <f t="shared" si="12"/>
        <v>0.29423990498812352</v>
      </c>
      <c r="AB26" s="5">
        <f t="shared" si="13"/>
        <v>0.22179334916864607</v>
      </c>
      <c r="AC26" s="5">
        <f t="shared" si="14"/>
        <v>0.22238717339667458</v>
      </c>
      <c r="AD26" s="5">
        <f t="shared" si="15"/>
        <v>6.769596199524941E-2</v>
      </c>
      <c r="AE26" s="7">
        <f>232.14+SUMIFS(Table1[ExtraExpenses],Table1[Mon_Yr],Table1[[#This Row],[Mon_Yr]])</f>
        <v>232.14</v>
      </c>
      <c r="AF26" s="7">
        <f t="shared" si="18"/>
        <v>21.103636363636362</v>
      </c>
      <c r="AG26" s="8">
        <f t="shared" si="7"/>
        <v>649.63636363906346</v>
      </c>
      <c r="AH26" s="8">
        <f t="shared" si="8"/>
        <v>15.636363639063637</v>
      </c>
      <c r="AI26">
        <f>YEAR(Table1[[#This Row],[Date]])</f>
        <v>2019</v>
      </c>
      <c r="AK26">
        <v>12</v>
      </c>
      <c r="AL26" s="8">
        <f>Table1[[#This Row],[Calories]]/Table1[[#This Row],[ClassLength]]</f>
        <v>11.116389548739905</v>
      </c>
      <c r="AM26" t="str">
        <f>RIGHT(Table1[[#This Row],[Time]],2)</f>
        <v>PM</v>
      </c>
      <c r="AN26" t="str">
        <f>Table1[[#This Row],[Mon_Yr]]&amp;"-"&amp;WEEKNUM(Table1[[#This Row],[Date]],1)-WEEKNUM(DATE(YEAR(Table1[[#This Row],[Date]]),MONTH(Table1[[#This Row],[Date]]),1),1)+1</f>
        <v>7-2019-3</v>
      </c>
      <c r="AO26">
        <f>MONTH(Table1[[#This Row],[Date]])</f>
        <v>7</v>
      </c>
      <c r="AP26" s="8">
        <f>IFERROR(Table1[[#This Row],[Calories]]/Table1[[#This Row],[Splat]],0)</f>
        <v>38.999999993825</v>
      </c>
      <c r="AQ26" s="10">
        <f>COUNTIF(Table1[Location],Table1[[#This Row],[Location]])</f>
        <v>37</v>
      </c>
      <c r="AR26" s="10">
        <f>IF(AND(Table1[[#This Row],[Calories]]&gt;=600,Table1[[#This Row],[Splat]]&gt;=12),1,0)</f>
        <v>1</v>
      </c>
      <c r="AS26" s="10">
        <f>IF(AND(Table1[[#This Row],[Calories]]&gt;=500,Table1[[#This Row],[Splat]]&gt;=12),1,0)</f>
        <v>1</v>
      </c>
      <c r="AT26" s="8">
        <f>Table1[[#This Row],[ClassLength]]/Table1[[#This Row],[Calories]]</f>
        <v>8.9957264956890132E-2</v>
      </c>
      <c r="AU2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26" s="10">
        <f>COUNTIF(Table1[Trainer],Table1[[#This Row],[Trainer]])</f>
        <v>12</v>
      </c>
      <c r="AW26" s="10" t="str">
        <f>UPPER(LEFT(TEXT(Table1[Date],"mmmm"),3))&amp;" "&amp;TEXT(Table1[Date],"yyyy")</f>
        <v>JUL 2019</v>
      </c>
      <c r="AX26" s="10">
        <f>VLOOKUP(Table1[[#This Row],[Location]],'Tab for Charts'!$A$93:$B$103,2,FALSE)</f>
        <v>38.903509999999997</v>
      </c>
      <c r="AY26" s="10">
        <f>VLOOKUP(Table1[[#This Row],[Location]],'Tab for Charts'!$A$93:$C$103,3,FALSE)</f>
        <v>-77.051809000000006</v>
      </c>
    </row>
    <row r="27" spans="1:51">
      <c r="A27">
        <f t="shared" si="17"/>
        <v>26</v>
      </c>
      <c r="B27">
        <f t="shared" si="0"/>
        <v>11</v>
      </c>
      <c r="C27" s="1">
        <v>43664</v>
      </c>
      <c r="D27" s="8">
        <f>58+5/60</f>
        <v>58.083333333333336</v>
      </c>
      <c r="E27">
        <v>17.000000002699998</v>
      </c>
      <c r="F27">
        <v>609.00000000269995</v>
      </c>
      <c r="G27">
        <v>124</v>
      </c>
      <c r="H27">
        <v>167</v>
      </c>
      <c r="I27">
        <f>19+4/60</f>
        <v>19.066666666666666</v>
      </c>
      <c r="J27">
        <f>11+35/60</f>
        <v>11.583333333333334</v>
      </c>
      <c r="K27">
        <f>11+15/60</f>
        <v>11.25</v>
      </c>
      <c r="L27">
        <f>13+36/60</f>
        <v>13.6</v>
      </c>
      <c r="M27">
        <f>2+35/60</f>
        <v>2.5833333333333335</v>
      </c>
      <c r="N27" t="s">
        <v>6</v>
      </c>
      <c r="O27" t="s">
        <v>7</v>
      </c>
      <c r="P27" t="s">
        <v>8</v>
      </c>
      <c r="Q27" s="34">
        <f t="shared" si="9"/>
        <v>1</v>
      </c>
      <c r="R27" t="str">
        <f t="shared" si="1"/>
        <v>Gain</v>
      </c>
      <c r="S27" t="str">
        <f t="shared" si="2"/>
        <v>7-2019</v>
      </c>
      <c r="T27" t="str">
        <f t="shared" si="3"/>
        <v>Thursday</v>
      </c>
      <c r="U27">
        <f t="shared" si="10"/>
        <v>1</v>
      </c>
      <c r="V27" s="8">
        <f>IFERROR(Table1[[#This Row],[ClassLength]]/Table1[[#This Row],[Splat]],0)</f>
        <v>3.4166666661240201</v>
      </c>
      <c r="W27">
        <f t="shared" si="4"/>
        <v>0</v>
      </c>
      <c r="X27">
        <f t="shared" si="5"/>
        <v>1</v>
      </c>
      <c r="Y27">
        <f t="shared" si="6"/>
        <v>0</v>
      </c>
      <c r="Z27" s="5">
        <f t="shared" si="11"/>
        <v>0.32826398852223815</v>
      </c>
      <c r="AA27" s="5">
        <f t="shared" si="12"/>
        <v>0.19942611190817791</v>
      </c>
      <c r="AB27" s="5">
        <f t="shared" si="13"/>
        <v>0.19368723098995694</v>
      </c>
      <c r="AC27" s="5">
        <f t="shared" si="14"/>
        <v>0.23414634146341462</v>
      </c>
      <c r="AD27" s="5">
        <f t="shared" si="15"/>
        <v>4.4476327116212341E-2</v>
      </c>
      <c r="AE27" s="7">
        <f>232.14+SUMIFS(Table1[ExtraExpenses],Table1[Mon_Yr],Table1[[#This Row],[Mon_Yr]])</f>
        <v>232.14</v>
      </c>
      <c r="AF27" s="7">
        <f t="shared" si="18"/>
        <v>21.103636363636362</v>
      </c>
      <c r="AG27" s="8">
        <f t="shared" si="7"/>
        <v>649.63636363906346</v>
      </c>
      <c r="AH27" s="8">
        <f t="shared" si="8"/>
        <v>15.636363639063637</v>
      </c>
      <c r="AI27">
        <f>YEAR(Table1[[#This Row],[Date]])</f>
        <v>2019</v>
      </c>
      <c r="AK27">
        <v>12</v>
      </c>
      <c r="AL27" s="8">
        <f>Table1[[#This Row],[Calories]]/Table1[[#This Row],[ClassLength]]</f>
        <v>10.484935437636153</v>
      </c>
      <c r="AM27" t="str">
        <f>RIGHT(Table1[[#This Row],[Time]],2)</f>
        <v>PM</v>
      </c>
      <c r="AN27" t="str">
        <f>Table1[[#This Row],[Mon_Yr]]&amp;"-"&amp;WEEKNUM(Table1[[#This Row],[Date]],1)-WEEKNUM(DATE(YEAR(Table1[[#This Row],[Date]]),MONTH(Table1[[#This Row],[Date]]),1),1)+1</f>
        <v>7-2019-3</v>
      </c>
      <c r="AO27">
        <f>MONTH(Table1[[#This Row],[Date]])</f>
        <v>7</v>
      </c>
      <c r="AP27" s="8">
        <f>IFERROR(Table1[[#This Row],[Calories]]/Table1[[#This Row],[Splat]],0)</f>
        <v>35.823529406233909</v>
      </c>
      <c r="AQ27" s="10">
        <f>COUNTIF(Table1[Location],Table1[[#This Row],[Location]])</f>
        <v>35</v>
      </c>
      <c r="AR27" s="10">
        <f>IF(AND(Table1[[#This Row],[Calories]]&gt;=600,Table1[[#This Row],[Splat]]&gt;=12),1,0)</f>
        <v>1</v>
      </c>
      <c r="AS27" s="10">
        <f>IF(AND(Table1[[#This Row],[Calories]]&gt;=500,Table1[[#This Row],[Splat]]&gt;=12),1,0)</f>
        <v>1</v>
      </c>
      <c r="AT27" s="8">
        <f>Table1[[#This Row],[ClassLength]]/Table1[[#This Row],[Calories]]</f>
        <v>9.5374931581405295E-2</v>
      </c>
      <c r="AU2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27" s="10">
        <f>COUNTIF(Table1[Trainer],Table1[[#This Row],[Trainer]])</f>
        <v>13</v>
      </c>
      <c r="AW27" s="10" t="str">
        <f>UPPER(LEFT(TEXT(Table1[Date],"mmmm"),3))&amp;" "&amp;TEXT(Table1[Date],"yyyy")</f>
        <v>JUL 2019</v>
      </c>
      <c r="AX27" s="10">
        <f>VLOOKUP(Table1[[#This Row],[Location]],'Tab for Charts'!$A$93:$B$103,2,FALSE)</f>
        <v>38.881884999999997</v>
      </c>
      <c r="AY27" s="10">
        <f>VLOOKUP(Table1[[#This Row],[Location]],'Tab for Charts'!$A$93:$C$103,3,FALSE)</f>
        <v>-77.229702000000003</v>
      </c>
    </row>
    <row r="28" spans="1:51">
      <c r="A28">
        <f t="shared" si="17"/>
        <v>27</v>
      </c>
      <c r="B28">
        <f t="shared" si="0"/>
        <v>11</v>
      </c>
      <c r="C28" s="1">
        <v>43666</v>
      </c>
      <c r="D28" s="8">
        <f>55+52/60</f>
        <v>55.866666666666667</v>
      </c>
      <c r="E28">
        <v>14.0000000028</v>
      </c>
      <c r="F28">
        <v>651.00000000279999</v>
      </c>
      <c r="G28">
        <v>132</v>
      </c>
      <c r="H28">
        <v>173</v>
      </c>
      <c r="I28">
        <f>6+1/60</f>
        <v>6.0166666666666666</v>
      </c>
      <c r="J28">
        <f>14+12/60</f>
        <v>14.2</v>
      </c>
      <c r="K28">
        <f>21+59/60</f>
        <v>21.983333333333334</v>
      </c>
      <c r="L28">
        <f>8</f>
        <v>8</v>
      </c>
      <c r="M28">
        <f>5+40/60</f>
        <v>5.666666666666667</v>
      </c>
      <c r="N28" t="s">
        <v>15</v>
      </c>
      <c r="O28" t="s">
        <v>24</v>
      </c>
      <c r="P28" t="s">
        <v>17</v>
      </c>
      <c r="Q28" s="34">
        <f t="shared" si="9"/>
        <v>2</v>
      </c>
      <c r="R28" t="str">
        <f t="shared" si="1"/>
        <v>Correct</v>
      </c>
      <c r="S28" t="str">
        <f t="shared" si="2"/>
        <v>7-2019</v>
      </c>
      <c r="T28" t="str">
        <f t="shared" si="3"/>
        <v>Saturday</v>
      </c>
      <c r="U28">
        <f t="shared" si="10"/>
        <v>1</v>
      </c>
      <c r="V28" s="8">
        <f>IFERROR(Table1[[#This Row],[ClassLength]]/Table1[[#This Row],[Splat]],0)</f>
        <v>3.9904761896780951</v>
      </c>
      <c r="W28">
        <f t="shared" si="4"/>
        <v>1</v>
      </c>
      <c r="X28">
        <f t="shared" si="5"/>
        <v>0</v>
      </c>
      <c r="Y28">
        <f t="shared" si="6"/>
        <v>0</v>
      </c>
      <c r="Z28" s="5">
        <f t="shared" si="11"/>
        <v>0.10769689737470167</v>
      </c>
      <c r="AA28" s="5">
        <f t="shared" si="12"/>
        <v>0.25417661097852029</v>
      </c>
      <c r="AB28" s="5">
        <f t="shared" si="13"/>
        <v>0.39349642004773272</v>
      </c>
      <c r="AC28" s="5">
        <f t="shared" si="14"/>
        <v>0.14319809069212411</v>
      </c>
      <c r="AD28" s="5">
        <f t="shared" si="15"/>
        <v>0.10143198090692125</v>
      </c>
      <c r="AE28" s="7">
        <f>232.14+SUMIFS(Table1[ExtraExpenses],Table1[Mon_Yr],Table1[[#This Row],[Mon_Yr]])</f>
        <v>232.14</v>
      </c>
      <c r="AF28" s="7">
        <f t="shared" si="18"/>
        <v>21.103636363636362</v>
      </c>
      <c r="AG28" s="8">
        <f t="shared" si="7"/>
        <v>649.63636363906346</v>
      </c>
      <c r="AH28" s="8">
        <f t="shared" si="8"/>
        <v>15.636363639063637</v>
      </c>
      <c r="AI28">
        <f>YEAR(Table1[[#This Row],[Date]])</f>
        <v>2019</v>
      </c>
      <c r="AK28">
        <v>12</v>
      </c>
      <c r="AL28" s="8">
        <f>Table1[[#This Row],[Calories]]/Table1[[#This Row],[ClassLength]]</f>
        <v>11.652744630121719</v>
      </c>
      <c r="AM28" t="str">
        <f>RIGHT(Table1[[#This Row],[Time]],2)</f>
        <v>AM</v>
      </c>
      <c r="AN28" t="str">
        <f>Table1[[#This Row],[Mon_Yr]]&amp;"-"&amp;WEEKNUM(Table1[[#This Row],[Date]],1)-WEEKNUM(DATE(YEAR(Table1[[#This Row],[Date]]),MONTH(Table1[[#This Row],[Date]]),1),1)+1</f>
        <v>7-2019-3</v>
      </c>
      <c r="AO28">
        <f>MONTH(Table1[[#This Row],[Date]])</f>
        <v>7</v>
      </c>
      <c r="AP28" s="8">
        <f>IFERROR(Table1[[#This Row],[Calories]]/Table1[[#This Row],[Splat]],0)</f>
        <v>46.499999990900001</v>
      </c>
      <c r="AQ28" s="10">
        <f>COUNTIF(Table1[Location],Table1[[#This Row],[Location]])</f>
        <v>48</v>
      </c>
      <c r="AR28" s="10">
        <f>IF(AND(Table1[[#This Row],[Calories]]&gt;=600,Table1[[#This Row],[Splat]]&gt;=12),1,0)</f>
        <v>1</v>
      </c>
      <c r="AS28" s="10">
        <f>IF(AND(Table1[[#This Row],[Calories]]&gt;=500,Table1[[#This Row],[Splat]]&gt;=12),1,0)</f>
        <v>1</v>
      </c>
      <c r="AT28" s="8">
        <f>Table1[[#This Row],[ClassLength]]/Table1[[#This Row],[Calories]]</f>
        <v>8.5816692267936062E-2</v>
      </c>
      <c r="AU2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28" s="10">
        <f>COUNTIF(Table1[Trainer],Table1[[#This Row],[Trainer]])</f>
        <v>29</v>
      </c>
      <c r="AW28" s="10" t="str">
        <f>UPPER(LEFT(TEXT(Table1[Date],"mmmm"),3))&amp;" "&amp;TEXT(Table1[Date],"yyyy")</f>
        <v>JUL 2019</v>
      </c>
      <c r="AX28" s="10">
        <f>VLOOKUP(Table1[[#This Row],[Location]],'Tab for Charts'!$A$93:$B$103,2,FALSE)</f>
        <v>38.916486999999996</v>
      </c>
      <c r="AY28" s="10">
        <f>VLOOKUP(Table1[[#This Row],[Location]],'Tab for Charts'!$A$93:$C$103,3,FALSE)</f>
        <v>-77.031514000000001</v>
      </c>
    </row>
    <row r="29" spans="1:51">
      <c r="A29">
        <f t="shared" si="17"/>
        <v>28</v>
      </c>
      <c r="B29">
        <f t="shared" si="0"/>
        <v>11</v>
      </c>
      <c r="C29" s="1">
        <v>43669</v>
      </c>
      <c r="D29" s="8">
        <f>60+15/60</f>
        <v>60.25</v>
      </c>
      <c r="E29">
        <v>13.0000000029</v>
      </c>
      <c r="F29">
        <v>592.00000000290004</v>
      </c>
      <c r="G29">
        <v>120</v>
      </c>
      <c r="H29">
        <v>175</v>
      </c>
      <c r="I29">
        <f>21+27/60</f>
        <v>21.45</v>
      </c>
      <c r="J29">
        <f>18+18/60</f>
        <v>18.3</v>
      </c>
      <c r="K29">
        <f>7+45/60</f>
        <v>7.75</v>
      </c>
      <c r="L29">
        <f>7+58/60</f>
        <v>7.9666666666666668</v>
      </c>
      <c r="M29">
        <f>4+47/60</f>
        <v>4.7833333333333332</v>
      </c>
      <c r="N29" t="s">
        <v>15</v>
      </c>
      <c r="O29" t="s">
        <v>20</v>
      </c>
      <c r="P29" t="s">
        <v>17</v>
      </c>
      <c r="Q29" s="34">
        <f t="shared" si="9"/>
        <v>3</v>
      </c>
      <c r="R29" t="str">
        <f t="shared" si="1"/>
        <v>Correct</v>
      </c>
      <c r="S29" t="str">
        <f t="shared" si="2"/>
        <v>7-2019</v>
      </c>
      <c r="T29" t="str">
        <f t="shared" si="3"/>
        <v>Tuesday</v>
      </c>
      <c r="U29">
        <f t="shared" si="10"/>
        <v>1</v>
      </c>
      <c r="V29" s="8">
        <f>IFERROR(Table1[[#This Row],[ClassLength]]/Table1[[#This Row],[Splat]],0)</f>
        <v>4.6346153835815089</v>
      </c>
      <c r="W29">
        <f t="shared" si="4"/>
        <v>1</v>
      </c>
      <c r="X29">
        <f t="shared" si="5"/>
        <v>0</v>
      </c>
      <c r="Y29">
        <f t="shared" si="6"/>
        <v>0</v>
      </c>
      <c r="Z29" s="5">
        <f t="shared" si="11"/>
        <v>0.35601659751037346</v>
      </c>
      <c r="AA29" s="5">
        <f t="shared" si="12"/>
        <v>0.30373443983402493</v>
      </c>
      <c r="AB29" s="5">
        <f t="shared" si="13"/>
        <v>0.12863070539419086</v>
      </c>
      <c r="AC29" s="5">
        <f t="shared" si="14"/>
        <v>0.1322268326417704</v>
      </c>
      <c r="AD29" s="5">
        <f t="shared" si="15"/>
        <v>7.9391424619640383E-2</v>
      </c>
      <c r="AE29" s="7">
        <f>232.14+SUMIFS(Table1[ExtraExpenses],Table1[Mon_Yr],Table1[[#This Row],[Mon_Yr]])</f>
        <v>232.14</v>
      </c>
      <c r="AF29" s="7">
        <f t="shared" si="18"/>
        <v>21.103636363636362</v>
      </c>
      <c r="AG29" s="8">
        <f t="shared" si="7"/>
        <v>649.63636363906346</v>
      </c>
      <c r="AH29" s="8">
        <f t="shared" si="8"/>
        <v>15.636363639063637</v>
      </c>
      <c r="AI29">
        <f>YEAR(Table1[[#This Row],[Date]])</f>
        <v>2019</v>
      </c>
      <c r="AK29">
        <v>12</v>
      </c>
      <c r="AL29" s="8">
        <f>Table1[[#This Row],[Calories]]/Table1[[#This Row],[ClassLength]]</f>
        <v>9.825726141126971</v>
      </c>
      <c r="AM29" t="str">
        <f>RIGHT(Table1[[#This Row],[Time]],2)</f>
        <v>PM</v>
      </c>
      <c r="AN29" t="str">
        <f>Table1[[#This Row],[Mon_Yr]]&amp;"-"&amp;WEEKNUM(Table1[[#This Row],[Date]],1)-WEEKNUM(DATE(YEAR(Table1[[#This Row],[Date]]),MONTH(Table1[[#This Row],[Date]]),1),1)+1</f>
        <v>7-2019-4</v>
      </c>
      <c r="AO29">
        <f>MONTH(Table1[[#This Row],[Date]])</f>
        <v>7</v>
      </c>
      <c r="AP29" s="8">
        <f>IFERROR(Table1[[#This Row],[Calories]]/Table1[[#This Row],[Splat]],0)</f>
        <v>45.538461528526035</v>
      </c>
      <c r="AQ29" s="10">
        <f>COUNTIF(Table1[Location],Table1[[#This Row],[Location]])</f>
        <v>48</v>
      </c>
      <c r="AR29" s="10">
        <f>IF(AND(Table1[[#This Row],[Calories]]&gt;=600,Table1[[#This Row],[Splat]]&gt;=12),1,0)</f>
        <v>0</v>
      </c>
      <c r="AS29" s="10">
        <f>IF(AND(Table1[[#This Row],[Calories]]&gt;=500,Table1[[#This Row],[Splat]]&gt;=12),1,0)</f>
        <v>1</v>
      </c>
      <c r="AT29" s="8">
        <f>Table1[[#This Row],[ClassLength]]/Table1[[#This Row],[Calories]]</f>
        <v>0.10177364864815008</v>
      </c>
      <c r="AU2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29" s="10">
        <f>COUNTIF(Table1[Trainer],Table1[[#This Row],[Trainer]])</f>
        <v>29</v>
      </c>
      <c r="AW29" s="10" t="str">
        <f>UPPER(LEFT(TEXT(Table1[Date],"mmmm"),3))&amp;" "&amp;TEXT(Table1[Date],"yyyy")</f>
        <v>JUL 2019</v>
      </c>
      <c r="AX29" s="10">
        <f>VLOOKUP(Table1[[#This Row],[Location]],'Tab for Charts'!$A$93:$B$103,2,FALSE)</f>
        <v>38.916486999999996</v>
      </c>
      <c r="AY29" s="10">
        <f>VLOOKUP(Table1[[#This Row],[Location]],'Tab for Charts'!$A$93:$C$103,3,FALSE)</f>
        <v>-77.031514000000001</v>
      </c>
    </row>
    <row r="30" spans="1:51">
      <c r="A30">
        <f t="shared" si="17"/>
        <v>29</v>
      </c>
      <c r="B30">
        <f t="shared" si="0"/>
        <v>11</v>
      </c>
      <c r="C30" s="1">
        <v>43671</v>
      </c>
      <c r="D30" s="8">
        <f>SUM(I30:M30)</f>
        <v>57.55</v>
      </c>
      <c r="E30">
        <v>13.000000003</v>
      </c>
      <c r="F30">
        <v>666.00000000299997</v>
      </c>
      <c r="G30">
        <v>131</v>
      </c>
      <c r="H30">
        <v>169</v>
      </c>
      <c r="I30">
        <f>5+8/60</f>
        <v>5.1333333333333337</v>
      </c>
      <c r="J30">
        <f>14+55/60</f>
        <v>14.916666666666666</v>
      </c>
      <c r="K30">
        <f>24+34/60</f>
        <v>24.566666666666666</v>
      </c>
      <c r="L30">
        <f>11+1/60</f>
        <v>11.016666666666667</v>
      </c>
      <c r="M30">
        <f>1+55/60</f>
        <v>1.9166666666666665</v>
      </c>
      <c r="N30" t="s">
        <v>6</v>
      </c>
      <c r="O30" t="s">
        <v>7</v>
      </c>
      <c r="P30" t="s">
        <v>8</v>
      </c>
      <c r="Q30" s="34">
        <f t="shared" si="9"/>
        <v>2</v>
      </c>
      <c r="R30" t="str">
        <f t="shared" si="1"/>
        <v>Correct</v>
      </c>
      <c r="S30" t="str">
        <f t="shared" si="2"/>
        <v>7-2019</v>
      </c>
      <c r="T30" t="str">
        <f t="shared" si="3"/>
        <v>Thursday</v>
      </c>
      <c r="U30">
        <f t="shared" si="10"/>
        <v>1</v>
      </c>
      <c r="V30" s="8">
        <f>IFERROR(Table1[[#This Row],[ClassLength]]/Table1[[#This Row],[Splat]],0)</f>
        <v>4.4269230759014793</v>
      </c>
      <c r="W30">
        <f t="shared" si="4"/>
        <v>1</v>
      </c>
      <c r="X30">
        <f t="shared" si="5"/>
        <v>0</v>
      </c>
      <c r="Y30">
        <f t="shared" si="6"/>
        <v>0</v>
      </c>
      <c r="Z30" s="5">
        <f t="shared" si="11"/>
        <v>8.919779901534898E-2</v>
      </c>
      <c r="AA30" s="5">
        <f t="shared" si="12"/>
        <v>0.25919490298291342</v>
      </c>
      <c r="AB30" s="5">
        <f t="shared" si="13"/>
        <v>0.42687518100202726</v>
      </c>
      <c r="AC30" s="5">
        <f t="shared" si="14"/>
        <v>0.19142774399073273</v>
      </c>
      <c r="AD30" s="5">
        <f t="shared" si="15"/>
        <v>3.3304373008977699E-2</v>
      </c>
      <c r="AE30" s="7">
        <f>232.14+SUMIFS(Table1[ExtraExpenses],Table1[Mon_Yr],Table1[[#This Row],[Mon_Yr]])</f>
        <v>232.14</v>
      </c>
      <c r="AF30" s="7">
        <f t="shared" si="18"/>
        <v>21.103636363636362</v>
      </c>
      <c r="AG30" s="8">
        <f t="shared" si="7"/>
        <v>649.63636363906346</v>
      </c>
      <c r="AH30" s="8">
        <f t="shared" si="8"/>
        <v>15.636363639063637</v>
      </c>
      <c r="AI30">
        <f>YEAR(Table1[[#This Row],[Date]])</f>
        <v>2019</v>
      </c>
      <c r="AK30">
        <v>12</v>
      </c>
      <c r="AL30" s="8">
        <f>Table1[[#This Row],[Calories]]/Table1[[#This Row],[ClassLength]]</f>
        <v>11.572545612562989</v>
      </c>
      <c r="AM30" t="str">
        <f>RIGHT(Table1[[#This Row],[Time]],2)</f>
        <v>PM</v>
      </c>
      <c r="AN30" t="str">
        <f>Table1[[#This Row],[Mon_Yr]]&amp;"-"&amp;WEEKNUM(Table1[[#This Row],[Date]],1)-WEEKNUM(DATE(YEAR(Table1[[#This Row],[Date]]),MONTH(Table1[[#This Row],[Date]]),1),1)+1</f>
        <v>7-2019-4</v>
      </c>
      <c r="AO30">
        <f>MONTH(Table1[[#This Row],[Date]])</f>
        <v>7</v>
      </c>
      <c r="AP30" s="8">
        <f>IFERROR(Table1[[#This Row],[Calories]]/Table1[[#This Row],[Splat]],0)</f>
        <v>51.23076921917751</v>
      </c>
      <c r="AQ30" s="10">
        <f>COUNTIF(Table1[Location],Table1[[#This Row],[Location]])</f>
        <v>35</v>
      </c>
      <c r="AR30" s="10">
        <f>IF(AND(Table1[[#This Row],[Calories]]&gt;=600,Table1[[#This Row],[Splat]]&gt;=12),1,0)</f>
        <v>1</v>
      </c>
      <c r="AS30" s="10">
        <f>IF(AND(Table1[[#This Row],[Calories]]&gt;=500,Table1[[#This Row],[Splat]]&gt;=12),1,0)</f>
        <v>1</v>
      </c>
      <c r="AT30" s="8">
        <f>Table1[[#This Row],[ClassLength]]/Table1[[#This Row],[Calories]]</f>
        <v>8.6411411411022168E-2</v>
      </c>
      <c r="AU3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30" s="10">
        <f>COUNTIF(Table1[Trainer],Table1[[#This Row],[Trainer]])</f>
        <v>13</v>
      </c>
      <c r="AW30" s="10" t="str">
        <f>UPPER(LEFT(TEXT(Table1[Date],"mmmm"),3))&amp;" "&amp;TEXT(Table1[Date],"yyyy")</f>
        <v>JUL 2019</v>
      </c>
      <c r="AX30" s="10">
        <f>VLOOKUP(Table1[[#This Row],[Location]],'Tab for Charts'!$A$93:$B$103,2,FALSE)</f>
        <v>38.881884999999997</v>
      </c>
      <c r="AY30" s="10">
        <f>VLOOKUP(Table1[[#This Row],[Location]],'Tab for Charts'!$A$93:$C$103,3,FALSE)</f>
        <v>-77.229702000000003</v>
      </c>
    </row>
    <row r="31" spans="1:51">
      <c r="A31">
        <f t="shared" si="17"/>
        <v>30</v>
      </c>
      <c r="B31">
        <f t="shared" si="0"/>
        <v>11</v>
      </c>
      <c r="C31" s="1">
        <v>43674</v>
      </c>
      <c r="D31" s="8">
        <f>58+15/60</f>
        <v>58.25</v>
      </c>
      <c r="E31">
        <v>21.000000003099998</v>
      </c>
      <c r="F31">
        <v>691.00000000310001</v>
      </c>
      <c r="G31">
        <v>133</v>
      </c>
      <c r="H31">
        <v>174</v>
      </c>
      <c r="I31">
        <f>7+19/60</f>
        <v>7.3166666666666664</v>
      </c>
      <c r="J31">
        <f>15+56/60</f>
        <v>15.933333333333334</v>
      </c>
      <c r="K31">
        <f>14+41/60</f>
        <v>14.683333333333334</v>
      </c>
      <c r="L31">
        <f>14+45/60</f>
        <v>14.75</v>
      </c>
      <c r="M31">
        <f>5+34/60</f>
        <v>5.5666666666666664</v>
      </c>
      <c r="N31" t="s">
        <v>15</v>
      </c>
      <c r="O31" t="s">
        <v>18</v>
      </c>
      <c r="P31" t="s">
        <v>19</v>
      </c>
      <c r="Q31" s="34">
        <f t="shared" si="9"/>
        <v>3</v>
      </c>
      <c r="R31" t="str">
        <f t="shared" si="1"/>
        <v>Gain</v>
      </c>
      <c r="S31" t="str">
        <f t="shared" si="2"/>
        <v>7-2019</v>
      </c>
      <c r="T31" t="str">
        <f t="shared" si="3"/>
        <v>Sunday</v>
      </c>
      <c r="U31">
        <f t="shared" si="10"/>
        <v>1</v>
      </c>
      <c r="V31" s="8">
        <f>IFERROR(Table1[[#This Row],[ClassLength]]/Table1[[#This Row],[Splat]],0)</f>
        <v>2.773809523400057</v>
      </c>
      <c r="W31">
        <f t="shared" si="4"/>
        <v>0</v>
      </c>
      <c r="X31">
        <f t="shared" si="5"/>
        <v>1</v>
      </c>
      <c r="Y31">
        <f t="shared" si="6"/>
        <v>0</v>
      </c>
      <c r="Z31" s="5">
        <f t="shared" si="11"/>
        <v>0.12560801144492131</v>
      </c>
      <c r="AA31" s="5">
        <f t="shared" si="12"/>
        <v>0.27353361945636623</v>
      </c>
      <c r="AB31" s="5">
        <f t="shared" si="13"/>
        <v>0.25207439198855508</v>
      </c>
      <c r="AC31" s="5">
        <f t="shared" si="14"/>
        <v>0.25321888412017168</v>
      </c>
      <c r="AD31" s="5">
        <f t="shared" si="15"/>
        <v>9.5565092989985695E-2</v>
      </c>
      <c r="AE31" s="7">
        <f>232.14+SUMIFS(Table1[ExtraExpenses],Table1[Mon_Yr],Table1[[#This Row],[Mon_Yr]])</f>
        <v>232.14</v>
      </c>
      <c r="AF31" s="7">
        <f t="shared" si="18"/>
        <v>21.103636363636362</v>
      </c>
      <c r="AG31" s="8">
        <f t="shared" si="7"/>
        <v>649.63636363906346</v>
      </c>
      <c r="AH31" s="8">
        <f t="shared" si="8"/>
        <v>15.636363639063637</v>
      </c>
      <c r="AI31">
        <f>YEAR(Table1[[#This Row],[Date]])</f>
        <v>2019</v>
      </c>
      <c r="AK31">
        <v>12</v>
      </c>
      <c r="AL31" s="8">
        <f>Table1[[#This Row],[Calories]]/Table1[[#This Row],[ClassLength]]</f>
        <v>11.862660944259227</v>
      </c>
      <c r="AM31" t="str">
        <f>RIGHT(Table1[[#This Row],[Time]],2)</f>
        <v>PM</v>
      </c>
      <c r="AN31" t="str">
        <f>Table1[[#This Row],[Mon_Yr]]&amp;"-"&amp;WEEKNUM(Table1[[#This Row],[Date]],1)-WEEKNUM(DATE(YEAR(Table1[[#This Row],[Date]]),MONTH(Table1[[#This Row],[Date]]),1),1)+1</f>
        <v>7-2019-5</v>
      </c>
      <c r="AO31">
        <f>MONTH(Table1[[#This Row],[Date]])</f>
        <v>7</v>
      </c>
      <c r="AP31" s="8">
        <f>IFERROR(Table1[[#This Row],[Calories]]/Table1[[#This Row],[Splat]],0)</f>
        <v>32.904761900052158</v>
      </c>
      <c r="AQ31" s="10">
        <f>COUNTIF(Table1[Location],Table1[[#This Row],[Location]])</f>
        <v>48</v>
      </c>
      <c r="AR31" s="10">
        <f>IF(AND(Table1[[#This Row],[Calories]]&gt;=600,Table1[[#This Row],[Splat]]&gt;=12),1,0)</f>
        <v>1</v>
      </c>
      <c r="AS31" s="10">
        <f>IF(AND(Table1[[#This Row],[Calories]]&gt;=500,Table1[[#This Row],[Splat]]&gt;=12),1,0)</f>
        <v>1</v>
      </c>
      <c r="AT31" s="8">
        <f>Table1[[#This Row],[ClassLength]]/Table1[[#This Row],[Calories]]</f>
        <v>8.4298118668218056E-2</v>
      </c>
      <c r="AU3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31" s="10">
        <f>COUNTIF(Table1[Trainer],Table1[[#This Row],[Trainer]])</f>
        <v>12</v>
      </c>
      <c r="AW31" s="10" t="str">
        <f>UPPER(LEFT(TEXT(Table1[Date],"mmmm"),3))&amp;" "&amp;TEXT(Table1[Date],"yyyy")</f>
        <v>JUL 2019</v>
      </c>
      <c r="AX31" s="10">
        <f>VLOOKUP(Table1[[#This Row],[Location]],'Tab for Charts'!$A$93:$B$103,2,FALSE)</f>
        <v>38.916486999999996</v>
      </c>
      <c r="AY31" s="10">
        <f>VLOOKUP(Table1[[#This Row],[Location]],'Tab for Charts'!$A$93:$C$103,3,FALSE)</f>
        <v>-77.031514000000001</v>
      </c>
    </row>
    <row r="32" spans="1:51">
      <c r="A32">
        <f t="shared" si="17"/>
        <v>31</v>
      </c>
      <c r="B32">
        <f t="shared" si="0"/>
        <v>11</v>
      </c>
      <c r="C32" s="1">
        <v>43676</v>
      </c>
      <c r="D32" s="8">
        <f>57+21/60</f>
        <v>57.35</v>
      </c>
      <c r="E32">
        <v>9.0000000032000003</v>
      </c>
      <c r="F32">
        <v>613.00000000319994</v>
      </c>
      <c r="G32">
        <v>125</v>
      </c>
      <c r="H32">
        <v>162</v>
      </c>
      <c r="I32">
        <f>8+34/60</f>
        <v>8.5666666666666664</v>
      </c>
      <c r="J32">
        <f>19+3/60</f>
        <v>19.05</v>
      </c>
      <c r="K32">
        <f>21+4/60</f>
        <v>21.066666666666666</v>
      </c>
      <c r="L32">
        <f>8+35/60</f>
        <v>8.5833333333333339</v>
      </c>
      <c r="M32">
        <f>0+5/60</f>
        <v>8.3333333333333329E-2</v>
      </c>
      <c r="N32" t="s">
        <v>15</v>
      </c>
      <c r="O32" t="s">
        <v>20</v>
      </c>
      <c r="P32" t="s">
        <v>17</v>
      </c>
      <c r="Q32" s="34">
        <f t="shared" si="9"/>
        <v>2</v>
      </c>
      <c r="R32" t="str">
        <f t="shared" si="1"/>
        <v>Correct</v>
      </c>
      <c r="S32" t="str">
        <f t="shared" si="2"/>
        <v>7-2019</v>
      </c>
      <c r="T32" t="str">
        <f t="shared" si="3"/>
        <v>Tuesday</v>
      </c>
      <c r="U32">
        <f t="shared" si="10"/>
        <v>0</v>
      </c>
      <c r="V32" s="8">
        <f>IFERROR(Table1[[#This Row],[ClassLength]]/Table1[[#This Row],[Splat]],0)</f>
        <v>6.3722222199565435</v>
      </c>
      <c r="W32">
        <f t="shared" si="4"/>
        <v>1</v>
      </c>
      <c r="X32">
        <f t="shared" si="5"/>
        <v>0</v>
      </c>
      <c r="Y32">
        <f t="shared" si="6"/>
        <v>0</v>
      </c>
      <c r="Z32" s="5">
        <f t="shared" si="11"/>
        <v>0.14937518163324615</v>
      </c>
      <c r="AA32" s="5">
        <f t="shared" si="12"/>
        <v>0.33217088055797733</v>
      </c>
      <c r="AB32" s="5">
        <f t="shared" si="13"/>
        <v>0.36733507701249635</v>
      </c>
      <c r="AC32" s="5">
        <f t="shared" si="14"/>
        <v>0.14966579482708517</v>
      </c>
      <c r="AD32" s="5">
        <f t="shared" si="15"/>
        <v>1.4530659691950013E-3</v>
      </c>
      <c r="AE32" s="7">
        <f>232.14+SUMIFS(Table1[ExtraExpenses],Table1[Mon_Yr],Table1[[#This Row],[Mon_Yr]])</f>
        <v>232.14</v>
      </c>
      <c r="AF32" s="7">
        <f t="shared" si="18"/>
        <v>21.103636363636362</v>
      </c>
      <c r="AG32" s="8">
        <f t="shared" si="7"/>
        <v>649.63636363906346</v>
      </c>
      <c r="AH32" s="8">
        <f t="shared" si="8"/>
        <v>15.636363639063637</v>
      </c>
      <c r="AI32">
        <f>YEAR(Table1[[#This Row],[Date]])</f>
        <v>2019</v>
      </c>
      <c r="AK32">
        <v>12</v>
      </c>
      <c r="AL32" s="8">
        <f>Table1[[#This Row],[Calories]]/Table1[[#This Row],[ClassLength]]</f>
        <v>10.688753269454228</v>
      </c>
      <c r="AM32" t="str">
        <f>RIGHT(Table1[[#This Row],[Time]],2)</f>
        <v>PM</v>
      </c>
      <c r="AN32" t="str">
        <f>Table1[[#This Row],[Mon_Yr]]&amp;"-"&amp;WEEKNUM(Table1[[#This Row],[Date]],1)-WEEKNUM(DATE(YEAR(Table1[[#This Row],[Date]]),MONTH(Table1[[#This Row],[Date]]),1),1)+1</f>
        <v>7-2019-5</v>
      </c>
      <c r="AO32">
        <f>MONTH(Table1[[#This Row],[Date]])</f>
        <v>7</v>
      </c>
      <c r="AP32" s="8">
        <f>IFERROR(Table1[[#This Row],[Calories]]/Table1[[#This Row],[Splat]],0)</f>
        <v>68.11111108724937</v>
      </c>
      <c r="AQ32" s="10">
        <f>COUNTIF(Table1[Location],Table1[[#This Row],[Location]])</f>
        <v>48</v>
      </c>
      <c r="AR32" s="10">
        <f>IF(AND(Table1[[#This Row],[Calories]]&gt;=600,Table1[[#This Row],[Splat]]&gt;=12),1,0)</f>
        <v>0</v>
      </c>
      <c r="AS32" s="10">
        <f>IF(AND(Table1[[#This Row],[Calories]]&gt;=500,Table1[[#This Row],[Splat]]&gt;=12),1,0)</f>
        <v>0</v>
      </c>
      <c r="AT32" s="8">
        <f>Table1[[#This Row],[ClassLength]]/Table1[[#This Row],[Calories]]</f>
        <v>9.3556280586787319E-2</v>
      </c>
      <c r="AU3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32" s="10">
        <f>COUNTIF(Table1[Trainer],Table1[[#This Row],[Trainer]])</f>
        <v>29</v>
      </c>
      <c r="AW32" s="10" t="str">
        <f>UPPER(LEFT(TEXT(Table1[Date],"mmmm"),3))&amp;" "&amp;TEXT(Table1[Date],"yyyy")</f>
        <v>JUL 2019</v>
      </c>
      <c r="AX32" s="10">
        <f>VLOOKUP(Table1[[#This Row],[Location]],'Tab for Charts'!$A$93:$B$103,2,FALSE)</f>
        <v>38.916486999999996</v>
      </c>
      <c r="AY32" s="10">
        <f>VLOOKUP(Table1[[#This Row],[Location]],'Tab for Charts'!$A$93:$C$103,3,FALSE)</f>
        <v>-77.031514000000001</v>
      </c>
    </row>
    <row r="33" spans="1:51">
      <c r="A33">
        <f t="shared" si="17"/>
        <v>32</v>
      </c>
      <c r="B33">
        <f t="shared" si="0"/>
        <v>11</v>
      </c>
      <c r="C33" s="1">
        <v>43678</v>
      </c>
      <c r="D33" s="8">
        <f>58+33/60</f>
        <v>58.55</v>
      </c>
      <c r="E33">
        <v>20.000000003299998</v>
      </c>
      <c r="F33">
        <v>725.00000000329999</v>
      </c>
      <c r="G33">
        <v>137</v>
      </c>
      <c r="H33">
        <v>170</v>
      </c>
      <c r="I33">
        <f>6+15/60</f>
        <v>6.25</v>
      </c>
      <c r="J33">
        <f>5+29/60</f>
        <v>5.4833333333333334</v>
      </c>
      <c r="K33">
        <f>27+4/60</f>
        <v>27.066666666666666</v>
      </c>
      <c r="L33">
        <f>12+52/60</f>
        <v>12.866666666666667</v>
      </c>
      <c r="M33">
        <f>6+53/60</f>
        <v>6.8833333333333329</v>
      </c>
      <c r="N33" t="s">
        <v>15</v>
      </c>
      <c r="O33" t="s">
        <v>35</v>
      </c>
      <c r="P33" t="s">
        <v>36</v>
      </c>
      <c r="Q33" s="34">
        <f t="shared" si="9"/>
        <v>2</v>
      </c>
      <c r="R33" t="str">
        <f t="shared" si="1"/>
        <v>Correct</v>
      </c>
      <c r="S33" t="str">
        <f t="shared" si="2"/>
        <v>8-2019</v>
      </c>
      <c r="T33" t="str">
        <f t="shared" si="3"/>
        <v>Thursday</v>
      </c>
      <c r="U33">
        <f t="shared" si="10"/>
        <v>1</v>
      </c>
      <c r="V33" s="8">
        <f>IFERROR(Table1[[#This Row],[ClassLength]]/Table1[[#This Row],[Splat]],0)</f>
        <v>2.9274999995169626</v>
      </c>
      <c r="W33">
        <f t="shared" si="4"/>
        <v>1</v>
      </c>
      <c r="X33">
        <f t="shared" si="5"/>
        <v>0</v>
      </c>
      <c r="Y33">
        <f t="shared" si="6"/>
        <v>0</v>
      </c>
      <c r="Z33" s="5">
        <f t="shared" si="11"/>
        <v>0.10674637062339881</v>
      </c>
      <c r="AA33" s="5">
        <f t="shared" si="12"/>
        <v>9.3652149160261891E-2</v>
      </c>
      <c r="AB33" s="5">
        <f t="shared" si="13"/>
        <v>0.46228294904639911</v>
      </c>
      <c r="AC33" s="5">
        <f t="shared" si="14"/>
        <v>0.21975519499003701</v>
      </c>
      <c r="AD33" s="5">
        <f t="shared" si="15"/>
        <v>0.11756333617990321</v>
      </c>
      <c r="AE33" s="7">
        <f>232.14+SUMIFS(Table1[ExtraExpenses],Table1[Mon_Yr],Table1[[#This Row],[Mon_Yr]])</f>
        <v>232.14</v>
      </c>
      <c r="AF33" s="7">
        <f t="shared" si="18"/>
        <v>21.103636363636362</v>
      </c>
      <c r="AG33" s="8">
        <f t="shared" si="7"/>
        <v>627.18181818561811</v>
      </c>
      <c r="AH33" s="8">
        <f t="shared" si="8"/>
        <v>15.090909094709088</v>
      </c>
      <c r="AI33">
        <f>YEAR(Table1[[#This Row],[Date]])</f>
        <v>2019</v>
      </c>
      <c r="AK33">
        <v>12</v>
      </c>
      <c r="AL33" s="8">
        <f>Table1[[#This Row],[Calories]]/Table1[[#This Row],[ClassLength]]</f>
        <v>12.382578992370624</v>
      </c>
      <c r="AM33" t="str">
        <f>RIGHT(Table1[[#This Row],[Time]],2)</f>
        <v>PM</v>
      </c>
      <c r="AN33" t="str">
        <f>Table1[[#This Row],[Mon_Yr]]&amp;"-"&amp;WEEKNUM(Table1[[#This Row],[Date]],1)-WEEKNUM(DATE(YEAR(Table1[[#This Row],[Date]]),MONTH(Table1[[#This Row],[Date]]),1),1)+1</f>
        <v>8-2019-1</v>
      </c>
      <c r="AO33">
        <f>MONTH(Table1[[#This Row],[Date]])</f>
        <v>8</v>
      </c>
      <c r="AP33" s="8">
        <f>IFERROR(Table1[[#This Row],[Calories]]/Table1[[#This Row],[Splat]],0)</f>
        <v>36.249999994183753</v>
      </c>
      <c r="AQ33" s="10">
        <f>COUNTIF(Table1[Location],Table1[[#This Row],[Location]])</f>
        <v>48</v>
      </c>
      <c r="AR33" s="10">
        <f>IF(AND(Table1[[#This Row],[Calories]]&gt;=600,Table1[[#This Row],[Splat]]&gt;=12),1,0)</f>
        <v>1</v>
      </c>
      <c r="AS33" s="10">
        <f>IF(AND(Table1[[#This Row],[Calories]]&gt;=500,Table1[[#This Row],[Splat]]&gt;=12),1,0)</f>
        <v>1</v>
      </c>
      <c r="AT33" s="8">
        <f>Table1[[#This Row],[ClassLength]]/Table1[[#This Row],[Calories]]</f>
        <v>8.0758620689287575E-2</v>
      </c>
      <c r="AU3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33" s="10">
        <f>COUNTIF(Table1[Trainer],Table1[[#This Row],[Trainer]])</f>
        <v>1</v>
      </c>
      <c r="AW33" s="10" t="str">
        <f>UPPER(LEFT(TEXT(Table1[Date],"mmmm"),3))&amp;" "&amp;TEXT(Table1[Date],"yyyy")</f>
        <v>AUG 2019</v>
      </c>
      <c r="AX33" s="10">
        <f>VLOOKUP(Table1[[#This Row],[Location]],'Tab for Charts'!$A$93:$B$103,2,FALSE)</f>
        <v>38.916486999999996</v>
      </c>
      <c r="AY33" s="10">
        <f>VLOOKUP(Table1[[#This Row],[Location]],'Tab for Charts'!$A$93:$C$103,3,FALSE)</f>
        <v>-77.031514000000001</v>
      </c>
    </row>
    <row r="34" spans="1:51">
      <c r="A34">
        <f t="shared" si="17"/>
        <v>33</v>
      </c>
      <c r="B34">
        <f t="shared" ref="B34:B65" si="20">COUNTIF(S:S,S34)</f>
        <v>11</v>
      </c>
      <c r="C34" s="1">
        <v>43679</v>
      </c>
      <c r="D34" s="8">
        <f>56+13/60</f>
        <v>56.216666666666669</v>
      </c>
      <c r="E34">
        <v>16.0000000034</v>
      </c>
      <c r="F34">
        <v>592.00000000340003</v>
      </c>
      <c r="G34">
        <v>124</v>
      </c>
      <c r="H34">
        <v>169</v>
      </c>
      <c r="I34">
        <f>18+44/60</f>
        <v>18.733333333333334</v>
      </c>
      <c r="J34">
        <f>10+55/60</f>
        <v>10.916666666666666</v>
      </c>
      <c r="K34">
        <f>9+57/60</f>
        <v>9.9499999999999993</v>
      </c>
      <c r="L34">
        <f>14+9/60</f>
        <v>14.15</v>
      </c>
      <c r="M34">
        <f>2+28/60</f>
        <v>2.4666666666666668</v>
      </c>
      <c r="N34" t="s">
        <v>37</v>
      </c>
      <c r="O34" t="s">
        <v>38</v>
      </c>
      <c r="P34" t="s">
        <v>39</v>
      </c>
      <c r="Q34" s="34">
        <f t="shared" si="9"/>
        <v>1</v>
      </c>
      <c r="R34" t="str">
        <f t="shared" ref="R34:R65" si="21">IF(ROUND(E34,1)-ROUND(L34+M34,0)=0,"Correct",IF(ROUND(E34,1)-ROUND(L34+M34,0)=1,"Gain","Loss"))</f>
        <v>Loss</v>
      </c>
      <c r="S34" t="str">
        <f t="shared" ref="S34:S65" si="22">MONTH(C34)&amp;"-"&amp;YEAR(C34)</f>
        <v>8-2019</v>
      </c>
      <c r="T34" t="str">
        <f t="shared" ref="T34:T65" si="23">IF(WEEKDAY(C34)=1,"Sunday",IF(WEEKDAY(C34)=2,"Monday",IF(WEEKDAY(C34)=3,"Tuesday",IF(WEEKDAY(C34)=4,"Wednesday",IF(WEEKDAY(C34)=5,"Thursday",IF(WEEKDAY(C34)=6,"Friday","Saturday"))))))</f>
        <v>Friday</v>
      </c>
      <c r="U34">
        <f t="shared" si="10"/>
        <v>1</v>
      </c>
      <c r="V34" s="8">
        <f>IFERROR(Table1[[#This Row],[ClassLength]]/Table1[[#This Row],[Splat]],0)</f>
        <v>3.5135416659200391</v>
      </c>
      <c r="W34">
        <f t="shared" ref="W34:W65" si="24">IF(ROUND($E34,1)-ROUND($L34+$M34,0)=0,1,0)</f>
        <v>0</v>
      </c>
      <c r="X34">
        <f t="shared" ref="X34:X65" si="25">IF(ROUND($E34,1)-ROUND($L34+$M34,0)=1,1,0)</f>
        <v>0</v>
      </c>
      <c r="Y34">
        <f t="shared" ref="Y34:Y65" si="26">IF(ROUND($E34,1)-ROUND($L34+$M34,0)=-1,1,0)</f>
        <v>1</v>
      </c>
      <c r="Z34" s="5">
        <f t="shared" si="11"/>
        <v>0.3332345093388675</v>
      </c>
      <c r="AA34" s="5">
        <f t="shared" si="12"/>
        <v>0.19418914912540763</v>
      </c>
      <c r="AB34" s="5">
        <f t="shared" si="13"/>
        <v>0.17699377408834863</v>
      </c>
      <c r="AC34" s="5">
        <f t="shared" si="14"/>
        <v>0.25170471390453603</v>
      </c>
      <c r="AD34" s="5">
        <f t="shared" si="15"/>
        <v>4.3877853542840205E-2</v>
      </c>
      <c r="AE34" s="7">
        <f>232.14+SUMIFS(Table1[ExtraExpenses],Table1[Mon_Yr],Table1[[#This Row],[Mon_Yr]])</f>
        <v>232.14</v>
      </c>
      <c r="AF34" s="7">
        <f t="shared" si="18"/>
        <v>21.103636363636362</v>
      </c>
      <c r="AG34" s="8">
        <f t="shared" ref="AG34:AG65" si="27">AVERAGEIF(S:S,S34,F:F)</f>
        <v>627.18181818561811</v>
      </c>
      <c r="AH34" s="8">
        <f t="shared" ref="AH34:AH65" si="28">AVERAGEIF(S:S,S34,E:E)</f>
        <v>15.090909094709088</v>
      </c>
      <c r="AI34">
        <f>YEAR(Table1[[#This Row],[Date]])</f>
        <v>2019</v>
      </c>
      <c r="AK34">
        <v>12</v>
      </c>
      <c r="AL34" s="8">
        <f>Table1[[#This Row],[Calories]]/Table1[[#This Row],[ClassLength]]</f>
        <v>10.530684850342128</v>
      </c>
      <c r="AM34" t="str">
        <f>RIGHT(Table1[[#This Row],[Time]],2)</f>
        <v>PM</v>
      </c>
      <c r="AN34" t="str">
        <f>Table1[[#This Row],[Mon_Yr]]&amp;"-"&amp;WEEKNUM(Table1[[#This Row],[Date]],1)-WEEKNUM(DATE(YEAR(Table1[[#This Row],[Date]]),MONTH(Table1[[#This Row],[Date]]),1),1)+1</f>
        <v>8-2019-1</v>
      </c>
      <c r="AO34">
        <f>MONTH(Table1[[#This Row],[Date]])</f>
        <v>8</v>
      </c>
      <c r="AP34" s="8">
        <f>IFERROR(Table1[[#This Row],[Calories]]/Table1[[#This Row],[Splat]],0)</f>
        <v>36.999999992349998</v>
      </c>
      <c r="AQ34" s="10">
        <f>COUNTIF(Table1[Location],Table1[[#This Row],[Location]])</f>
        <v>3</v>
      </c>
      <c r="AR34" s="10">
        <f>IF(AND(Table1[[#This Row],[Calories]]&gt;=600,Table1[[#This Row],[Splat]]&gt;=12),1,0)</f>
        <v>0</v>
      </c>
      <c r="AS34" s="10">
        <f>IF(AND(Table1[[#This Row],[Calories]]&gt;=500,Table1[[#This Row],[Splat]]&gt;=12),1,0)</f>
        <v>1</v>
      </c>
      <c r="AT34" s="8">
        <f>Table1[[#This Row],[ClassLength]]/Table1[[#This Row],[Calories]]</f>
        <v>9.4960585585040197E-2</v>
      </c>
      <c r="AU3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34" s="10">
        <f>COUNTIF(Table1[Trainer],Table1[[#This Row],[Trainer]])</f>
        <v>1</v>
      </c>
      <c r="AW34" s="10" t="str">
        <f>UPPER(LEFT(TEXT(Table1[Date],"mmmm"),3))&amp;" "&amp;TEXT(Table1[Date],"yyyy")</f>
        <v>AUG 2019</v>
      </c>
      <c r="AX34" s="10">
        <f>VLOOKUP(Table1[[#This Row],[Location]],'Tab for Charts'!$A$93:$B$103,2,FALSE)</f>
        <v>38.904280999999997</v>
      </c>
      <c r="AY34" s="10">
        <f>VLOOKUP(Table1[[#This Row],[Location]],'Tab for Charts'!$A$93:$C$103,3,FALSE)</f>
        <v>-77.031495000000007</v>
      </c>
    </row>
    <row r="35" spans="1:51">
      <c r="A35">
        <f t="shared" si="17"/>
        <v>34</v>
      </c>
      <c r="B35">
        <f t="shared" si="20"/>
        <v>11</v>
      </c>
      <c r="C35" s="1">
        <v>43683</v>
      </c>
      <c r="D35" s="8">
        <f>59+7/60</f>
        <v>59.116666666666667</v>
      </c>
      <c r="E35">
        <v>18.000000003499999</v>
      </c>
      <c r="F35">
        <v>620.00000000349996</v>
      </c>
      <c r="G35">
        <v>124</v>
      </c>
      <c r="H35">
        <v>174</v>
      </c>
      <c r="I35">
        <v>17</v>
      </c>
      <c r="J35">
        <f>9+59/60</f>
        <v>9.9833333333333325</v>
      </c>
      <c r="K35">
        <f>14+43/60</f>
        <v>14.716666666666667</v>
      </c>
      <c r="L35">
        <f>14+42/60</f>
        <v>14.7</v>
      </c>
      <c r="M35">
        <f>2+43/60</f>
        <v>2.7166666666666668</v>
      </c>
      <c r="N35" t="s">
        <v>15</v>
      </c>
      <c r="O35" t="s">
        <v>20</v>
      </c>
      <c r="P35" t="s">
        <v>17</v>
      </c>
      <c r="Q35" s="34">
        <f t="shared" ref="Q35:Q70" si="29">C35-C34</f>
        <v>4</v>
      </c>
      <c r="R35" t="str">
        <f t="shared" si="21"/>
        <v>Gain</v>
      </c>
      <c r="S35" t="str">
        <f t="shared" si="22"/>
        <v>8-2019</v>
      </c>
      <c r="T35" t="str">
        <f t="shared" si="23"/>
        <v>Tuesday</v>
      </c>
      <c r="U35">
        <f t="shared" si="10"/>
        <v>1</v>
      </c>
      <c r="V35" s="8">
        <f>IFERROR(Table1[[#This Row],[ClassLength]]/Table1[[#This Row],[Splat]],0)</f>
        <v>3.2842592586206534</v>
      </c>
      <c r="W35">
        <f t="shared" si="24"/>
        <v>0</v>
      </c>
      <c r="X35">
        <f t="shared" si="25"/>
        <v>1</v>
      </c>
      <c r="Y35">
        <f t="shared" si="26"/>
        <v>0</v>
      </c>
      <c r="Z35" s="5">
        <f t="shared" si="11"/>
        <v>0.28756695799266985</v>
      </c>
      <c r="AA35" s="5">
        <f t="shared" si="12"/>
        <v>0.16887510572314632</v>
      </c>
      <c r="AB35" s="5">
        <f t="shared" si="13"/>
        <v>0.24894276853679165</v>
      </c>
      <c r="AC35" s="5">
        <f t="shared" si="14"/>
        <v>0.24866084014660275</v>
      </c>
      <c r="AD35" s="5">
        <f t="shared" si="15"/>
        <v>4.5954327600789401E-2</v>
      </c>
      <c r="AE35" s="7">
        <f>232.14+SUMIFS(Table1[ExtraExpenses],Table1[Mon_Yr],Table1[[#This Row],[Mon_Yr]])</f>
        <v>232.14</v>
      </c>
      <c r="AF35" s="7">
        <f t="shared" si="18"/>
        <v>21.103636363636362</v>
      </c>
      <c r="AG35" s="8">
        <f t="shared" si="27"/>
        <v>627.18181818561811</v>
      </c>
      <c r="AH35" s="8">
        <f t="shared" si="28"/>
        <v>15.090909094709088</v>
      </c>
      <c r="AI35">
        <f>YEAR(Table1[[#This Row],[Date]])</f>
        <v>2019</v>
      </c>
      <c r="AK35">
        <v>12</v>
      </c>
      <c r="AL35" s="8">
        <f>Table1[[#This Row],[Calories]]/Table1[[#This Row],[ClassLength]]</f>
        <v>10.487736115085987</v>
      </c>
      <c r="AM35" t="str">
        <f>RIGHT(Table1[[#This Row],[Time]],2)</f>
        <v>PM</v>
      </c>
      <c r="AN35" t="str">
        <f>Table1[[#This Row],[Mon_Yr]]&amp;"-"&amp;WEEKNUM(Table1[[#This Row],[Date]],1)-WEEKNUM(DATE(YEAR(Table1[[#This Row],[Date]]),MONTH(Table1[[#This Row],[Date]]),1),1)+1</f>
        <v>8-2019-2</v>
      </c>
      <c r="AO35">
        <f>MONTH(Table1[[#This Row],[Date]])</f>
        <v>8</v>
      </c>
      <c r="AP35" s="8">
        <f>IFERROR(Table1[[#This Row],[Calories]]/Table1[[#This Row],[Splat]],0)</f>
        <v>34.444444437941357</v>
      </c>
      <c r="AQ35" s="10">
        <f>COUNTIF(Table1[Location],Table1[[#This Row],[Location]])</f>
        <v>48</v>
      </c>
      <c r="AR35" s="10">
        <f>IF(AND(Table1[[#This Row],[Calories]]&gt;=600,Table1[[#This Row],[Splat]]&gt;=12),1,0)</f>
        <v>1</v>
      </c>
      <c r="AS35" s="10">
        <f>IF(AND(Table1[[#This Row],[Calories]]&gt;=500,Table1[[#This Row],[Splat]]&gt;=12),1,0)</f>
        <v>1</v>
      </c>
      <c r="AT35" s="8">
        <f>Table1[[#This Row],[ClassLength]]/Table1[[#This Row],[Calories]]</f>
        <v>9.5349462365053136E-2</v>
      </c>
      <c r="AU3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35" s="10">
        <f>COUNTIF(Table1[Trainer],Table1[[#This Row],[Trainer]])</f>
        <v>29</v>
      </c>
      <c r="AW35" s="10" t="str">
        <f>UPPER(LEFT(TEXT(Table1[Date],"mmmm"),3))&amp;" "&amp;TEXT(Table1[Date],"yyyy")</f>
        <v>AUG 2019</v>
      </c>
      <c r="AX35" s="10">
        <f>VLOOKUP(Table1[[#This Row],[Location]],'Tab for Charts'!$A$93:$B$103,2,FALSE)</f>
        <v>38.916486999999996</v>
      </c>
      <c r="AY35" s="10">
        <f>VLOOKUP(Table1[[#This Row],[Location]],'Tab for Charts'!$A$93:$C$103,3,FALSE)</f>
        <v>-77.031514000000001</v>
      </c>
    </row>
    <row r="36" spans="1:51">
      <c r="A36">
        <f t="shared" si="17"/>
        <v>35</v>
      </c>
      <c r="B36">
        <f t="shared" si="20"/>
        <v>11</v>
      </c>
      <c r="C36" s="1">
        <v>43685</v>
      </c>
      <c r="D36" s="8">
        <f>57+10/60</f>
        <v>57.166666666666664</v>
      </c>
      <c r="E36">
        <v>11.0000000036</v>
      </c>
      <c r="F36">
        <v>583.00000000360001</v>
      </c>
      <c r="G36">
        <v>122</v>
      </c>
      <c r="H36">
        <v>165</v>
      </c>
      <c r="I36">
        <f>17+9/60</f>
        <v>17.149999999999999</v>
      </c>
      <c r="J36">
        <f>12+29/60</f>
        <v>12.483333333333333</v>
      </c>
      <c r="K36">
        <f>16+21/60</f>
        <v>16.350000000000001</v>
      </c>
      <c r="L36">
        <f>10+8/60</f>
        <v>10.133333333333333</v>
      </c>
      <c r="M36">
        <f>1+3/60</f>
        <v>1.05</v>
      </c>
      <c r="N36" t="s">
        <v>6</v>
      </c>
      <c r="O36" t="s">
        <v>7</v>
      </c>
      <c r="P36" t="s">
        <v>8</v>
      </c>
      <c r="Q36" s="34">
        <f t="shared" si="29"/>
        <v>2</v>
      </c>
      <c r="R36" t="str">
        <f t="shared" si="21"/>
        <v>Correct</v>
      </c>
      <c r="S36" t="str">
        <f t="shared" si="22"/>
        <v>8-2019</v>
      </c>
      <c r="T36" t="str">
        <f t="shared" si="23"/>
        <v>Thursday</v>
      </c>
      <c r="U36">
        <f t="shared" si="10"/>
        <v>0</v>
      </c>
      <c r="V36" s="8">
        <f>IFERROR(Table1[[#This Row],[ClassLength]]/Table1[[#This Row],[Splat]],0)</f>
        <v>5.1969696952688702</v>
      </c>
      <c r="W36">
        <f t="shared" si="24"/>
        <v>1</v>
      </c>
      <c r="X36">
        <f t="shared" si="25"/>
        <v>0</v>
      </c>
      <c r="Y36">
        <f t="shared" si="26"/>
        <v>0</v>
      </c>
      <c r="Z36" s="5">
        <f t="shared" si="11"/>
        <v>0.3</v>
      </c>
      <c r="AA36" s="5">
        <f t="shared" si="12"/>
        <v>0.21836734693877549</v>
      </c>
      <c r="AB36" s="5">
        <f t="shared" si="13"/>
        <v>0.28600583090379011</v>
      </c>
      <c r="AC36" s="5">
        <f t="shared" si="14"/>
        <v>0.1772594752186589</v>
      </c>
      <c r="AD36" s="5">
        <f t="shared" si="15"/>
        <v>1.8367346938775512E-2</v>
      </c>
      <c r="AE36" s="7">
        <f>232.14+SUMIFS(Table1[ExtraExpenses],Table1[Mon_Yr],Table1[[#This Row],[Mon_Yr]])</f>
        <v>232.14</v>
      </c>
      <c r="AF36" s="7">
        <f t="shared" si="18"/>
        <v>21.103636363636362</v>
      </c>
      <c r="AG36" s="8">
        <f t="shared" si="27"/>
        <v>627.18181818561811</v>
      </c>
      <c r="AH36" s="8">
        <f t="shared" si="28"/>
        <v>15.090909094709088</v>
      </c>
      <c r="AI36">
        <f>YEAR(Table1[[#This Row],[Date]])</f>
        <v>2019</v>
      </c>
      <c r="AK36">
        <v>12</v>
      </c>
      <c r="AL36" s="8">
        <f>Table1[[#This Row],[Calories]]/Table1[[#This Row],[ClassLength]]</f>
        <v>10.198250728925949</v>
      </c>
      <c r="AM36" t="str">
        <f>RIGHT(Table1[[#This Row],[Time]],2)</f>
        <v>PM</v>
      </c>
      <c r="AN36" t="str">
        <f>Table1[[#This Row],[Mon_Yr]]&amp;"-"&amp;WEEKNUM(Table1[[#This Row],[Date]],1)-WEEKNUM(DATE(YEAR(Table1[[#This Row],[Date]]),MONTH(Table1[[#This Row],[Date]]),1),1)+1</f>
        <v>8-2019-2</v>
      </c>
      <c r="AO36">
        <f>MONTH(Table1[[#This Row],[Date]])</f>
        <v>8</v>
      </c>
      <c r="AP36" s="8">
        <f>IFERROR(Table1[[#This Row],[Calories]]/Table1[[#This Row],[Splat]],0)</f>
        <v>52.999999982981819</v>
      </c>
      <c r="AQ36" s="10">
        <f>COUNTIF(Table1[Location],Table1[[#This Row],[Location]])</f>
        <v>35</v>
      </c>
      <c r="AR36" s="10">
        <f>IF(AND(Table1[[#This Row],[Calories]]&gt;=600,Table1[[#This Row],[Splat]]&gt;=12),1,0)</f>
        <v>0</v>
      </c>
      <c r="AS36" s="10">
        <f>IF(AND(Table1[[#This Row],[Calories]]&gt;=500,Table1[[#This Row],[Splat]]&gt;=12),1,0)</f>
        <v>0</v>
      </c>
      <c r="AT36" s="8">
        <f>Table1[[#This Row],[ClassLength]]/Table1[[#This Row],[Calories]]</f>
        <v>9.805603201769067E-2</v>
      </c>
      <c r="AU3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36" s="10">
        <f>COUNTIF(Table1[Trainer],Table1[[#This Row],[Trainer]])</f>
        <v>13</v>
      </c>
      <c r="AW36" s="10" t="str">
        <f>UPPER(LEFT(TEXT(Table1[Date],"mmmm"),3))&amp;" "&amp;TEXT(Table1[Date],"yyyy")</f>
        <v>AUG 2019</v>
      </c>
      <c r="AX36" s="10">
        <f>VLOOKUP(Table1[[#This Row],[Location]],'Tab for Charts'!$A$93:$B$103,2,FALSE)</f>
        <v>38.881884999999997</v>
      </c>
      <c r="AY36" s="10">
        <f>VLOOKUP(Table1[[#This Row],[Location]],'Tab for Charts'!$A$93:$C$103,3,FALSE)</f>
        <v>-77.229702000000003</v>
      </c>
    </row>
    <row r="37" spans="1:51">
      <c r="A37">
        <f t="shared" si="17"/>
        <v>36</v>
      </c>
      <c r="B37">
        <f t="shared" si="20"/>
        <v>11</v>
      </c>
      <c r="C37" s="1">
        <v>43687</v>
      </c>
      <c r="D37" s="8">
        <f>57+56/60</f>
        <v>57.93333333333333</v>
      </c>
      <c r="E37">
        <v>15.0000000037</v>
      </c>
      <c r="F37">
        <v>665.00000000370005</v>
      </c>
      <c r="G37">
        <v>131</v>
      </c>
      <c r="H37">
        <v>176</v>
      </c>
      <c r="I37">
        <f>11+39/60</f>
        <v>11.65</v>
      </c>
      <c r="J37">
        <f>11+1/60</f>
        <v>11.016666666666667</v>
      </c>
      <c r="K37">
        <f>19+53/60</f>
        <v>19.883333333333333</v>
      </c>
      <c r="L37">
        <f>7+20/60</f>
        <v>7.333333333333333</v>
      </c>
      <c r="M37">
        <f>8+3/60</f>
        <v>8.0500000000000007</v>
      </c>
      <c r="N37" t="s">
        <v>15</v>
      </c>
      <c r="O37" t="s">
        <v>24</v>
      </c>
      <c r="P37" t="s">
        <v>17</v>
      </c>
      <c r="Q37" s="34">
        <f t="shared" si="29"/>
        <v>2</v>
      </c>
      <c r="R37" t="str">
        <f t="shared" si="21"/>
        <v>Correct</v>
      </c>
      <c r="S37" t="str">
        <f t="shared" si="22"/>
        <v>8-2019</v>
      </c>
      <c r="T37" t="str">
        <f t="shared" si="23"/>
        <v>Saturday</v>
      </c>
      <c r="U37">
        <f t="shared" si="10"/>
        <v>1</v>
      </c>
      <c r="V37" s="8">
        <f>IFERROR(Table1[[#This Row],[ClassLength]]/Table1[[#This Row],[Splat]],0)</f>
        <v>3.8622222212695405</v>
      </c>
      <c r="W37">
        <f t="shared" si="24"/>
        <v>1</v>
      </c>
      <c r="X37">
        <f t="shared" si="25"/>
        <v>0</v>
      </c>
      <c r="Y37">
        <f t="shared" si="26"/>
        <v>0</v>
      </c>
      <c r="Z37" s="5">
        <f t="shared" si="11"/>
        <v>0.20109321058688148</v>
      </c>
      <c r="AA37" s="5">
        <f t="shared" si="12"/>
        <v>0.19016110471806677</v>
      </c>
      <c r="AB37" s="5">
        <f t="shared" si="13"/>
        <v>0.34321058688147299</v>
      </c>
      <c r="AC37" s="5">
        <f t="shared" si="14"/>
        <v>0.12658227848101267</v>
      </c>
      <c r="AD37" s="5">
        <f t="shared" si="15"/>
        <v>0.1389528193325662</v>
      </c>
      <c r="AE37" s="7">
        <f>232.14+SUMIFS(Table1[ExtraExpenses],Table1[Mon_Yr],Table1[[#This Row],[Mon_Yr]])</f>
        <v>232.14</v>
      </c>
      <c r="AF37" s="7">
        <f t="shared" si="18"/>
        <v>21.103636363636362</v>
      </c>
      <c r="AG37" s="8">
        <f t="shared" si="27"/>
        <v>627.18181818561811</v>
      </c>
      <c r="AH37" s="8">
        <f t="shared" si="28"/>
        <v>15.090909094709088</v>
      </c>
      <c r="AI37">
        <f>YEAR(Table1[[#This Row],[Date]])</f>
        <v>2019</v>
      </c>
      <c r="AK37">
        <v>12</v>
      </c>
      <c r="AL37" s="8">
        <f>Table1[[#This Row],[Calories]]/Table1[[#This Row],[ClassLength]]</f>
        <v>11.478711162319334</v>
      </c>
      <c r="AM37" t="str">
        <f>RIGHT(Table1[[#This Row],[Time]],2)</f>
        <v>AM</v>
      </c>
      <c r="AN37" t="str">
        <f>Table1[[#This Row],[Mon_Yr]]&amp;"-"&amp;WEEKNUM(Table1[[#This Row],[Date]],1)-WEEKNUM(DATE(YEAR(Table1[[#This Row],[Date]]),MONTH(Table1[[#This Row],[Date]]),1),1)+1</f>
        <v>8-2019-2</v>
      </c>
      <c r="AO37">
        <f>MONTH(Table1[[#This Row],[Date]])</f>
        <v>8</v>
      </c>
      <c r="AP37" s="8">
        <f>IFERROR(Table1[[#This Row],[Calories]]/Table1[[#This Row],[Splat]],0)</f>
        <v>44.333333322644449</v>
      </c>
      <c r="AQ37" s="10">
        <f>COUNTIF(Table1[Location],Table1[[#This Row],[Location]])</f>
        <v>48</v>
      </c>
      <c r="AR37" s="10">
        <f>IF(AND(Table1[[#This Row],[Calories]]&gt;=600,Table1[[#This Row],[Splat]]&gt;=12),1,0)</f>
        <v>1</v>
      </c>
      <c r="AS37" s="10">
        <f>IF(AND(Table1[[#This Row],[Calories]]&gt;=500,Table1[[#This Row],[Splat]]&gt;=12),1,0)</f>
        <v>1</v>
      </c>
      <c r="AT37" s="8">
        <f>Table1[[#This Row],[ClassLength]]/Table1[[#This Row],[Calories]]</f>
        <v>8.7117794485730815E-2</v>
      </c>
      <c r="AU3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37" s="10">
        <f>COUNTIF(Table1[Trainer],Table1[[#This Row],[Trainer]])</f>
        <v>29</v>
      </c>
      <c r="AW37" s="10" t="str">
        <f>UPPER(LEFT(TEXT(Table1[Date],"mmmm"),3))&amp;" "&amp;TEXT(Table1[Date],"yyyy")</f>
        <v>AUG 2019</v>
      </c>
      <c r="AX37" s="10">
        <f>VLOOKUP(Table1[[#This Row],[Location]],'Tab for Charts'!$A$93:$B$103,2,FALSE)</f>
        <v>38.916486999999996</v>
      </c>
      <c r="AY37" s="10">
        <f>VLOOKUP(Table1[[#This Row],[Location]],'Tab for Charts'!$A$93:$C$103,3,FALSE)</f>
        <v>-77.031514000000001</v>
      </c>
    </row>
    <row r="38" spans="1:51">
      <c r="A38">
        <f t="shared" si="17"/>
        <v>37</v>
      </c>
      <c r="B38">
        <f t="shared" si="20"/>
        <v>11</v>
      </c>
      <c r="C38" s="1">
        <v>43689</v>
      </c>
      <c r="D38" s="8">
        <f>57+18/60</f>
        <v>57.3</v>
      </c>
      <c r="E38">
        <v>13.0000000038</v>
      </c>
      <c r="F38">
        <v>659.00000000379998</v>
      </c>
      <c r="G38">
        <v>131</v>
      </c>
      <c r="H38">
        <v>167</v>
      </c>
      <c r="I38">
        <f>6+5/60</f>
        <v>6.083333333333333</v>
      </c>
      <c r="J38">
        <f>15+12/60</f>
        <v>15.2</v>
      </c>
      <c r="K38">
        <f>23+3/60</f>
        <v>23.05</v>
      </c>
      <c r="L38">
        <f>10+16/60</f>
        <v>10.266666666666667</v>
      </c>
      <c r="M38">
        <f>2+42/60</f>
        <v>2.7</v>
      </c>
      <c r="N38" t="s">
        <v>21</v>
      </c>
      <c r="O38" t="s">
        <v>7</v>
      </c>
      <c r="P38" t="s">
        <v>23</v>
      </c>
      <c r="Q38" s="34">
        <f t="shared" si="29"/>
        <v>2</v>
      </c>
      <c r="R38" t="str">
        <f t="shared" si="21"/>
        <v>Correct</v>
      </c>
      <c r="S38" t="str">
        <f t="shared" si="22"/>
        <v>8-2019</v>
      </c>
      <c r="T38" t="str">
        <f t="shared" si="23"/>
        <v>Monday</v>
      </c>
      <c r="U38">
        <f t="shared" si="10"/>
        <v>1</v>
      </c>
      <c r="V38" s="8">
        <f>IFERROR(Table1[[#This Row],[ClassLength]]/Table1[[#This Row],[Splat]],0)</f>
        <v>4.4076923064039049</v>
      </c>
      <c r="W38">
        <f t="shared" si="24"/>
        <v>1</v>
      </c>
      <c r="X38">
        <f t="shared" si="25"/>
        <v>0</v>
      </c>
      <c r="Y38">
        <f t="shared" si="26"/>
        <v>0</v>
      </c>
      <c r="Z38" s="5">
        <f t="shared" si="11"/>
        <v>0.10616637579988365</v>
      </c>
      <c r="AA38" s="5">
        <f t="shared" si="12"/>
        <v>0.26527050610820246</v>
      </c>
      <c r="AB38" s="5">
        <f t="shared" si="13"/>
        <v>0.40226876090750441</v>
      </c>
      <c r="AC38" s="5">
        <f t="shared" si="14"/>
        <v>0.17917393833624201</v>
      </c>
      <c r="AD38" s="5">
        <f t="shared" si="15"/>
        <v>4.7120418848167547E-2</v>
      </c>
      <c r="AE38" s="7">
        <f>232.14+SUMIFS(Table1[ExtraExpenses],Table1[Mon_Yr],Table1[[#This Row],[Mon_Yr]])</f>
        <v>232.14</v>
      </c>
      <c r="AF38" s="7">
        <f t="shared" si="18"/>
        <v>21.103636363636362</v>
      </c>
      <c r="AG38" s="8">
        <f t="shared" si="27"/>
        <v>627.18181818561811</v>
      </c>
      <c r="AH38" s="8">
        <f t="shared" si="28"/>
        <v>15.090909094709088</v>
      </c>
      <c r="AI38">
        <f>YEAR(Table1[[#This Row],[Date]])</f>
        <v>2019</v>
      </c>
      <c r="AK38">
        <v>12</v>
      </c>
      <c r="AL38" s="8">
        <f>Table1[[#This Row],[Calories]]/Table1[[#This Row],[ClassLength]]</f>
        <v>11.500872600415358</v>
      </c>
      <c r="AM38" t="str">
        <f>RIGHT(Table1[[#This Row],[Time]],2)</f>
        <v>PM</v>
      </c>
      <c r="AN38" t="str">
        <f>Table1[[#This Row],[Mon_Yr]]&amp;"-"&amp;WEEKNUM(Table1[[#This Row],[Date]],1)-WEEKNUM(DATE(YEAR(Table1[[#This Row],[Date]]),MONTH(Table1[[#This Row],[Date]]),1),1)+1</f>
        <v>8-2019-3</v>
      </c>
      <c r="AO38">
        <f>MONTH(Table1[[#This Row],[Date]])</f>
        <v>8</v>
      </c>
      <c r="AP38" s="8">
        <f>IFERROR(Table1[[#This Row],[Calories]]/Table1[[#This Row],[Splat]],0)</f>
        <v>50.692307677782246</v>
      </c>
      <c r="AQ38" s="10">
        <f>COUNTIF(Table1[Location],Table1[[#This Row],[Location]])</f>
        <v>37</v>
      </c>
      <c r="AR38" s="10">
        <f>IF(AND(Table1[[#This Row],[Calories]]&gt;=600,Table1[[#This Row],[Splat]]&gt;=12),1,0)</f>
        <v>1</v>
      </c>
      <c r="AS38" s="10">
        <f>IF(AND(Table1[[#This Row],[Calories]]&gt;=500,Table1[[#This Row],[Splat]]&gt;=12),1,0)</f>
        <v>1</v>
      </c>
      <c r="AT38" s="8">
        <f>Table1[[#This Row],[ClassLength]]/Table1[[#This Row],[Calories]]</f>
        <v>8.6949924126964478E-2</v>
      </c>
      <c r="AU3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38" s="10">
        <f>COUNTIF(Table1[Trainer],Table1[[#This Row],[Trainer]])</f>
        <v>20</v>
      </c>
      <c r="AW38" s="10" t="str">
        <f>UPPER(LEFT(TEXT(Table1[Date],"mmmm"),3))&amp;" "&amp;TEXT(Table1[Date],"yyyy")</f>
        <v>AUG 2019</v>
      </c>
      <c r="AX38" s="10">
        <f>VLOOKUP(Table1[[#This Row],[Location]],'Tab for Charts'!$A$93:$B$103,2,FALSE)</f>
        <v>38.903509999999997</v>
      </c>
      <c r="AY38" s="10">
        <f>VLOOKUP(Table1[[#This Row],[Location]],'Tab for Charts'!$A$93:$C$103,3,FALSE)</f>
        <v>-77.051809000000006</v>
      </c>
    </row>
    <row r="39" spans="1:51">
      <c r="A39">
        <f t="shared" si="17"/>
        <v>38</v>
      </c>
      <c r="B39">
        <f t="shared" si="20"/>
        <v>11</v>
      </c>
      <c r="C39" s="1">
        <v>43691</v>
      </c>
      <c r="D39" s="8">
        <f>59+14/60</f>
        <v>59.233333333333334</v>
      </c>
      <c r="E39">
        <v>16.000000003899999</v>
      </c>
      <c r="F39">
        <v>523.00000000390003</v>
      </c>
      <c r="G39">
        <v>113</v>
      </c>
      <c r="H39">
        <v>172</v>
      </c>
      <c r="I39">
        <f>31+10/60</f>
        <v>31.166666666666668</v>
      </c>
      <c r="J39">
        <f>4+15/60</f>
        <v>4.25</v>
      </c>
      <c r="K39">
        <f>8+15/60</f>
        <v>8.25</v>
      </c>
      <c r="L39">
        <f>8+52/60</f>
        <v>8.8666666666666671</v>
      </c>
      <c r="M39">
        <f>6+42/60</f>
        <v>6.7</v>
      </c>
      <c r="N39" t="s">
        <v>21</v>
      </c>
      <c r="O39" s="3" t="s">
        <v>7</v>
      </c>
      <c r="P39" t="s">
        <v>19</v>
      </c>
      <c r="Q39" s="34">
        <f t="shared" si="29"/>
        <v>2</v>
      </c>
      <c r="R39" t="str">
        <f t="shared" si="21"/>
        <v>Correct</v>
      </c>
      <c r="S39" t="str">
        <f t="shared" si="22"/>
        <v>8-2019</v>
      </c>
      <c r="T39" t="str">
        <f t="shared" si="23"/>
        <v>Wednesday</v>
      </c>
      <c r="U39">
        <f t="shared" si="10"/>
        <v>1</v>
      </c>
      <c r="V39" s="8">
        <f>IFERROR(Table1[[#This Row],[ClassLength]]/Table1[[#This Row],[Splat]],0)</f>
        <v>3.7020833324309508</v>
      </c>
      <c r="W39">
        <f t="shared" si="24"/>
        <v>1</v>
      </c>
      <c r="X39">
        <f t="shared" si="25"/>
        <v>0</v>
      </c>
      <c r="Y39">
        <f t="shared" si="26"/>
        <v>0</v>
      </c>
      <c r="Z39" s="5">
        <f t="shared" si="11"/>
        <v>0.52616769836803601</v>
      </c>
      <c r="AA39" s="5">
        <f t="shared" si="12"/>
        <v>7.1750140686550362E-2</v>
      </c>
      <c r="AB39" s="5">
        <f t="shared" si="13"/>
        <v>0.13927968486212719</v>
      </c>
      <c r="AC39" s="5">
        <f t="shared" si="14"/>
        <v>0.14969048958919529</v>
      </c>
      <c r="AD39" s="5">
        <f t="shared" si="15"/>
        <v>0.11311198649409117</v>
      </c>
      <c r="AE39" s="7">
        <f>232.14+SUMIFS(Table1[ExtraExpenses],Table1[Mon_Yr],Table1[[#This Row],[Mon_Yr]])</f>
        <v>232.14</v>
      </c>
      <c r="AF39" s="7">
        <f t="shared" si="18"/>
        <v>21.103636363636362</v>
      </c>
      <c r="AG39" s="8">
        <f t="shared" si="27"/>
        <v>627.18181818561811</v>
      </c>
      <c r="AH39" s="8">
        <f t="shared" si="28"/>
        <v>15.090909094709088</v>
      </c>
      <c r="AI39">
        <f>YEAR(Table1[[#This Row],[Date]])</f>
        <v>2019</v>
      </c>
      <c r="AK39">
        <v>12</v>
      </c>
      <c r="AL39" s="8">
        <f>Table1[[#This Row],[Calories]]/Table1[[#This Row],[ClassLength]]</f>
        <v>8.8294879010225102</v>
      </c>
      <c r="AM39" t="str">
        <f>RIGHT(Table1[[#This Row],[Time]],2)</f>
        <v>PM</v>
      </c>
      <c r="AN39" t="str">
        <f>Table1[[#This Row],[Mon_Yr]]&amp;"-"&amp;WEEKNUM(Table1[[#This Row],[Date]],1)-WEEKNUM(DATE(YEAR(Table1[[#This Row],[Date]]),MONTH(Table1[[#This Row],[Date]]),1),1)+1</f>
        <v>8-2019-3</v>
      </c>
      <c r="AO39">
        <f>MONTH(Table1[[#This Row],[Date]])</f>
        <v>8</v>
      </c>
      <c r="AP39" s="8">
        <f>IFERROR(Table1[[#This Row],[Calories]]/Table1[[#This Row],[Splat]],0)</f>
        <v>32.687499992276173</v>
      </c>
      <c r="AQ39" s="10">
        <f>COUNTIF(Table1[Location],Table1[[#This Row],[Location]])</f>
        <v>37</v>
      </c>
      <c r="AR39" s="10">
        <f>IF(AND(Table1[[#This Row],[Calories]]&gt;=600,Table1[[#This Row],[Splat]]&gt;=12),1,0)</f>
        <v>0</v>
      </c>
      <c r="AS39" s="10">
        <f>IF(AND(Table1[[#This Row],[Calories]]&gt;=500,Table1[[#This Row],[Splat]]&gt;=12),1,0)</f>
        <v>1</v>
      </c>
      <c r="AT39" s="8">
        <f>Table1[[#This Row],[ClassLength]]/Table1[[#This Row],[Calories]]</f>
        <v>0.11325685149692472</v>
      </c>
      <c r="AU3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39" s="10">
        <f>COUNTIF(Table1[Trainer],Table1[[#This Row],[Trainer]])</f>
        <v>12</v>
      </c>
      <c r="AW39" s="10" t="str">
        <f>UPPER(LEFT(TEXT(Table1[Date],"mmmm"),3))&amp;" "&amp;TEXT(Table1[Date],"yyyy")</f>
        <v>AUG 2019</v>
      </c>
      <c r="AX39" s="10">
        <f>VLOOKUP(Table1[[#This Row],[Location]],'Tab for Charts'!$A$93:$B$103,2,FALSE)</f>
        <v>38.903509999999997</v>
      </c>
      <c r="AY39" s="10">
        <f>VLOOKUP(Table1[[#This Row],[Location]],'Tab for Charts'!$A$93:$C$103,3,FALSE)</f>
        <v>-77.051809000000006</v>
      </c>
    </row>
    <row r="40" spans="1:51">
      <c r="A40">
        <f t="shared" si="17"/>
        <v>39</v>
      </c>
      <c r="B40">
        <f t="shared" si="20"/>
        <v>11</v>
      </c>
      <c r="C40" s="1">
        <v>43697</v>
      </c>
      <c r="D40" s="8">
        <f>60+29/60</f>
        <v>60.483333333333334</v>
      </c>
      <c r="E40">
        <v>8.0000000040000003</v>
      </c>
      <c r="F40">
        <v>632.00000000399996</v>
      </c>
      <c r="G40">
        <v>124</v>
      </c>
      <c r="H40">
        <v>171</v>
      </c>
      <c r="I40">
        <f>12+23/60</f>
        <v>12.383333333333333</v>
      </c>
      <c r="J40">
        <f>17+51/60</f>
        <v>17.850000000000001</v>
      </c>
      <c r="K40">
        <f>21+33/60</f>
        <v>21.55</v>
      </c>
      <c r="L40">
        <f>6+15/60</f>
        <v>6.25</v>
      </c>
      <c r="M40">
        <f>2+27/60</f>
        <v>2.4500000000000002</v>
      </c>
      <c r="N40" t="s">
        <v>6</v>
      </c>
      <c r="O40" t="s">
        <v>7</v>
      </c>
      <c r="P40" t="s">
        <v>40</v>
      </c>
      <c r="Q40" s="34">
        <f t="shared" si="29"/>
        <v>6</v>
      </c>
      <c r="R40" t="str">
        <f t="shared" si="21"/>
        <v>Loss</v>
      </c>
      <c r="S40" t="str">
        <f t="shared" si="22"/>
        <v>8-2019</v>
      </c>
      <c r="T40" t="str">
        <f t="shared" si="23"/>
        <v>Tuesday</v>
      </c>
      <c r="U40">
        <f t="shared" si="10"/>
        <v>0</v>
      </c>
      <c r="V40" s="8">
        <f>IFERROR(Table1[[#This Row],[ClassLength]]/Table1[[#This Row],[Splat]],0)</f>
        <v>7.5604166628864578</v>
      </c>
      <c r="W40">
        <f t="shared" si="24"/>
        <v>0</v>
      </c>
      <c r="X40">
        <f t="shared" si="25"/>
        <v>0</v>
      </c>
      <c r="Y40">
        <f t="shared" si="26"/>
        <v>1</v>
      </c>
      <c r="Z40" s="5">
        <f t="shared" si="11"/>
        <v>0.20473959768531275</v>
      </c>
      <c r="AA40" s="5">
        <f t="shared" si="12"/>
        <v>0.29512262331220723</v>
      </c>
      <c r="AB40" s="5">
        <f t="shared" si="13"/>
        <v>0.35629650041333699</v>
      </c>
      <c r="AC40" s="5">
        <f t="shared" si="14"/>
        <v>0.10333425186001653</v>
      </c>
      <c r="AD40" s="5">
        <f t="shared" si="15"/>
        <v>4.0507026729126483E-2</v>
      </c>
      <c r="AE40" s="7">
        <f>232.14+SUMIFS(Table1[ExtraExpenses],Table1[Mon_Yr],Table1[[#This Row],[Mon_Yr]])</f>
        <v>232.14</v>
      </c>
      <c r="AF40" s="7">
        <f t="shared" si="18"/>
        <v>21.103636363636362</v>
      </c>
      <c r="AG40" s="8">
        <f t="shared" si="27"/>
        <v>627.18181818561811</v>
      </c>
      <c r="AH40" s="8">
        <f t="shared" si="28"/>
        <v>15.090909094709088</v>
      </c>
      <c r="AI40">
        <f>YEAR(Table1[[#This Row],[Date]])</f>
        <v>2019</v>
      </c>
      <c r="AK40">
        <v>12</v>
      </c>
      <c r="AL40" s="8">
        <f>Table1[[#This Row],[Calories]]/Table1[[#This Row],[ClassLength]]</f>
        <v>10.449159548151005</v>
      </c>
      <c r="AM40" t="str">
        <f>RIGHT(Table1[[#This Row],[Time]],2)</f>
        <v>PM</v>
      </c>
      <c r="AN40" t="str">
        <f>Table1[[#This Row],[Mon_Yr]]&amp;"-"&amp;WEEKNUM(Table1[[#This Row],[Date]],1)-WEEKNUM(DATE(YEAR(Table1[[#This Row],[Date]]),MONTH(Table1[[#This Row],[Date]]),1),1)+1</f>
        <v>8-2019-4</v>
      </c>
      <c r="AO40">
        <f>MONTH(Table1[[#This Row],[Date]])</f>
        <v>8</v>
      </c>
      <c r="AP40" s="8">
        <f>IFERROR(Table1[[#This Row],[Calories]]/Table1[[#This Row],[Splat]],0)</f>
        <v>78.999999960999986</v>
      </c>
      <c r="AQ40" s="10">
        <f>COUNTIF(Table1[Location],Table1[[#This Row],[Location]])</f>
        <v>35</v>
      </c>
      <c r="AR40" s="10">
        <f>IF(AND(Table1[[#This Row],[Calories]]&gt;=600,Table1[[#This Row],[Splat]]&gt;=12),1,0)</f>
        <v>0</v>
      </c>
      <c r="AS40" s="10">
        <f>IF(AND(Table1[[#This Row],[Calories]]&gt;=500,Table1[[#This Row],[Splat]]&gt;=12),1,0)</f>
        <v>0</v>
      </c>
      <c r="AT40" s="8">
        <f>Table1[[#This Row],[ClassLength]]/Table1[[#This Row],[Calories]]</f>
        <v>9.570147679264325E-2</v>
      </c>
      <c r="AU4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40" s="10">
        <f>COUNTIF(Table1[Trainer],Table1[[#This Row],[Trainer]])</f>
        <v>1</v>
      </c>
      <c r="AW40" s="10" t="str">
        <f>UPPER(LEFT(TEXT(Table1[Date],"mmmm"),3))&amp;" "&amp;TEXT(Table1[Date],"yyyy")</f>
        <v>AUG 2019</v>
      </c>
      <c r="AX40" s="10">
        <f>VLOOKUP(Table1[[#This Row],[Location]],'Tab for Charts'!$A$93:$B$103,2,FALSE)</f>
        <v>38.881884999999997</v>
      </c>
      <c r="AY40" s="10">
        <f>VLOOKUP(Table1[[#This Row],[Location]],'Tab for Charts'!$A$93:$C$103,3,FALSE)</f>
        <v>-77.229702000000003</v>
      </c>
    </row>
    <row r="41" spans="1:51">
      <c r="A41">
        <f t="shared" si="17"/>
        <v>40</v>
      </c>
      <c r="B41">
        <f t="shared" si="20"/>
        <v>11</v>
      </c>
      <c r="C41" s="1">
        <v>43699</v>
      </c>
      <c r="D41" s="8">
        <f>54+50/60</f>
        <v>54.833333333333336</v>
      </c>
      <c r="E41">
        <v>16.000000004099999</v>
      </c>
      <c r="F41">
        <v>633.0000000041</v>
      </c>
      <c r="G41">
        <v>131</v>
      </c>
      <c r="H41">
        <v>172</v>
      </c>
      <c r="I41">
        <f>8+16/60</f>
        <v>8.2666666666666675</v>
      </c>
      <c r="J41">
        <f>14+18/60</f>
        <v>14.3</v>
      </c>
      <c r="K41">
        <f>16+56/60</f>
        <v>16.933333333333334</v>
      </c>
      <c r="L41">
        <f>8+38/60</f>
        <v>8.6333333333333329</v>
      </c>
      <c r="M41">
        <f>6+42/60</f>
        <v>6.7</v>
      </c>
      <c r="N41" t="s">
        <v>201</v>
      </c>
      <c r="O41" t="s">
        <v>45</v>
      </c>
      <c r="P41" t="s">
        <v>199</v>
      </c>
      <c r="Q41" s="34">
        <f t="shared" si="29"/>
        <v>2</v>
      </c>
      <c r="R41" t="str">
        <f t="shared" si="21"/>
        <v>Gain</v>
      </c>
      <c r="S41" t="str">
        <f t="shared" si="22"/>
        <v>8-2019</v>
      </c>
      <c r="T41" t="str">
        <f t="shared" si="23"/>
        <v>Thursday</v>
      </c>
      <c r="U41">
        <f t="shared" si="10"/>
        <v>1</v>
      </c>
      <c r="V41" s="8">
        <f>IFERROR(Table1[[#This Row],[ClassLength]]/Table1[[#This Row],[Splat]],0)</f>
        <v>3.4270833324551435</v>
      </c>
      <c r="W41">
        <f t="shared" si="24"/>
        <v>0</v>
      </c>
      <c r="X41">
        <f t="shared" si="25"/>
        <v>1</v>
      </c>
      <c r="Y41">
        <f t="shared" si="26"/>
        <v>0</v>
      </c>
      <c r="Z41" s="5">
        <f t="shared" si="11"/>
        <v>0.1507598784194529</v>
      </c>
      <c r="AA41" s="5">
        <f t="shared" si="12"/>
        <v>0.26079027355623102</v>
      </c>
      <c r="AB41" s="5">
        <f t="shared" si="13"/>
        <v>0.3088145896656535</v>
      </c>
      <c r="AC41" s="5">
        <f t="shared" si="14"/>
        <v>0.15744680851063828</v>
      </c>
      <c r="AD41" s="5">
        <f t="shared" si="15"/>
        <v>0.12218844984802431</v>
      </c>
      <c r="AE41" s="7">
        <f>232.14+SUMIFS(Table1[ExtraExpenses],Table1[Mon_Yr],Table1[[#This Row],[Mon_Yr]])</f>
        <v>232.14</v>
      </c>
      <c r="AF41" s="7">
        <f t="shared" si="18"/>
        <v>21.103636363636362</v>
      </c>
      <c r="AG41" s="8">
        <f t="shared" si="27"/>
        <v>627.18181818561811</v>
      </c>
      <c r="AH41" s="8">
        <f t="shared" si="28"/>
        <v>15.090909094709088</v>
      </c>
      <c r="AI41">
        <f>YEAR(Table1[[#This Row],[Date]])</f>
        <v>2019</v>
      </c>
      <c r="AK41">
        <v>12</v>
      </c>
      <c r="AL41" s="8">
        <f>Table1[[#This Row],[Calories]]/Table1[[#This Row],[ClassLength]]</f>
        <v>11.54407294840304</v>
      </c>
      <c r="AM41" t="str">
        <f>RIGHT(Table1[[#This Row],[Time]],2)</f>
        <v>PM</v>
      </c>
      <c r="AN41" t="str">
        <f>Table1[[#This Row],[Mon_Yr]]&amp;"-"&amp;WEEKNUM(Table1[[#This Row],[Date]],1)-WEEKNUM(DATE(YEAR(Table1[[#This Row],[Date]]),MONTH(Table1[[#This Row],[Date]]),1),1)+1</f>
        <v>8-2019-4</v>
      </c>
      <c r="AO41">
        <f>MONTH(Table1[[#This Row],[Date]])</f>
        <v>8</v>
      </c>
      <c r="AP41" s="8">
        <f>IFERROR(Table1[[#This Row],[Calories]]/Table1[[#This Row],[Splat]],0)</f>
        <v>39.562499990118361</v>
      </c>
      <c r="AQ41" s="10">
        <f>COUNTIF(Table1[Location],Table1[[#This Row],[Location]])</f>
        <v>3</v>
      </c>
      <c r="AR41" s="10">
        <f>IF(AND(Table1[[#This Row],[Calories]]&gt;=600,Table1[[#This Row],[Splat]]&gt;=12),1,0)</f>
        <v>1</v>
      </c>
      <c r="AS41" s="10">
        <f>IF(AND(Table1[[#This Row],[Calories]]&gt;=500,Table1[[#This Row],[Splat]]&gt;=12),1,0)</f>
        <v>1</v>
      </c>
      <c r="AT41" s="8">
        <f>Table1[[#This Row],[ClassLength]]/Table1[[#This Row],[Calories]]</f>
        <v>8.6624539230613237E-2</v>
      </c>
      <c r="AU4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41" s="10">
        <f>COUNTIF(Table1[Trainer],Table1[[#This Row],[Trainer]])</f>
        <v>1</v>
      </c>
      <c r="AW41" s="10" t="str">
        <f>UPPER(LEFT(TEXT(Table1[Date],"mmmm"),3))&amp;" "&amp;TEXT(Table1[Date],"yyyy")</f>
        <v>AUG 2019</v>
      </c>
      <c r="AX41" s="10">
        <f>VLOOKUP(Table1[[#This Row],[Location]],'Tab for Charts'!$A$93:$B$103,2,FALSE)</f>
        <v>38.901815999999997</v>
      </c>
      <c r="AY41" s="10">
        <f>VLOOKUP(Table1[[#This Row],[Location]],'Tab for Charts'!$A$93:$C$103,3,FALSE)</f>
        <v>-77.017055999999997</v>
      </c>
    </row>
    <row r="42" spans="1:51">
      <c r="A42">
        <f t="shared" si="17"/>
        <v>41</v>
      </c>
      <c r="B42">
        <f t="shared" si="20"/>
        <v>11</v>
      </c>
      <c r="C42" s="1">
        <v>43700</v>
      </c>
      <c r="D42" s="8">
        <f>57+10/60</f>
        <v>57.166666666666664</v>
      </c>
      <c r="E42">
        <v>14.0000000042</v>
      </c>
      <c r="F42">
        <v>635.00000000420005</v>
      </c>
      <c r="G42">
        <v>128</v>
      </c>
      <c r="H42">
        <v>166</v>
      </c>
      <c r="I42">
        <f>10+34/60</f>
        <v>10.566666666666666</v>
      </c>
      <c r="J42">
        <f>13+50/60</f>
        <v>13.833333333333334</v>
      </c>
      <c r="K42">
        <f>18+51/60</f>
        <v>18.850000000000001</v>
      </c>
      <c r="L42">
        <f>12+24/60</f>
        <v>12.4</v>
      </c>
      <c r="M42">
        <f>1+31/60</f>
        <v>1.5166666666666666</v>
      </c>
      <c r="N42" t="s">
        <v>21</v>
      </c>
      <c r="O42" t="s">
        <v>45</v>
      </c>
      <c r="P42" t="s">
        <v>23</v>
      </c>
      <c r="Q42" s="34">
        <f t="shared" si="29"/>
        <v>1</v>
      </c>
      <c r="R42" t="str">
        <f t="shared" si="21"/>
        <v>Correct</v>
      </c>
      <c r="S42" t="str">
        <f t="shared" si="22"/>
        <v>8-2019</v>
      </c>
      <c r="T42" t="str">
        <f t="shared" si="23"/>
        <v>Friday</v>
      </c>
      <c r="U42">
        <f t="shared" si="10"/>
        <v>1</v>
      </c>
      <c r="V42" s="8">
        <f>IFERROR(Table1[[#This Row],[ClassLength]]/Table1[[#This Row],[Splat]],0)</f>
        <v>4.0833333321083334</v>
      </c>
      <c r="W42">
        <f t="shared" si="24"/>
        <v>1</v>
      </c>
      <c r="X42">
        <f t="shared" si="25"/>
        <v>0</v>
      </c>
      <c r="Y42">
        <f t="shared" si="26"/>
        <v>0</v>
      </c>
      <c r="Z42" s="5">
        <f t="shared" si="11"/>
        <v>0.18483965014577261</v>
      </c>
      <c r="AA42" s="5">
        <f t="shared" si="12"/>
        <v>0.24198250728862974</v>
      </c>
      <c r="AB42" s="5">
        <f t="shared" si="13"/>
        <v>0.32973760932944612</v>
      </c>
      <c r="AC42" s="5">
        <f t="shared" si="14"/>
        <v>0.21690962099125366</v>
      </c>
      <c r="AD42" s="5">
        <f t="shared" si="15"/>
        <v>2.6530612244897958E-2</v>
      </c>
      <c r="AE42" s="7">
        <f>232.14+SUMIFS(Table1[ExtraExpenses],Table1[Mon_Yr],Table1[[#This Row],[Mon_Yr]])</f>
        <v>232.14</v>
      </c>
      <c r="AF42" s="7">
        <f t="shared" si="18"/>
        <v>21.103636363636362</v>
      </c>
      <c r="AG42" s="8">
        <f t="shared" si="27"/>
        <v>627.18181818561811</v>
      </c>
      <c r="AH42" s="8">
        <f t="shared" si="28"/>
        <v>15.090909094709088</v>
      </c>
      <c r="AI42">
        <f>YEAR(Table1[[#This Row],[Date]])</f>
        <v>2019</v>
      </c>
      <c r="AK42">
        <v>12</v>
      </c>
      <c r="AL42" s="8">
        <f>Table1[[#This Row],[Calories]]/Table1[[#This Row],[ClassLength]]</f>
        <v>11.107871720190088</v>
      </c>
      <c r="AM42" t="str">
        <f>RIGHT(Table1[[#This Row],[Time]],2)</f>
        <v>PM</v>
      </c>
      <c r="AN42" t="str">
        <f>Table1[[#This Row],[Mon_Yr]]&amp;"-"&amp;WEEKNUM(Table1[[#This Row],[Date]],1)-WEEKNUM(DATE(YEAR(Table1[[#This Row],[Date]]),MONTH(Table1[[#This Row],[Date]]),1),1)+1</f>
        <v>8-2019-4</v>
      </c>
      <c r="AO42">
        <f>MONTH(Table1[[#This Row],[Date]])</f>
        <v>8</v>
      </c>
      <c r="AP42" s="8">
        <f>IFERROR(Table1[[#This Row],[Calories]]/Table1[[#This Row],[Splat]],0)</f>
        <v>45.357142843835717</v>
      </c>
      <c r="AQ42" s="10">
        <f>COUNTIF(Table1[Location],Table1[[#This Row],[Location]])</f>
        <v>37</v>
      </c>
      <c r="AR42" s="10">
        <f>IF(AND(Table1[[#This Row],[Calories]]&gt;=600,Table1[[#This Row],[Splat]]&gt;=12),1,0)</f>
        <v>1</v>
      </c>
      <c r="AS42" s="10">
        <f>IF(AND(Table1[[#This Row],[Calories]]&gt;=500,Table1[[#This Row],[Splat]]&gt;=12),1,0)</f>
        <v>1</v>
      </c>
      <c r="AT42" s="8">
        <f>Table1[[#This Row],[ClassLength]]/Table1[[#This Row],[Calories]]</f>
        <v>9.0026246718564643E-2</v>
      </c>
      <c r="AU4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42" s="10">
        <f>COUNTIF(Table1[Trainer],Table1[[#This Row],[Trainer]])</f>
        <v>20</v>
      </c>
      <c r="AW42" s="10" t="str">
        <f>UPPER(LEFT(TEXT(Table1[Date],"mmmm"),3))&amp;" "&amp;TEXT(Table1[Date],"yyyy")</f>
        <v>AUG 2019</v>
      </c>
      <c r="AX42" s="10">
        <f>VLOOKUP(Table1[[#This Row],[Location]],'Tab for Charts'!$A$93:$B$103,2,FALSE)</f>
        <v>38.903509999999997</v>
      </c>
      <c r="AY42" s="10">
        <f>VLOOKUP(Table1[[#This Row],[Location]],'Tab for Charts'!$A$93:$C$103,3,FALSE)</f>
        <v>-77.051809000000006</v>
      </c>
    </row>
    <row r="43" spans="1:51">
      <c r="A43">
        <f t="shared" si="17"/>
        <v>42</v>
      </c>
      <c r="B43">
        <f t="shared" si="20"/>
        <v>11</v>
      </c>
      <c r="C43" s="1">
        <v>43702</v>
      </c>
      <c r="D43" s="8">
        <f>58+58/60</f>
        <v>58.966666666666669</v>
      </c>
      <c r="E43">
        <v>19.000000004299999</v>
      </c>
      <c r="F43">
        <v>632.00000000429998</v>
      </c>
      <c r="G43">
        <v>126</v>
      </c>
      <c r="H43">
        <v>169</v>
      </c>
      <c r="I43">
        <f>16+39/60</f>
        <v>16.649999999999999</v>
      </c>
      <c r="J43">
        <f>12+39/60</f>
        <v>12.65</v>
      </c>
      <c r="K43">
        <f>10+15/60</f>
        <v>10.25</v>
      </c>
      <c r="L43">
        <f>16+3/60</f>
        <v>16.05</v>
      </c>
      <c r="M43">
        <f>3+22/60</f>
        <v>3.3666666666666667</v>
      </c>
      <c r="N43" t="s">
        <v>21</v>
      </c>
      <c r="O43" t="s">
        <v>46</v>
      </c>
      <c r="P43" t="s">
        <v>23</v>
      </c>
      <c r="Q43" s="34">
        <f t="shared" si="29"/>
        <v>2</v>
      </c>
      <c r="R43" t="str">
        <f t="shared" si="21"/>
        <v>Correct</v>
      </c>
      <c r="S43" t="str">
        <f t="shared" si="22"/>
        <v>8-2019</v>
      </c>
      <c r="T43" t="str">
        <f t="shared" si="23"/>
        <v>Sunday</v>
      </c>
      <c r="U43">
        <f t="shared" si="10"/>
        <v>1</v>
      </c>
      <c r="V43" s="8">
        <f>IFERROR(Table1[[#This Row],[ClassLength]]/Table1[[#This Row],[Splat]],0)</f>
        <v>3.1035087712274518</v>
      </c>
      <c r="W43">
        <f t="shared" si="24"/>
        <v>1</v>
      </c>
      <c r="X43">
        <f t="shared" si="25"/>
        <v>0</v>
      </c>
      <c r="Y43">
        <f t="shared" si="26"/>
        <v>0</v>
      </c>
      <c r="Z43" s="5">
        <f t="shared" si="11"/>
        <v>0.28236291690220461</v>
      </c>
      <c r="AA43" s="5">
        <f t="shared" si="12"/>
        <v>0.21452798191068401</v>
      </c>
      <c r="AB43" s="5">
        <f t="shared" si="13"/>
        <v>0.17382702091577162</v>
      </c>
      <c r="AC43" s="5">
        <f t="shared" si="14"/>
        <v>0.27218767665347654</v>
      </c>
      <c r="AD43" s="5">
        <f t="shared" si="15"/>
        <v>5.70944036178632E-2</v>
      </c>
      <c r="AE43" s="7">
        <f>232.14+SUMIFS(Table1[ExtraExpenses],Table1[Mon_Yr],Table1[[#This Row],[Mon_Yr]])</f>
        <v>232.14</v>
      </c>
      <c r="AF43" s="7">
        <f t="shared" si="18"/>
        <v>21.103636363636362</v>
      </c>
      <c r="AG43" s="8">
        <f t="shared" si="27"/>
        <v>627.18181818561811</v>
      </c>
      <c r="AH43" s="8">
        <f t="shared" si="28"/>
        <v>15.090909094709088</v>
      </c>
      <c r="AI43">
        <f>YEAR(Table1[[#This Row],[Date]])</f>
        <v>2019</v>
      </c>
      <c r="AK43">
        <v>12</v>
      </c>
      <c r="AL43" s="8">
        <f>Table1[[#This Row],[Calories]]/Table1[[#This Row],[ClassLength]]</f>
        <v>10.717919728733182</v>
      </c>
      <c r="AM43" t="str">
        <f>RIGHT(Table1[[#This Row],[Time]],2)</f>
        <v>AM</v>
      </c>
      <c r="AN43" t="str">
        <f>Table1[[#This Row],[Mon_Yr]]&amp;"-"&amp;WEEKNUM(Table1[[#This Row],[Date]],1)-WEEKNUM(DATE(YEAR(Table1[[#This Row],[Date]]),MONTH(Table1[[#This Row],[Date]]),1),1)+1</f>
        <v>8-2019-5</v>
      </c>
      <c r="AO43">
        <f>MONTH(Table1[[#This Row],[Date]])</f>
        <v>8</v>
      </c>
      <c r="AP43" s="8">
        <f>IFERROR(Table1[[#This Row],[Calories]]/Table1[[#This Row],[Splat]],0)</f>
        <v>33.263157887435185</v>
      </c>
      <c r="AQ43" s="10">
        <f>COUNTIF(Table1[Location],Table1[[#This Row],[Location]])</f>
        <v>37</v>
      </c>
      <c r="AR43" s="10">
        <f>IF(AND(Table1[[#This Row],[Calories]]&gt;=600,Table1[[#This Row],[Splat]]&gt;=12),1,0)</f>
        <v>1</v>
      </c>
      <c r="AS43" s="10">
        <f>IF(AND(Table1[[#This Row],[Calories]]&gt;=500,Table1[[#This Row],[Splat]]&gt;=12),1,0)</f>
        <v>1</v>
      </c>
      <c r="AT43" s="8">
        <f>Table1[[#This Row],[ClassLength]]/Table1[[#This Row],[Calories]]</f>
        <v>9.3301687763078275E-2</v>
      </c>
      <c r="AU4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43" s="10">
        <f>COUNTIF(Table1[Trainer],Table1[[#This Row],[Trainer]])</f>
        <v>20</v>
      </c>
      <c r="AW43" s="10" t="str">
        <f>UPPER(LEFT(TEXT(Table1[Date],"mmmm"),3))&amp;" "&amp;TEXT(Table1[Date],"yyyy")</f>
        <v>AUG 2019</v>
      </c>
      <c r="AX43" s="10">
        <f>VLOOKUP(Table1[[#This Row],[Location]],'Tab for Charts'!$A$93:$B$103,2,FALSE)</f>
        <v>38.903509999999997</v>
      </c>
      <c r="AY43" s="10">
        <f>VLOOKUP(Table1[[#This Row],[Location]],'Tab for Charts'!$A$93:$C$103,3,FALSE)</f>
        <v>-77.051809000000006</v>
      </c>
    </row>
    <row r="44" spans="1:51">
      <c r="A44">
        <f t="shared" si="17"/>
        <v>43</v>
      </c>
      <c r="B44">
        <f t="shared" si="20"/>
        <v>17</v>
      </c>
      <c r="C44" s="1">
        <v>43711</v>
      </c>
      <c r="D44" s="8">
        <f>58+46/60</f>
        <v>58.766666666666666</v>
      </c>
      <c r="E44">
        <v>14.0000000044</v>
      </c>
      <c r="F44">
        <v>615.00000000440002</v>
      </c>
      <c r="G44">
        <v>124</v>
      </c>
      <c r="H44">
        <v>174</v>
      </c>
      <c r="I44">
        <f>17+14/60</f>
        <v>17.233333333333334</v>
      </c>
      <c r="J44">
        <f>11+51/60</f>
        <v>11.85</v>
      </c>
      <c r="K44">
        <f>15+26/60</f>
        <v>15.433333333333334</v>
      </c>
      <c r="L44">
        <f>11+9/60</f>
        <v>11.15</v>
      </c>
      <c r="M44">
        <f>3+6/60</f>
        <v>3.1</v>
      </c>
      <c r="N44" t="s">
        <v>15</v>
      </c>
      <c r="O44" t="s">
        <v>20</v>
      </c>
      <c r="P44" t="s">
        <v>17</v>
      </c>
      <c r="Q44" s="34">
        <f t="shared" si="29"/>
        <v>9</v>
      </c>
      <c r="R44" t="str">
        <f t="shared" si="21"/>
        <v>Correct</v>
      </c>
      <c r="S44" t="str">
        <f t="shared" si="22"/>
        <v>9-2019</v>
      </c>
      <c r="T44" t="str">
        <f t="shared" si="23"/>
        <v>Tuesday</v>
      </c>
      <c r="U44">
        <f t="shared" si="10"/>
        <v>1</v>
      </c>
      <c r="V44" s="8">
        <f>IFERROR(Table1[[#This Row],[ClassLength]]/Table1[[#This Row],[Splat]],0)</f>
        <v>4.1976190462997955</v>
      </c>
      <c r="W44">
        <f t="shared" si="24"/>
        <v>1</v>
      </c>
      <c r="X44">
        <f t="shared" si="25"/>
        <v>0</v>
      </c>
      <c r="Y44">
        <f t="shared" si="26"/>
        <v>0</v>
      </c>
      <c r="Z44" s="5">
        <f t="shared" si="11"/>
        <v>0.29325014180374365</v>
      </c>
      <c r="AA44" s="5">
        <f t="shared" si="12"/>
        <v>0.20164492342597845</v>
      </c>
      <c r="AB44" s="5">
        <f t="shared" si="13"/>
        <v>0.26262053318207601</v>
      </c>
      <c r="AC44" s="5">
        <f t="shared" si="14"/>
        <v>0.18973340896199661</v>
      </c>
      <c r="AD44" s="5">
        <f t="shared" si="15"/>
        <v>5.2750992626205334E-2</v>
      </c>
      <c r="AE44" s="7">
        <f>232.14+SUMIFS(Table1[ExtraExpenses],Table1[Mon_Yr],Table1[[#This Row],[Mon_Yr]])</f>
        <v>232.14</v>
      </c>
      <c r="AF44" s="7">
        <f t="shared" si="18"/>
        <v>13.655294117647058</v>
      </c>
      <c r="AG44" s="8">
        <f t="shared" si="27"/>
        <v>592.88235294637661</v>
      </c>
      <c r="AH44" s="8">
        <f t="shared" si="28"/>
        <v>13.647058828079533</v>
      </c>
      <c r="AI44">
        <f>YEAR(Table1[[#This Row],[Date]])</f>
        <v>2019</v>
      </c>
      <c r="AK44">
        <v>12</v>
      </c>
      <c r="AL44" s="8">
        <f>Table1[[#This Row],[Calories]]/Table1[[#This Row],[ClassLength]]</f>
        <v>10.46511627914464</v>
      </c>
      <c r="AM44" t="str">
        <f>RIGHT(Table1[[#This Row],[Time]],2)</f>
        <v>PM</v>
      </c>
      <c r="AN44" t="str">
        <f>Table1[[#This Row],[Mon_Yr]]&amp;"-"&amp;WEEKNUM(Table1[[#This Row],[Date]],1)-WEEKNUM(DATE(YEAR(Table1[[#This Row],[Date]]),MONTH(Table1[[#This Row],[Date]]),1),1)+1</f>
        <v>9-2019-1</v>
      </c>
      <c r="AO44">
        <f>MONTH(Table1[[#This Row],[Date]])</f>
        <v>9</v>
      </c>
      <c r="AP44" s="8">
        <f>IFERROR(Table1[[#This Row],[Calories]]/Table1[[#This Row],[Splat]],0)</f>
        <v>43.928571415079595</v>
      </c>
      <c r="AQ44" s="10">
        <f>COUNTIF(Table1[Location],Table1[[#This Row],[Location]])</f>
        <v>48</v>
      </c>
      <c r="AR44" s="10">
        <f>IF(AND(Table1[[#This Row],[Calories]]&gt;=600,Table1[[#This Row],[Splat]]&gt;=12),1,0)</f>
        <v>1</v>
      </c>
      <c r="AS44" s="10">
        <f>IF(AND(Table1[[#This Row],[Calories]]&gt;=500,Table1[[#This Row],[Splat]]&gt;=12),1,0)</f>
        <v>1</v>
      </c>
      <c r="AT44" s="8">
        <f>Table1[[#This Row],[ClassLength]]/Table1[[#This Row],[Calories]]</f>
        <v>9.5555555554871899E-2</v>
      </c>
      <c r="AU4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44" s="10">
        <f>COUNTIF(Table1[Trainer],Table1[[#This Row],[Trainer]])</f>
        <v>29</v>
      </c>
      <c r="AW44" s="10" t="str">
        <f>UPPER(LEFT(TEXT(Table1[Date],"mmmm"),3))&amp;" "&amp;TEXT(Table1[Date],"yyyy")</f>
        <v>SEP 2019</v>
      </c>
      <c r="AX44" s="10">
        <f>VLOOKUP(Table1[[#This Row],[Location]],'Tab for Charts'!$A$93:$B$103,2,FALSE)</f>
        <v>38.916486999999996</v>
      </c>
      <c r="AY44" s="10">
        <f>VLOOKUP(Table1[[#This Row],[Location]],'Tab for Charts'!$A$93:$C$103,3,FALSE)</f>
        <v>-77.031514000000001</v>
      </c>
    </row>
    <row r="45" spans="1:51">
      <c r="A45">
        <f t="shared" si="17"/>
        <v>44</v>
      </c>
      <c r="B45">
        <f t="shared" si="20"/>
        <v>17</v>
      </c>
      <c r="C45" s="1">
        <v>43712</v>
      </c>
      <c r="D45" s="8">
        <f>56+51/60</f>
        <v>56.85</v>
      </c>
      <c r="E45">
        <v>15.0000000045</v>
      </c>
      <c r="F45">
        <v>567.00000000449995</v>
      </c>
      <c r="G45">
        <v>121</v>
      </c>
      <c r="H45">
        <v>173</v>
      </c>
      <c r="I45">
        <f>21+5/60</f>
        <v>21.083333333333332</v>
      </c>
      <c r="J45">
        <f>14+16/60</f>
        <v>14.266666666666667</v>
      </c>
      <c r="K45">
        <f>6+38/60</f>
        <v>6.6333333333333329</v>
      </c>
      <c r="L45">
        <f>9+11/60</f>
        <v>9.1833333333333336</v>
      </c>
      <c r="M45">
        <f>5+41/60</f>
        <v>5.6833333333333336</v>
      </c>
      <c r="N45" t="s">
        <v>21</v>
      </c>
      <c r="O45" t="s">
        <v>7</v>
      </c>
      <c r="P45" t="s">
        <v>19</v>
      </c>
      <c r="Q45" s="34">
        <f t="shared" si="29"/>
        <v>1</v>
      </c>
      <c r="R45" t="str">
        <f t="shared" si="21"/>
        <v>Correct</v>
      </c>
      <c r="S45" t="str">
        <f t="shared" si="22"/>
        <v>9-2019</v>
      </c>
      <c r="T45" t="str">
        <f t="shared" si="23"/>
        <v>Wednesday</v>
      </c>
      <c r="U45">
        <f t="shared" si="10"/>
        <v>1</v>
      </c>
      <c r="V45" s="8">
        <f>IFERROR(Table1[[#This Row],[ClassLength]]/Table1[[#This Row],[Splat]],0)</f>
        <v>3.7899999988630002</v>
      </c>
      <c r="W45">
        <f t="shared" si="24"/>
        <v>1</v>
      </c>
      <c r="X45">
        <f t="shared" si="25"/>
        <v>0</v>
      </c>
      <c r="Y45">
        <f t="shared" si="26"/>
        <v>0</v>
      </c>
      <c r="Z45" s="5">
        <f t="shared" si="11"/>
        <v>0.3708589856347112</v>
      </c>
      <c r="AA45" s="5">
        <f t="shared" si="12"/>
        <v>0.2509527997654647</v>
      </c>
      <c r="AB45" s="5">
        <f t="shared" si="13"/>
        <v>0.11668132512459688</v>
      </c>
      <c r="AC45" s="5">
        <f t="shared" si="14"/>
        <v>0.16153620639108765</v>
      </c>
      <c r="AD45" s="5">
        <f t="shared" si="15"/>
        <v>9.9970683084139547E-2</v>
      </c>
      <c r="AE45" s="7">
        <f>232.14+SUMIFS(Table1[ExtraExpenses],Table1[Mon_Yr],Table1[[#This Row],[Mon_Yr]])</f>
        <v>232.14</v>
      </c>
      <c r="AF45" s="7">
        <f t="shared" si="18"/>
        <v>13.655294117647058</v>
      </c>
      <c r="AG45" s="8">
        <f t="shared" si="27"/>
        <v>592.88235294637661</v>
      </c>
      <c r="AH45" s="8">
        <f t="shared" si="28"/>
        <v>13.647058828079533</v>
      </c>
      <c r="AI45">
        <f>YEAR(Table1[[#This Row],[Date]])</f>
        <v>2019</v>
      </c>
      <c r="AK45">
        <v>12</v>
      </c>
      <c r="AL45" s="8">
        <f>Table1[[#This Row],[Calories]]/Table1[[#This Row],[ClassLength]]</f>
        <v>9.973614775804748</v>
      </c>
      <c r="AM45" t="str">
        <f>RIGHT(Table1[[#This Row],[Time]],2)</f>
        <v>PM</v>
      </c>
      <c r="AN45" t="str">
        <f>Table1[[#This Row],[Mon_Yr]]&amp;"-"&amp;WEEKNUM(Table1[[#This Row],[Date]],1)-WEEKNUM(DATE(YEAR(Table1[[#This Row],[Date]]),MONTH(Table1[[#This Row],[Date]]),1),1)+1</f>
        <v>9-2019-1</v>
      </c>
      <c r="AO45">
        <f>MONTH(Table1[[#This Row],[Date]])</f>
        <v>9</v>
      </c>
      <c r="AP45" s="8">
        <f>IFERROR(Table1[[#This Row],[Calories]]/Table1[[#This Row],[Splat]],0)</f>
        <v>37.799999988959996</v>
      </c>
      <c r="AQ45" s="10">
        <f>COUNTIF(Table1[Location],Table1[[#This Row],[Location]])</f>
        <v>37</v>
      </c>
      <c r="AR45" s="10">
        <f>IF(AND(Table1[[#This Row],[Calories]]&gt;=600,Table1[[#This Row],[Splat]]&gt;=12),1,0)</f>
        <v>0</v>
      </c>
      <c r="AS45" s="10">
        <f>IF(AND(Table1[[#This Row],[Calories]]&gt;=500,Table1[[#This Row],[Splat]]&gt;=12),1,0)</f>
        <v>1</v>
      </c>
      <c r="AT45" s="8">
        <f>Table1[[#This Row],[ClassLength]]/Table1[[#This Row],[Calories]]</f>
        <v>0.10026455026375453</v>
      </c>
      <c r="AU4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45" s="10">
        <f>COUNTIF(Table1[Trainer],Table1[[#This Row],[Trainer]])</f>
        <v>12</v>
      </c>
      <c r="AW45" s="10" t="str">
        <f>UPPER(LEFT(TEXT(Table1[Date],"mmmm"),3))&amp;" "&amp;TEXT(Table1[Date],"yyyy")</f>
        <v>SEP 2019</v>
      </c>
      <c r="AX45" s="10">
        <f>VLOOKUP(Table1[[#This Row],[Location]],'Tab for Charts'!$A$93:$B$103,2,FALSE)</f>
        <v>38.903509999999997</v>
      </c>
      <c r="AY45" s="10">
        <f>VLOOKUP(Table1[[#This Row],[Location]],'Tab for Charts'!$A$93:$C$103,3,FALSE)</f>
        <v>-77.051809000000006</v>
      </c>
    </row>
    <row r="46" spans="1:51">
      <c r="A46">
        <f t="shared" si="17"/>
        <v>45</v>
      </c>
      <c r="B46">
        <f t="shared" si="20"/>
        <v>17</v>
      </c>
      <c r="C46" s="1">
        <v>43714</v>
      </c>
      <c r="D46" s="8">
        <f>57+33/60</f>
        <v>57.55</v>
      </c>
      <c r="E46">
        <v>20.0000000046</v>
      </c>
      <c r="F46">
        <v>578.0000000046</v>
      </c>
      <c r="G46">
        <v>121</v>
      </c>
      <c r="H46">
        <v>168</v>
      </c>
      <c r="I46">
        <f>22+5/60</f>
        <v>22.083333333333332</v>
      </c>
      <c r="J46">
        <f>9+47/60</f>
        <v>9.7833333333333332</v>
      </c>
      <c r="K46">
        <f>6+27/60</f>
        <v>6.45</v>
      </c>
      <c r="L46">
        <f>15+34/60</f>
        <v>15.566666666666666</v>
      </c>
      <c r="M46">
        <f>3+40/60</f>
        <v>3.6666666666666665</v>
      </c>
      <c r="N46" t="s">
        <v>37</v>
      </c>
      <c r="O46" t="s">
        <v>20</v>
      </c>
      <c r="P46" t="s">
        <v>48</v>
      </c>
      <c r="Q46" s="34">
        <f t="shared" si="29"/>
        <v>2</v>
      </c>
      <c r="R46" t="str">
        <f t="shared" si="21"/>
        <v>Gain</v>
      </c>
      <c r="S46" t="str">
        <f t="shared" si="22"/>
        <v>9-2019</v>
      </c>
      <c r="T46" t="str">
        <f t="shared" si="23"/>
        <v>Friday</v>
      </c>
      <c r="U46">
        <f t="shared" si="10"/>
        <v>1</v>
      </c>
      <c r="V46" s="8">
        <f>IFERROR(Table1[[#This Row],[ClassLength]]/Table1[[#This Row],[Splat]],0)</f>
        <v>2.8774999993381747</v>
      </c>
      <c r="W46">
        <f t="shared" si="24"/>
        <v>0</v>
      </c>
      <c r="X46">
        <f t="shared" si="25"/>
        <v>1</v>
      </c>
      <c r="Y46">
        <f t="shared" si="26"/>
        <v>0</v>
      </c>
      <c r="Z46" s="5">
        <f t="shared" si="11"/>
        <v>0.3837242977121344</v>
      </c>
      <c r="AA46" s="5">
        <f t="shared" si="12"/>
        <v>0.16999710396756446</v>
      </c>
      <c r="AB46" s="5">
        <f t="shared" si="13"/>
        <v>0.11207645525629888</v>
      </c>
      <c r="AC46" s="5">
        <f t="shared" si="14"/>
        <v>0.2704894294816102</v>
      </c>
      <c r="AD46" s="5">
        <f t="shared" si="15"/>
        <v>6.3712713582392125E-2</v>
      </c>
      <c r="AE46" s="7">
        <f>232.14+SUMIFS(Table1[ExtraExpenses],Table1[Mon_Yr],Table1[[#This Row],[Mon_Yr]])</f>
        <v>232.14</v>
      </c>
      <c r="AF46" s="7">
        <f t="shared" si="18"/>
        <v>13.655294117647058</v>
      </c>
      <c r="AG46" s="8">
        <f t="shared" si="27"/>
        <v>592.88235294637661</v>
      </c>
      <c r="AH46" s="8">
        <f t="shared" si="28"/>
        <v>13.647058828079533</v>
      </c>
      <c r="AI46">
        <f>YEAR(Table1[[#This Row],[Date]])</f>
        <v>2019</v>
      </c>
      <c r="AK46">
        <v>12</v>
      </c>
      <c r="AL46" s="8">
        <f>Table1[[#This Row],[Calories]]/Table1[[#This Row],[ClassLength]]</f>
        <v>10.043440486613379</v>
      </c>
      <c r="AM46" t="str">
        <f>RIGHT(Table1[[#This Row],[Time]],2)</f>
        <v>PM</v>
      </c>
      <c r="AN46" t="str">
        <f>Table1[[#This Row],[Mon_Yr]]&amp;"-"&amp;WEEKNUM(Table1[[#This Row],[Date]],1)-WEEKNUM(DATE(YEAR(Table1[[#This Row],[Date]]),MONTH(Table1[[#This Row],[Date]]),1),1)+1</f>
        <v>9-2019-1</v>
      </c>
      <c r="AO46">
        <f>MONTH(Table1[[#This Row],[Date]])</f>
        <v>9</v>
      </c>
      <c r="AP46" s="8">
        <f>IFERROR(Table1[[#This Row],[Calories]]/Table1[[#This Row],[Splat]],0)</f>
        <v>28.899999993582998</v>
      </c>
      <c r="AQ46" s="10">
        <f>COUNTIF(Table1[Location],Table1[[#This Row],[Location]])</f>
        <v>3</v>
      </c>
      <c r="AR46" s="10">
        <f>IF(AND(Table1[[#This Row],[Calories]]&gt;=600,Table1[[#This Row],[Splat]]&gt;=12),1,0)</f>
        <v>0</v>
      </c>
      <c r="AS46" s="10">
        <f>IF(AND(Table1[[#This Row],[Calories]]&gt;=500,Table1[[#This Row],[Splat]]&gt;=12),1,0)</f>
        <v>1</v>
      </c>
      <c r="AT46" s="8">
        <f>Table1[[#This Row],[ClassLength]]/Table1[[#This Row],[Calories]]</f>
        <v>9.9567474047650498E-2</v>
      </c>
      <c r="AU4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46" s="10">
        <f>COUNTIF(Table1[Trainer],Table1[[#This Row],[Trainer]])</f>
        <v>1</v>
      </c>
      <c r="AW46" s="10" t="str">
        <f>UPPER(LEFT(TEXT(Table1[Date],"mmmm"),3))&amp;" "&amp;TEXT(Table1[Date],"yyyy")</f>
        <v>SEP 2019</v>
      </c>
      <c r="AX46" s="10">
        <f>VLOOKUP(Table1[[#This Row],[Location]],'Tab for Charts'!$A$93:$B$103,2,FALSE)</f>
        <v>38.904280999999997</v>
      </c>
      <c r="AY46" s="10">
        <f>VLOOKUP(Table1[[#This Row],[Location]],'Tab for Charts'!$A$93:$C$103,3,FALSE)</f>
        <v>-77.031495000000007</v>
      </c>
    </row>
    <row r="47" spans="1:51">
      <c r="A47">
        <f t="shared" si="17"/>
        <v>46</v>
      </c>
      <c r="B47">
        <f t="shared" si="20"/>
        <v>17</v>
      </c>
      <c r="C47" s="1">
        <v>43715</v>
      </c>
      <c r="D47" s="8">
        <f>57+38/60</f>
        <v>57.633333333333333</v>
      </c>
      <c r="E47">
        <v>11.0000000047</v>
      </c>
      <c r="F47">
        <v>651.00000000470004</v>
      </c>
      <c r="G47">
        <v>129</v>
      </c>
      <c r="H47">
        <v>171</v>
      </c>
      <c r="I47">
        <f>5+52/60</f>
        <v>5.8666666666666671</v>
      </c>
      <c r="J47">
        <f>17+26/60</f>
        <v>17.433333333333334</v>
      </c>
      <c r="K47">
        <f>22+57/60</f>
        <v>22.95</v>
      </c>
      <c r="L47">
        <f>9+2/60</f>
        <v>9.0333333333333332</v>
      </c>
      <c r="M47">
        <f>2+21/60</f>
        <v>2.35</v>
      </c>
      <c r="N47" t="s">
        <v>15</v>
      </c>
      <c r="O47" t="s">
        <v>24</v>
      </c>
      <c r="P47" t="s">
        <v>17</v>
      </c>
      <c r="Q47" s="34">
        <f t="shared" si="29"/>
        <v>1</v>
      </c>
      <c r="R47" t="str">
        <f t="shared" si="21"/>
        <v>Correct</v>
      </c>
      <c r="S47" t="str">
        <f t="shared" si="22"/>
        <v>9-2019</v>
      </c>
      <c r="T47" t="str">
        <f t="shared" si="23"/>
        <v>Saturday</v>
      </c>
      <c r="U47">
        <f t="shared" si="10"/>
        <v>0</v>
      </c>
      <c r="V47" s="8">
        <f>IFERROR(Table1[[#This Row],[ClassLength]]/Table1[[#This Row],[Splat]],0)</f>
        <v>5.2393939371552891</v>
      </c>
      <c r="W47">
        <f t="shared" si="24"/>
        <v>1</v>
      </c>
      <c r="X47">
        <f t="shared" si="25"/>
        <v>0</v>
      </c>
      <c r="Y47">
        <f t="shared" si="26"/>
        <v>0</v>
      </c>
      <c r="Z47" s="5">
        <f t="shared" si="11"/>
        <v>0.10179294389820706</v>
      </c>
      <c r="AA47" s="5">
        <f t="shared" si="12"/>
        <v>0.30248698669751301</v>
      </c>
      <c r="AB47" s="5">
        <f t="shared" si="13"/>
        <v>0.39820705610179291</v>
      </c>
      <c r="AC47" s="5">
        <f t="shared" si="14"/>
        <v>0.15673799884326201</v>
      </c>
      <c r="AD47" s="5">
        <f t="shared" si="15"/>
        <v>4.077501445922499E-2</v>
      </c>
      <c r="AE47" s="7">
        <f>232.14+SUMIFS(Table1[ExtraExpenses],Table1[Mon_Yr],Table1[[#This Row],[Mon_Yr]])</f>
        <v>232.14</v>
      </c>
      <c r="AF47" s="7">
        <f t="shared" si="18"/>
        <v>13.655294117647058</v>
      </c>
      <c r="AG47" s="8">
        <f t="shared" si="27"/>
        <v>592.88235294637661</v>
      </c>
      <c r="AH47" s="8">
        <f t="shared" si="28"/>
        <v>13.647058828079533</v>
      </c>
      <c r="AI47">
        <f>YEAR(Table1[[#This Row],[Date]])</f>
        <v>2019</v>
      </c>
      <c r="AK47">
        <v>12</v>
      </c>
      <c r="AL47" s="8">
        <f>Table1[[#This Row],[Calories]]/Table1[[#This Row],[ClassLength]]</f>
        <v>11.295546558786004</v>
      </c>
      <c r="AM47" t="str">
        <f>RIGHT(Table1[[#This Row],[Time]],2)</f>
        <v>AM</v>
      </c>
      <c r="AN47" t="str">
        <f>Table1[[#This Row],[Mon_Yr]]&amp;"-"&amp;WEEKNUM(Table1[[#This Row],[Date]],1)-WEEKNUM(DATE(YEAR(Table1[[#This Row],[Date]]),MONTH(Table1[[#This Row],[Date]]),1),1)+1</f>
        <v>9-2019-1</v>
      </c>
      <c r="AO47">
        <f>MONTH(Table1[[#This Row],[Date]])</f>
        <v>9</v>
      </c>
      <c r="AP47" s="8">
        <f>IFERROR(Table1[[#This Row],[Calories]]/Table1[[#This Row],[Splat]],0)</f>
        <v>59.181818156958677</v>
      </c>
      <c r="AQ47" s="10">
        <f>COUNTIF(Table1[Location],Table1[[#This Row],[Location]])</f>
        <v>48</v>
      </c>
      <c r="AR47" s="10">
        <f>IF(AND(Table1[[#This Row],[Calories]]&gt;=600,Table1[[#This Row],[Splat]]&gt;=12),1,0)</f>
        <v>0</v>
      </c>
      <c r="AS47" s="10">
        <f>IF(AND(Table1[[#This Row],[Calories]]&gt;=500,Table1[[#This Row],[Splat]]&gt;=12),1,0)</f>
        <v>0</v>
      </c>
      <c r="AT47" s="8">
        <f>Table1[[#This Row],[ClassLength]]/Table1[[#This Row],[Calories]]</f>
        <v>8.8530465949181625E-2</v>
      </c>
      <c r="AU4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47" s="10">
        <f>COUNTIF(Table1[Trainer],Table1[[#This Row],[Trainer]])</f>
        <v>29</v>
      </c>
      <c r="AW47" s="10" t="str">
        <f>UPPER(LEFT(TEXT(Table1[Date],"mmmm"),3))&amp;" "&amp;TEXT(Table1[Date],"yyyy")</f>
        <v>SEP 2019</v>
      </c>
      <c r="AX47" s="10">
        <f>VLOOKUP(Table1[[#This Row],[Location]],'Tab for Charts'!$A$93:$B$103,2,FALSE)</f>
        <v>38.916486999999996</v>
      </c>
      <c r="AY47" s="10">
        <f>VLOOKUP(Table1[[#This Row],[Location]],'Tab for Charts'!$A$93:$C$103,3,FALSE)</f>
        <v>-77.031514000000001</v>
      </c>
    </row>
    <row r="48" spans="1:51">
      <c r="A48">
        <f t="shared" si="17"/>
        <v>47</v>
      </c>
      <c r="B48">
        <f t="shared" si="20"/>
        <v>17</v>
      </c>
      <c r="C48" s="1">
        <v>43718</v>
      </c>
      <c r="D48" s="8">
        <f>57+13/60</f>
        <v>57.216666666666669</v>
      </c>
      <c r="E48">
        <v>16.0000000048</v>
      </c>
      <c r="F48">
        <v>636.00000000479997</v>
      </c>
      <c r="G48">
        <v>128</v>
      </c>
      <c r="H48">
        <v>179</v>
      </c>
      <c r="I48">
        <f>13+31/60</f>
        <v>13.516666666666667</v>
      </c>
      <c r="J48">
        <f>10+27/60</f>
        <v>10.45</v>
      </c>
      <c r="K48">
        <f>17+39/60</f>
        <v>17.649999999999999</v>
      </c>
      <c r="L48">
        <f>11+44/60</f>
        <v>11.733333333333333</v>
      </c>
      <c r="M48">
        <f>3+52/60</f>
        <v>3.8666666666666667</v>
      </c>
      <c r="N48" t="s">
        <v>6</v>
      </c>
      <c r="O48" t="s">
        <v>7</v>
      </c>
      <c r="P48" t="s">
        <v>9</v>
      </c>
      <c r="Q48" s="34">
        <f t="shared" si="29"/>
        <v>3</v>
      </c>
      <c r="R48" t="str">
        <f t="shared" si="21"/>
        <v>Correct</v>
      </c>
      <c r="S48" t="str">
        <f t="shared" si="22"/>
        <v>9-2019</v>
      </c>
      <c r="T48" t="str">
        <f t="shared" si="23"/>
        <v>Tuesday</v>
      </c>
      <c r="U48">
        <f t="shared" si="10"/>
        <v>1</v>
      </c>
      <c r="V48" s="8">
        <f>IFERROR(Table1[[#This Row],[ClassLength]]/Table1[[#This Row],[Splat]],0)</f>
        <v>3.5760416655938543</v>
      </c>
      <c r="W48">
        <f t="shared" si="24"/>
        <v>1</v>
      </c>
      <c r="X48">
        <f t="shared" si="25"/>
        <v>0</v>
      </c>
      <c r="Y48">
        <f t="shared" si="26"/>
        <v>0</v>
      </c>
      <c r="Z48" s="5">
        <f t="shared" si="11"/>
        <v>0.23623652781823479</v>
      </c>
      <c r="AA48" s="5">
        <f t="shared" si="12"/>
        <v>0.18263909117390037</v>
      </c>
      <c r="AB48" s="5">
        <f t="shared" si="13"/>
        <v>0.30847655112146805</v>
      </c>
      <c r="AC48" s="5">
        <f t="shared" si="14"/>
        <v>0.20506845324788811</v>
      </c>
      <c r="AD48" s="5">
        <f t="shared" si="15"/>
        <v>6.757937663850859E-2</v>
      </c>
      <c r="AE48" s="7">
        <f>232.14+SUMIFS(Table1[ExtraExpenses],Table1[Mon_Yr],Table1[[#This Row],[Mon_Yr]])</f>
        <v>232.14</v>
      </c>
      <c r="AF48" s="7">
        <f t="shared" ref="AF48:AF78" si="30">AE48/B48</f>
        <v>13.655294117647058</v>
      </c>
      <c r="AG48" s="8">
        <f t="shared" si="27"/>
        <v>592.88235294637661</v>
      </c>
      <c r="AH48" s="8">
        <f t="shared" si="28"/>
        <v>13.647058828079533</v>
      </c>
      <c r="AI48">
        <f>YEAR(Table1[[#This Row],[Date]])</f>
        <v>2019</v>
      </c>
      <c r="AK48">
        <v>12</v>
      </c>
      <c r="AL48" s="8">
        <f>Table1[[#This Row],[Calories]]/Table1[[#This Row],[ClassLength]]</f>
        <v>11.115642295452373</v>
      </c>
      <c r="AM48" t="str">
        <f>RIGHT(Table1[[#This Row],[Time]],2)</f>
        <v>PM</v>
      </c>
      <c r="AN48" t="str">
        <f>Table1[[#This Row],[Mon_Yr]]&amp;"-"&amp;WEEKNUM(Table1[[#This Row],[Date]],1)-WEEKNUM(DATE(YEAR(Table1[[#This Row],[Date]]),MONTH(Table1[[#This Row],[Date]]),1),1)+1</f>
        <v>9-2019-2</v>
      </c>
      <c r="AO48">
        <f>MONTH(Table1[[#This Row],[Date]])</f>
        <v>9</v>
      </c>
      <c r="AP48" s="8">
        <f>IFERROR(Table1[[#This Row],[Calories]]/Table1[[#This Row],[Splat]],0)</f>
        <v>39.749999988374995</v>
      </c>
      <c r="AQ48" s="10">
        <f>COUNTIF(Table1[Location],Table1[[#This Row],[Location]])</f>
        <v>35</v>
      </c>
      <c r="AR48" s="10">
        <f>IF(AND(Table1[[#This Row],[Calories]]&gt;=600,Table1[[#This Row],[Splat]]&gt;=12),1,0)</f>
        <v>1</v>
      </c>
      <c r="AS48" s="10">
        <f>IF(AND(Table1[[#This Row],[Calories]]&gt;=500,Table1[[#This Row],[Splat]]&gt;=12),1,0)</f>
        <v>1</v>
      </c>
      <c r="AT48" s="8">
        <f>Table1[[#This Row],[ClassLength]]/Table1[[#This Row],[Calories]]</f>
        <v>8.9963312368293788E-2</v>
      </c>
      <c r="AU4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48" s="10">
        <f>COUNTIF(Table1[Trainer],Table1[[#This Row],[Trainer]])</f>
        <v>10</v>
      </c>
      <c r="AW48" s="10" t="str">
        <f>UPPER(LEFT(TEXT(Table1[Date],"mmmm"),3))&amp;" "&amp;TEXT(Table1[Date],"yyyy")</f>
        <v>SEP 2019</v>
      </c>
      <c r="AX48" s="10">
        <f>VLOOKUP(Table1[[#This Row],[Location]],'Tab for Charts'!$A$93:$B$103,2,FALSE)</f>
        <v>38.881884999999997</v>
      </c>
      <c r="AY48" s="10">
        <f>VLOOKUP(Table1[[#This Row],[Location]],'Tab for Charts'!$A$93:$C$103,3,FALSE)</f>
        <v>-77.229702000000003</v>
      </c>
    </row>
    <row r="49" spans="1:51">
      <c r="A49">
        <f t="shared" si="17"/>
        <v>48</v>
      </c>
      <c r="B49">
        <f t="shared" si="20"/>
        <v>17</v>
      </c>
      <c r="C49" s="1">
        <v>43719</v>
      </c>
      <c r="D49" s="8">
        <f>55+16/60</f>
        <v>55.266666666666666</v>
      </c>
      <c r="E49">
        <v>14.0000000049</v>
      </c>
      <c r="F49">
        <v>588.00000000490002</v>
      </c>
      <c r="G49">
        <v>125</v>
      </c>
      <c r="H49">
        <v>169</v>
      </c>
      <c r="I49">
        <f>15+22/60</f>
        <v>15.366666666666667</v>
      </c>
      <c r="J49">
        <f>12+48/60</f>
        <v>12.8</v>
      </c>
      <c r="K49">
        <f>12+38/60</f>
        <v>12.633333333333333</v>
      </c>
      <c r="L49">
        <f>12+28/60</f>
        <v>12.466666666666667</v>
      </c>
      <c r="M49">
        <f>2</f>
        <v>2</v>
      </c>
      <c r="N49" t="s">
        <v>21</v>
      </c>
      <c r="O49" t="s">
        <v>7</v>
      </c>
      <c r="P49" t="s">
        <v>19</v>
      </c>
      <c r="Q49" s="34">
        <f t="shared" si="29"/>
        <v>1</v>
      </c>
      <c r="R49" t="str">
        <f t="shared" si="21"/>
        <v>Correct</v>
      </c>
      <c r="S49" t="str">
        <f t="shared" si="22"/>
        <v>9-2019</v>
      </c>
      <c r="T49" t="str">
        <f t="shared" si="23"/>
        <v>Wednesday</v>
      </c>
      <c r="U49">
        <f t="shared" si="10"/>
        <v>1</v>
      </c>
      <c r="V49" s="8">
        <f>IFERROR(Table1[[#This Row],[ClassLength]]/Table1[[#This Row],[Splat]],0)</f>
        <v>3.9476190462373806</v>
      </c>
      <c r="W49">
        <f t="shared" si="24"/>
        <v>1</v>
      </c>
      <c r="X49">
        <f t="shared" si="25"/>
        <v>0</v>
      </c>
      <c r="Y49">
        <f t="shared" si="26"/>
        <v>0</v>
      </c>
      <c r="Z49" s="5">
        <f t="shared" si="11"/>
        <v>0.27804583835946928</v>
      </c>
      <c r="AA49" s="5">
        <f t="shared" si="12"/>
        <v>0.23160434258142343</v>
      </c>
      <c r="AB49" s="5">
        <f t="shared" si="13"/>
        <v>0.22858866103739445</v>
      </c>
      <c r="AC49" s="5">
        <f t="shared" si="14"/>
        <v>0.22557297949336549</v>
      </c>
      <c r="AD49" s="5">
        <f t="shared" si="15"/>
        <v>3.6188178528347409E-2</v>
      </c>
      <c r="AE49" s="7">
        <f>232.14+SUMIFS(Table1[ExtraExpenses],Table1[Mon_Yr],Table1[[#This Row],[Mon_Yr]])</f>
        <v>232.14</v>
      </c>
      <c r="AF49" s="7">
        <f t="shared" si="30"/>
        <v>13.655294117647058</v>
      </c>
      <c r="AG49" s="8">
        <f t="shared" si="27"/>
        <v>592.88235294637661</v>
      </c>
      <c r="AH49" s="8">
        <f t="shared" si="28"/>
        <v>13.647058828079533</v>
      </c>
      <c r="AI49">
        <f>YEAR(Table1[[#This Row],[Date]])</f>
        <v>2019</v>
      </c>
      <c r="AK49">
        <v>12</v>
      </c>
      <c r="AL49" s="8">
        <f>Table1[[#This Row],[Calories]]/Table1[[#This Row],[ClassLength]]</f>
        <v>10.639324487422799</v>
      </c>
      <c r="AM49" t="str">
        <f>RIGHT(Table1[[#This Row],[Time]],2)</f>
        <v>PM</v>
      </c>
      <c r="AN49" t="str">
        <f>Table1[[#This Row],[Mon_Yr]]&amp;"-"&amp;WEEKNUM(Table1[[#This Row],[Date]],1)-WEEKNUM(DATE(YEAR(Table1[[#This Row],[Date]]),MONTH(Table1[[#This Row],[Date]]),1),1)+1</f>
        <v>9-2019-2</v>
      </c>
      <c r="AO49">
        <f>MONTH(Table1[[#This Row],[Date]])</f>
        <v>9</v>
      </c>
      <c r="AP49" s="8">
        <f>IFERROR(Table1[[#This Row],[Calories]]/Table1[[#This Row],[Splat]],0)</f>
        <v>41.99999998565</v>
      </c>
      <c r="AQ49" s="10">
        <f>COUNTIF(Table1[Location],Table1[[#This Row],[Location]])</f>
        <v>37</v>
      </c>
      <c r="AR49" s="10">
        <f>IF(AND(Table1[[#This Row],[Calories]]&gt;=600,Table1[[#This Row],[Splat]]&gt;=12),1,0)</f>
        <v>0</v>
      </c>
      <c r="AS49" s="10">
        <f>IF(AND(Table1[[#This Row],[Calories]]&gt;=500,Table1[[#This Row],[Splat]]&gt;=12),1,0)</f>
        <v>1</v>
      </c>
      <c r="AT49" s="8">
        <f>Table1[[#This Row],[ClassLength]]/Table1[[#This Row],[Calories]]</f>
        <v>9.3990929704432152E-2</v>
      </c>
      <c r="AU4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49" s="10">
        <f>COUNTIF(Table1[Trainer],Table1[[#This Row],[Trainer]])</f>
        <v>12</v>
      </c>
      <c r="AW49" s="10" t="str">
        <f>UPPER(LEFT(TEXT(Table1[Date],"mmmm"),3))&amp;" "&amp;TEXT(Table1[Date],"yyyy")</f>
        <v>SEP 2019</v>
      </c>
      <c r="AX49" s="10">
        <f>VLOOKUP(Table1[[#This Row],[Location]],'Tab for Charts'!$A$93:$B$103,2,FALSE)</f>
        <v>38.903509999999997</v>
      </c>
      <c r="AY49" s="10">
        <f>VLOOKUP(Table1[[#This Row],[Location]],'Tab for Charts'!$A$93:$C$103,3,FALSE)</f>
        <v>-77.051809000000006</v>
      </c>
    </row>
    <row r="50" spans="1:51">
      <c r="A50">
        <f t="shared" si="17"/>
        <v>49</v>
      </c>
      <c r="B50">
        <f t="shared" si="20"/>
        <v>17</v>
      </c>
      <c r="C50" s="1">
        <v>43721</v>
      </c>
      <c r="D50" s="8">
        <f>60+58/60</f>
        <v>60.966666666666669</v>
      </c>
      <c r="E50">
        <v>14.000000005</v>
      </c>
      <c r="F50">
        <v>577.00000000499995</v>
      </c>
      <c r="G50">
        <v>117</v>
      </c>
      <c r="H50">
        <v>168</v>
      </c>
      <c r="I50">
        <f>24+45/60</f>
        <v>24.75</v>
      </c>
      <c r="J50">
        <f>10+15/60</f>
        <v>10.25</v>
      </c>
      <c r="K50">
        <f>12</f>
        <v>12</v>
      </c>
      <c r="L50">
        <f>10+44/60</f>
        <v>10.733333333333333</v>
      </c>
      <c r="M50">
        <f>3+14/60</f>
        <v>3.2333333333333334</v>
      </c>
      <c r="N50" t="s">
        <v>49</v>
      </c>
      <c r="O50" t="s">
        <v>20</v>
      </c>
      <c r="P50" t="s">
        <v>50</v>
      </c>
      <c r="Q50" s="34">
        <f t="shared" si="29"/>
        <v>2</v>
      </c>
      <c r="R50" t="str">
        <f t="shared" si="21"/>
        <v>Correct</v>
      </c>
      <c r="S50" t="str">
        <f t="shared" si="22"/>
        <v>9-2019</v>
      </c>
      <c r="T50" t="str">
        <f t="shared" si="23"/>
        <v>Friday</v>
      </c>
      <c r="U50">
        <f t="shared" si="10"/>
        <v>1</v>
      </c>
      <c r="V50" s="8">
        <f>IFERROR(Table1[[#This Row],[ClassLength]]/Table1[[#This Row],[Splat]],0)</f>
        <v>4.3547619032066329</v>
      </c>
      <c r="W50">
        <f t="shared" si="24"/>
        <v>1</v>
      </c>
      <c r="X50">
        <f t="shared" si="25"/>
        <v>0</v>
      </c>
      <c r="Y50">
        <f t="shared" si="26"/>
        <v>0</v>
      </c>
      <c r="Z50" s="5">
        <f t="shared" si="11"/>
        <v>0.40595954073264079</v>
      </c>
      <c r="AA50" s="5">
        <f t="shared" si="12"/>
        <v>0.16812465828321488</v>
      </c>
      <c r="AB50" s="5">
        <f t="shared" si="13"/>
        <v>0.19682886823400764</v>
      </c>
      <c r="AC50" s="5">
        <f t="shared" si="14"/>
        <v>0.1760524876981957</v>
      </c>
      <c r="AD50" s="5">
        <f t="shared" si="15"/>
        <v>5.3034445051940951E-2</v>
      </c>
      <c r="AE50" s="7">
        <f>232.14+SUMIFS(Table1[ExtraExpenses],Table1[Mon_Yr],Table1[[#This Row],[Mon_Yr]])</f>
        <v>232.14</v>
      </c>
      <c r="AF50" s="7">
        <f t="shared" si="30"/>
        <v>13.655294117647058</v>
      </c>
      <c r="AG50" s="8">
        <f t="shared" si="27"/>
        <v>592.88235294637661</v>
      </c>
      <c r="AH50" s="8">
        <f t="shared" si="28"/>
        <v>13.647058828079533</v>
      </c>
      <c r="AI50">
        <f>YEAR(Table1[[#This Row],[Date]])</f>
        <v>2019</v>
      </c>
      <c r="AK50">
        <v>12</v>
      </c>
      <c r="AL50" s="8">
        <f>Table1[[#This Row],[Calories]]/Table1[[#This Row],[ClassLength]]</f>
        <v>9.464188081000545</v>
      </c>
      <c r="AM50" t="str">
        <f>RIGHT(Table1[[#This Row],[Time]],2)</f>
        <v>PM</v>
      </c>
      <c r="AN50" t="str">
        <f>Table1[[#This Row],[Mon_Yr]]&amp;"-"&amp;WEEKNUM(Table1[[#This Row],[Date]],1)-WEEKNUM(DATE(YEAR(Table1[[#This Row],[Date]]),MONTH(Table1[[#This Row],[Date]]),1),1)+1</f>
        <v>9-2019-2</v>
      </c>
      <c r="AO50">
        <f>MONTH(Table1[[#This Row],[Date]])</f>
        <v>9</v>
      </c>
      <c r="AP50" s="8">
        <f>IFERROR(Table1[[#This Row],[Calories]]/Table1[[#This Row],[Splat]],0)</f>
        <v>41.214285699923465</v>
      </c>
      <c r="AQ50" s="10">
        <f>COUNTIF(Table1[Location],Table1[[#This Row],[Location]])</f>
        <v>10</v>
      </c>
      <c r="AR50" s="10">
        <f>IF(AND(Table1[[#This Row],[Calories]]&gt;=600,Table1[[#This Row],[Splat]]&gt;=12),1,0)</f>
        <v>0</v>
      </c>
      <c r="AS50" s="10">
        <f>IF(AND(Table1[[#This Row],[Calories]]&gt;=500,Table1[[#This Row],[Splat]]&gt;=12),1,0)</f>
        <v>1</v>
      </c>
      <c r="AT50" s="8">
        <f>Table1[[#This Row],[ClassLength]]/Table1[[#This Row],[Calories]]</f>
        <v>0.10566146735899197</v>
      </c>
      <c r="AU5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50" s="10">
        <f>COUNTIF(Table1[Trainer],Table1[[#This Row],[Trainer]])</f>
        <v>9</v>
      </c>
      <c r="AW50" s="10" t="str">
        <f>UPPER(LEFT(TEXT(Table1[Date],"mmmm"),3))&amp;" "&amp;TEXT(Table1[Date],"yyyy")</f>
        <v>SEP 2019</v>
      </c>
      <c r="AX50" s="10">
        <f>VLOOKUP(Table1[[#This Row],[Location]],'Tab for Charts'!$A$93:$B$103,2,FALSE)</f>
        <v>38.879828000000003</v>
      </c>
      <c r="AY50" s="10">
        <f>VLOOKUP(Table1[[#This Row],[Location]],'Tab for Charts'!$A$93:$C$103,3,FALSE)</f>
        <v>-77.005566000000002</v>
      </c>
    </row>
    <row r="51" spans="1:51">
      <c r="A51">
        <f t="shared" si="17"/>
        <v>50</v>
      </c>
      <c r="B51">
        <f t="shared" si="20"/>
        <v>17</v>
      </c>
      <c r="C51" s="1">
        <v>43722</v>
      </c>
      <c r="D51" s="8">
        <f>SUM(I51:M51)</f>
        <v>57.366666666666667</v>
      </c>
      <c r="E51">
        <v>11.0000000051</v>
      </c>
      <c r="F51">
        <v>633.00000000509999</v>
      </c>
      <c r="G51">
        <v>128</v>
      </c>
      <c r="H51">
        <v>167</v>
      </c>
      <c r="I51">
        <f>10+33/60</f>
        <v>10.55</v>
      </c>
      <c r="J51">
        <f>14+4/60</f>
        <v>14.066666666666666</v>
      </c>
      <c r="K51">
        <f>21+31/60</f>
        <v>21.516666666666666</v>
      </c>
      <c r="L51">
        <f>10+20/60</f>
        <v>10.333333333333334</v>
      </c>
      <c r="M51">
        <f>0+54/60</f>
        <v>0.9</v>
      </c>
      <c r="N51" t="s">
        <v>15</v>
      </c>
      <c r="O51" t="s">
        <v>24</v>
      </c>
      <c r="P51" t="s">
        <v>19</v>
      </c>
      <c r="Q51" s="34">
        <f t="shared" si="29"/>
        <v>1</v>
      </c>
      <c r="R51" t="str">
        <f t="shared" si="21"/>
        <v>Correct</v>
      </c>
      <c r="S51" t="str">
        <f t="shared" si="22"/>
        <v>9-2019</v>
      </c>
      <c r="T51" t="str">
        <f t="shared" si="23"/>
        <v>Saturday</v>
      </c>
      <c r="U51">
        <f t="shared" si="10"/>
        <v>0</v>
      </c>
      <c r="V51" s="8">
        <f>IFERROR(Table1[[#This Row],[ClassLength]]/Table1[[#This Row],[Splat]],0)</f>
        <v>5.2151515127335815</v>
      </c>
      <c r="W51">
        <f t="shared" si="24"/>
        <v>1</v>
      </c>
      <c r="X51">
        <f t="shared" si="25"/>
        <v>0</v>
      </c>
      <c r="Y51">
        <f t="shared" si="26"/>
        <v>0</v>
      </c>
      <c r="Z51" s="5">
        <f t="shared" si="11"/>
        <v>0.18390470656595004</v>
      </c>
      <c r="AA51" s="5">
        <f t="shared" si="12"/>
        <v>0.24520627542126669</v>
      </c>
      <c r="AB51" s="5">
        <f t="shared" si="13"/>
        <v>0.37507263219058684</v>
      </c>
      <c r="AC51" s="5">
        <f t="shared" si="14"/>
        <v>0.18012783265543289</v>
      </c>
      <c r="AD51" s="5">
        <f t="shared" si="15"/>
        <v>1.568855316676351E-2</v>
      </c>
      <c r="AE51" s="7">
        <f>232.14+SUMIFS(Table1[ExtraExpenses],Table1[Mon_Yr],Table1[[#This Row],[Mon_Yr]])</f>
        <v>232.14</v>
      </c>
      <c r="AF51" s="7">
        <f t="shared" si="30"/>
        <v>13.655294117647058</v>
      </c>
      <c r="AG51" s="8">
        <f t="shared" si="27"/>
        <v>592.88235294637661</v>
      </c>
      <c r="AH51" s="8">
        <f t="shared" si="28"/>
        <v>13.647058828079533</v>
      </c>
      <c r="AI51">
        <f>YEAR(Table1[[#This Row],[Date]])</f>
        <v>2019</v>
      </c>
      <c r="AK51">
        <v>12</v>
      </c>
      <c r="AL51" s="8">
        <f>Table1[[#This Row],[Calories]]/Table1[[#This Row],[ClassLength]]</f>
        <v>11.034282394045903</v>
      </c>
      <c r="AM51" t="str">
        <f>RIGHT(Table1[[#This Row],[Time]],2)</f>
        <v>AM</v>
      </c>
      <c r="AN51" t="str">
        <f>Table1[[#This Row],[Mon_Yr]]&amp;"-"&amp;WEEKNUM(Table1[[#This Row],[Date]],1)-WEEKNUM(DATE(YEAR(Table1[[#This Row],[Date]]),MONTH(Table1[[#This Row],[Date]]),1),1)+1</f>
        <v>9-2019-2</v>
      </c>
      <c r="AO51">
        <f>MONTH(Table1[[#This Row],[Date]])</f>
        <v>9</v>
      </c>
      <c r="AP51" s="8">
        <f>IFERROR(Table1[[#This Row],[Calories]]/Table1[[#This Row],[Splat]],0)</f>
        <v>57.545454519238014</v>
      </c>
      <c r="AQ51" s="10">
        <f>COUNTIF(Table1[Location],Table1[[#This Row],[Location]])</f>
        <v>48</v>
      </c>
      <c r="AR51" s="10">
        <f>IF(AND(Table1[[#This Row],[Calories]]&gt;=600,Table1[[#This Row],[Splat]]&gt;=12),1,0)</f>
        <v>0</v>
      </c>
      <c r="AS51" s="10">
        <f>IF(AND(Table1[[#This Row],[Calories]]&gt;=500,Table1[[#This Row],[Splat]]&gt;=12),1,0)</f>
        <v>0</v>
      </c>
      <c r="AT51" s="8">
        <f>Table1[[#This Row],[ClassLength]]/Table1[[#This Row],[Calories]]</f>
        <v>9.0626645602218753E-2</v>
      </c>
      <c r="AU5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51" s="10">
        <f>COUNTIF(Table1[Trainer],Table1[[#This Row],[Trainer]])</f>
        <v>12</v>
      </c>
      <c r="AW51" s="10" t="str">
        <f>UPPER(LEFT(TEXT(Table1[Date],"mmmm"),3))&amp;" "&amp;TEXT(Table1[Date],"yyyy")</f>
        <v>SEP 2019</v>
      </c>
      <c r="AX51" s="10">
        <f>VLOOKUP(Table1[[#This Row],[Location]],'Tab for Charts'!$A$93:$B$103,2,FALSE)</f>
        <v>38.916486999999996</v>
      </c>
      <c r="AY51" s="10">
        <f>VLOOKUP(Table1[[#This Row],[Location]],'Tab for Charts'!$A$93:$C$103,3,FALSE)</f>
        <v>-77.031514000000001</v>
      </c>
    </row>
    <row r="52" spans="1:51">
      <c r="A52">
        <f t="shared" si="17"/>
        <v>51</v>
      </c>
      <c r="B52">
        <f t="shared" si="20"/>
        <v>17</v>
      </c>
      <c r="C52" s="1">
        <v>43725</v>
      </c>
      <c r="D52" s="8">
        <f>58</f>
        <v>58</v>
      </c>
      <c r="E52">
        <f>8+ROW()/1000000000000</f>
        <v>8.0000000000519993</v>
      </c>
      <c r="F52">
        <v>574.00000000520004</v>
      </c>
      <c r="G52">
        <v>120</v>
      </c>
      <c r="H52">
        <v>167</v>
      </c>
      <c r="I52">
        <f>19+53/60</f>
        <v>19.883333333333333</v>
      </c>
      <c r="J52">
        <f>13+28/60</f>
        <v>13.466666666666667</v>
      </c>
      <c r="K52">
        <f>16+49/60</f>
        <v>16.816666666666666</v>
      </c>
      <c r="L52">
        <f>6+20/60</f>
        <v>6.333333333333333</v>
      </c>
      <c r="M52">
        <f>1+30/60</f>
        <v>1.5</v>
      </c>
      <c r="N52" t="s">
        <v>6</v>
      </c>
      <c r="O52" t="s">
        <v>7</v>
      </c>
      <c r="P52" t="s">
        <v>9</v>
      </c>
      <c r="Q52" s="34">
        <f t="shared" si="29"/>
        <v>3</v>
      </c>
      <c r="R52" t="str">
        <f t="shared" si="21"/>
        <v>Correct</v>
      </c>
      <c r="S52" t="str">
        <f t="shared" si="22"/>
        <v>9-2019</v>
      </c>
      <c r="T52" t="str">
        <f t="shared" si="23"/>
        <v>Tuesday</v>
      </c>
      <c r="U52">
        <f t="shared" si="10"/>
        <v>0</v>
      </c>
      <c r="V52" s="8">
        <f>IFERROR(Table1[[#This Row],[ClassLength]]/Table1[[#This Row],[Splat]],0)</f>
        <v>7.2499999999528759</v>
      </c>
      <c r="W52">
        <f t="shared" si="24"/>
        <v>1</v>
      </c>
      <c r="X52">
        <f t="shared" si="25"/>
        <v>0</v>
      </c>
      <c r="Y52">
        <f t="shared" si="26"/>
        <v>0</v>
      </c>
      <c r="Z52" s="5">
        <f t="shared" si="11"/>
        <v>0.34281609195402296</v>
      </c>
      <c r="AA52" s="5">
        <f t="shared" si="12"/>
        <v>0.23218390804597702</v>
      </c>
      <c r="AB52" s="5">
        <f t="shared" si="13"/>
        <v>0.2899425287356322</v>
      </c>
      <c r="AC52" s="5">
        <f t="shared" si="14"/>
        <v>0.10919540229885057</v>
      </c>
      <c r="AD52" s="5">
        <f t="shared" si="15"/>
        <v>2.5862068965517241E-2</v>
      </c>
      <c r="AE52" s="7">
        <f>232.14+SUMIFS(Table1[ExtraExpenses],Table1[Mon_Yr],Table1[[#This Row],[Mon_Yr]])</f>
        <v>232.14</v>
      </c>
      <c r="AF52" s="7">
        <f t="shared" si="30"/>
        <v>13.655294117647058</v>
      </c>
      <c r="AG52" s="8">
        <f t="shared" si="27"/>
        <v>592.88235294637661</v>
      </c>
      <c r="AH52" s="8">
        <f t="shared" si="28"/>
        <v>13.647058828079533</v>
      </c>
      <c r="AI52">
        <f>YEAR(Table1[[#This Row],[Date]])</f>
        <v>2019</v>
      </c>
      <c r="AK52">
        <v>12</v>
      </c>
      <c r="AL52" s="8">
        <f>Table1[[#This Row],[Calories]]/Table1[[#This Row],[ClassLength]]</f>
        <v>9.8965517242275869</v>
      </c>
      <c r="AM52" t="str">
        <f>RIGHT(Table1[[#This Row],[Time]],2)</f>
        <v>PM</v>
      </c>
      <c r="AN52" t="str">
        <f>Table1[[#This Row],[Mon_Yr]]&amp;"-"&amp;WEEKNUM(Table1[[#This Row],[Date]],1)-WEEKNUM(DATE(YEAR(Table1[[#This Row],[Date]]),MONTH(Table1[[#This Row],[Date]]),1),1)+1</f>
        <v>9-2019-3</v>
      </c>
      <c r="AO52">
        <f>MONTH(Table1[[#This Row],[Date]])</f>
        <v>9</v>
      </c>
      <c r="AP52" s="8">
        <f>IFERROR(Table1[[#This Row],[Calories]]/Table1[[#This Row],[Splat]],0)</f>
        <v>71.750000000183633</v>
      </c>
      <c r="AQ52" s="10">
        <f>COUNTIF(Table1[Location],Table1[[#This Row],[Location]])</f>
        <v>35</v>
      </c>
      <c r="AR52" s="10">
        <f>IF(AND(Table1[[#This Row],[Calories]]&gt;=600,Table1[[#This Row],[Splat]]&gt;=12),1,0)</f>
        <v>0</v>
      </c>
      <c r="AS52" s="10">
        <f>IF(AND(Table1[[#This Row],[Calories]]&gt;=500,Table1[[#This Row],[Splat]]&gt;=12),1,0)</f>
        <v>0</v>
      </c>
      <c r="AT52" s="8">
        <f>Table1[[#This Row],[ClassLength]]/Table1[[#This Row],[Calories]]</f>
        <v>0.10104529616633198</v>
      </c>
      <c r="AU5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52" s="10">
        <f>COUNTIF(Table1[Trainer],Table1[[#This Row],[Trainer]])</f>
        <v>10</v>
      </c>
      <c r="AW52" s="10" t="str">
        <f>UPPER(LEFT(TEXT(Table1[Date],"mmmm"),3))&amp;" "&amp;TEXT(Table1[Date],"yyyy")</f>
        <v>SEP 2019</v>
      </c>
      <c r="AX52" s="10">
        <f>VLOOKUP(Table1[[#This Row],[Location]],'Tab for Charts'!$A$93:$B$103,2,FALSE)</f>
        <v>38.881884999999997</v>
      </c>
      <c r="AY52" s="10">
        <f>VLOOKUP(Table1[[#This Row],[Location]],'Tab for Charts'!$A$93:$C$103,3,FALSE)</f>
        <v>-77.229702000000003</v>
      </c>
    </row>
    <row r="53" spans="1:51">
      <c r="A53">
        <f t="shared" si="17"/>
        <v>52</v>
      </c>
      <c r="B53">
        <f t="shared" si="20"/>
        <v>17</v>
      </c>
      <c r="C53" s="1">
        <v>43726</v>
      </c>
      <c r="D53" s="8">
        <f>56+33/60</f>
        <v>56.55</v>
      </c>
      <c r="E53">
        <v>17.000000005299999</v>
      </c>
      <c r="F53">
        <v>554.00000000529997</v>
      </c>
      <c r="G53">
        <v>119</v>
      </c>
      <c r="H53">
        <v>166</v>
      </c>
      <c r="I53">
        <f>24+36/60</f>
        <v>24.6</v>
      </c>
      <c r="J53">
        <f>7+6/60</f>
        <v>7.1</v>
      </c>
      <c r="K53">
        <f>7+39/60</f>
        <v>7.65</v>
      </c>
      <c r="L53">
        <f>15+11/60</f>
        <v>15.183333333333334</v>
      </c>
      <c r="M53">
        <f>2+1/60</f>
        <v>2.0166666666666666</v>
      </c>
      <c r="N53" t="s">
        <v>21</v>
      </c>
      <c r="O53" t="s">
        <v>7</v>
      </c>
      <c r="P53" t="s">
        <v>19</v>
      </c>
      <c r="Q53" s="34">
        <f t="shared" si="29"/>
        <v>1</v>
      </c>
      <c r="R53" t="str">
        <f t="shared" si="21"/>
        <v>Correct</v>
      </c>
      <c r="S53" t="str">
        <f t="shared" si="22"/>
        <v>9-2019</v>
      </c>
      <c r="T53" t="str">
        <f t="shared" si="23"/>
        <v>Wednesday</v>
      </c>
      <c r="U53">
        <f t="shared" si="10"/>
        <v>1</v>
      </c>
      <c r="V53" s="8">
        <f>IFERROR(Table1[[#This Row],[ClassLength]]/Table1[[#This Row],[Splat]],0)</f>
        <v>3.3264705871982181</v>
      </c>
      <c r="W53">
        <f t="shared" si="24"/>
        <v>1</v>
      </c>
      <c r="X53">
        <f t="shared" si="25"/>
        <v>0</v>
      </c>
      <c r="Y53">
        <f t="shared" si="26"/>
        <v>0</v>
      </c>
      <c r="Z53" s="5">
        <f t="shared" si="11"/>
        <v>0.43501326259946954</v>
      </c>
      <c r="AA53" s="5">
        <f t="shared" si="12"/>
        <v>0.125552608311229</v>
      </c>
      <c r="AB53" s="5">
        <f t="shared" si="13"/>
        <v>0.13527851458885942</v>
      </c>
      <c r="AC53" s="5">
        <f t="shared" si="14"/>
        <v>0.26849395814913057</v>
      </c>
      <c r="AD53" s="5">
        <f t="shared" si="15"/>
        <v>3.5661656351311521E-2</v>
      </c>
      <c r="AE53" s="7">
        <f>232.14+SUMIFS(Table1[ExtraExpenses],Table1[Mon_Yr],Table1[[#This Row],[Mon_Yr]])</f>
        <v>232.14</v>
      </c>
      <c r="AF53" s="7">
        <f t="shared" si="30"/>
        <v>13.655294117647058</v>
      </c>
      <c r="AG53" s="8">
        <f t="shared" si="27"/>
        <v>592.88235294637661</v>
      </c>
      <c r="AH53" s="8">
        <f t="shared" si="28"/>
        <v>13.647058828079533</v>
      </c>
      <c r="AI53">
        <f>YEAR(Table1[[#This Row],[Date]])</f>
        <v>2019</v>
      </c>
      <c r="AK53">
        <v>12</v>
      </c>
      <c r="AL53" s="8">
        <f>Table1[[#This Row],[Calories]]/Table1[[#This Row],[ClassLength]]</f>
        <v>9.7966401415614506</v>
      </c>
      <c r="AM53" t="str">
        <f>RIGHT(Table1[[#This Row],[Time]],2)</f>
        <v>PM</v>
      </c>
      <c r="AN53" t="str">
        <f>Table1[[#This Row],[Mon_Yr]]&amp;"-"&amp;WEEKNUM(Table1[[#This Row],[Date]],1)-WEEKNUM(DATE(YEAR(Table1[[#This Row],[Date]]),MONTH(Table1[[#This Row],[Date]]),1),1)+1</f>
        <v>9-2019-3</v>
      </c>
      <c r="AO53">
        <f>MONTH(Table1[[#This Row],[Date]])</f>
        <v>9</v>
      </c>
      <c r="AP53" s="8">
        <f>IFERROR(Table1[[#This Row],[Calories]]/Table1[[#This Row],[Splat]],0)</f>
        <v>32.588235284269551</v>
      </c>
      <c r="AQ53" s="10">
        <f>COUNTIF(Table1[Location],Table1[[#This Row],[Location]])</f>
        <v>37</v>
      </c>
      <c r="AR53" s="10">
        <f>IF(AND(Table1[[#This Row],[Calories]]&gt;=600,Table1[[#This Row],[Splat]]&gt;=12),1,0)</f>
        <v>0</v>
      </c>
      <c r="AS53" s="10">
        <f>IF(AND(Table1[[#This Row],[Calories]]&gt;=500,Table1[[#This Row],[Splat]]&gt;=12),1,0)</f>
        <v>1</v>
      </c>
      <c r="AT53" s="8">
        <f>Table1[[#This Row],[ClassLength]]/Table1[[#This Row],[Calories]]</f>
        <v>0.1020758122733917</v>
      </c>
      <c r="AU5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53" s="10">
        <f>COUNTIF(Table1[Trainer],Table1[[#This Row],[Trainer]])</f>
        <v>12</v>
      </c>
      <c r="AW53" s="10" t="str">
        <f>UPPER(LEFT(TEXT(Table1[Date],"mmmm"),3))&amp;" "&amp;TEXT(Table1[Date],"yyyy")</f>
        <v>SEP 2019</v>
      </c>
      <c r="AX53" s="10">
        <f>VLOOKUP(Table1[[#This Row],[Location]],'Tab for Charts'!$A$93:$B$103,2,FALSE)</f>
        <v>38.903509999999997</v>
      </c>
      <c r="AY53" s="10">
        <f>VLOOKUP(Table1[[#This Row],[Location]],'Tab for Charts'!$A$93:$C$103,3,FALSE)</f>
        <v>-77.051809000000006</v>
      </c>
    </row>
    <row r="54" spans="1:51">
      <c r="A54">
        <f t="shared" si="17"/>
        <v>53</v>
      </c>
      <c r="B54">
        <f t="shared" si="20"/>
        <v>17</v>
      </c>
      <c r="C54" s="1">
        <v>43728</v>
      </c>
      <c r="D54" s="8">
        <f>SUM(I54:M54)</f>
        <v>51.983333333333334</v>
      </c>
      <c r="E54">
        <v>15.0000000054</v>
      </c>
      <c r="F54">
        <v>553.00000000540001</v>
      </c>
      <c r="G54">
        <v>125</v>
      </c>
      <c r="H54">
        <v>166</v>
      </c>
      <c r="I54">
        <f>14+12/60</f>
        <v>14.2</v>
      </c>
      <c r="J54">
        <f>15+10/60</f>
        <v>15.166666666666666</v>
      </c>
      <c r="K54">
        <f>8+5/60</f>
        <v>8.0833333333333339</v>
      </c>
      <c r="L54">
        <f>8+59/60</f>
        <v>8.9833333333333325</v>
      </c>
      <c r="M54">
        <f>5+33/60</f>
        <v>5.55</v>
      </c>
      <c r="N54" t="s">
        <v>201</v>
      </c>
      <c r="O54" t="s">
        <v>20</v>
      </c>
      <c r="P54" t="s">
        <v>51</v>
      </c>
      <c r="Q54" s="34">
        <f t="shared" si="29"/>
        <v>2</v>
      </c>
      <c r="R54" t="str">
        <f t="shared" si="21"/>
        <v>Correct</v>
      </c>
      <c r="S54" t="str">
        <f t="shared" si="22"/>
        <v>9-2019</v>
      </c>
      <c r="T54" t="str">
        <f t="shared" si="23"/>
        <v>Friday</v>
      </c>
      <c r="U54">
        <f t="shared" si="10"/>
        <v>1</v>
      </c>
      <c r="V54" s="8">
        <f>IFERROR(Table1[[#This Row],[ClassLength]]/Table1[[#This Row],[Splat]],0)</f>
        <v>3.4655555543079557</v>
      </c>
      <c r="W54">
        <f t="shared" si="24"/>
        <v>1</v>
      </c>
      <c r="X54">
        <f t="shared" si="25"/>
        <v>0</v>
      </c>
      <c r="Y54">
        <f t="shared" si="26"/>
        <v>0</v>
      </c>
      <c r="Z54" s="5">
        <f t="shared" si="11"/>
        <v>0.27316447579352354</v>
      </c>
      <c r="AA54" s="5">
        <f t="shared" si="12"/>
        <v>0.29176017954472588</v>
      </c>
      <c r="AB54" s="5">
        <f t="shared" si="13"/>
        <v>0.15549855722988137</v>
      </c>
      <c r="AC54" s="5">
        <f t="shared" si="14"/>
        <v>0.17281179865341453</v>
      </c>
      <c r="AD54" s="5">
        <f t="shared" si="15"/>
        <v>0.10676498877845463</v>
      </c>
      <c r="AE54" s="7">
        <f>232.14+SUMIFS(Table1[ExtraExpenses],Table1[Mon_Yr],Table1[[#This Row],[Mon_Yr]])</f>
        <v>232.14</v>
      </c>
      <c r="AF54" s="7">
        <f t="shared" si="30"/>
        <v>13.655294117647058</v>
      </c>
      <c r="AG54" s="8">
        <f t="shared" si="27"/>
        <v>592.88235294637661</v>
      </c>
      <c r="AH54" s="8">
        <f t="shared" si="28"/>
        <v>13.647058828079533</v>
      </c>
      <c r="AI54">
        <f>YEAR(Table1[[#This Row],[Date]])</f>
        <v>2019</v>
      </c>
      <c r="AK54">
        <v>12</v>
      </c>
      <c r="AL54" s="8">
        <f>Table1[[#This Row],[Calories]]/Table1[[#This Row],[ClassLength]]</f>
        <v>10.63802500811927</v>
      </c>
      <c r="AM54" t="str">
        <f>RIGHT(Table1[[#This Row],[Time]],2)</f>
        <v>PM</v>
      </c>
      <c r="AN54" t="str">
        <f>Table1[[#This Row],[Mon_Yr]]&amp;"-"&amp;WEEKNUM(Table1[[#This Row],[Date]],1)-WEEKNUM(DATE(YEAR(Table1[[#This Row],[Date]]),MONTH(Table1[[#This Row],[Date]]),1),1)+1</f>
        <v>9-2019-3</v>
      </c>
      <c r="AO54">
        <f>MONTH(Table1[[#This Row],[Date]])</f>
        <v>9</v>
      </c>
      <c r="AP54" s="8">
        <f>IFERROR(Table1[[#This Row],[Calories]]/Table1[[#This Row],[Splat]],0)</f>
        <v>36.866666653754663</v>
      </c>
      <c r="AQ54" s="10">
        <f>COUNTIF(Table1[Location],Table1[[#This Row],[Location]])</f>
        <v>3</v>
      </c>
      <c r="AR54" s="10">
        <f>IF(AND(Table1[[#This Row],[Calories]]&gt;=600,Table1[[#This Row],[Splat]]&gt;=12),1,0)</f>
        <v>0</v>
      </c>
      <c r="AS54" s="10">
        <f>IF(AND(Table1[[#This Row],[Calories]]&gt;=500,Table1[[#This Row],[Splat]]&gt;=12),1,0)</f>
        <v>1</v>
      </c>
      <c r="AT54" s="8">
        <f>Table1[[#This Row],[ClassLength]]/Table1[[#This Row],[Calories]]</f>
        <v>9.4002411090100754E-2</v>
      </c>
      <c r="AU5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54" s="10">
        <f>COUNTIF(Table1[Trainer],Table1[[#This Row],[Trainer]])</f>
        <v>2</v>
      </c>
      <c r="AW54" s="10" t="str">
        <f>UPPER(LEFT(TEXT(Table1[Date],"mmmm"),3))&amp;" "&amp;TEXT(Table1[Date],"yyyy")</f>
        <v>SEP 2019</v>
      </c>
      <c r="AX54" s="10">
        <f>VLOOKUP(Table1[[#This Row],[Location]],'Tab for Charts'!$A$93:$B$103,2,FALSE)</f>
        <v>38.901815999999997</v>
      </c>
      <c r="AY54" s="10">
        <f>VLOOKUP(Table1[[#This Row],[Location]],'Tab for Charts'!$A$93:$C$103,3,FALSE)</f>
        <v>-77.017055999999997</v>
      </c>
    </row>
    <row r="55" spans="1:51">
      <c r="A55">
        <f t="shared" si="17"/>
        <v>54</v>
      </c>
      <c r="B55">
        <f t="shared" si="20"/>
        <v>17</v>
      </c>
      <c r="C55" s="1">
        <v>43729</v>
      </c>
      <c r="D55" s="8">
        <f>SUM(I55:M55)</f>
        <v>56.68333333333333</v>
      </c>
      <c r="E55">
        <v>18.000000005499999</v>
      </c>
      <c r="F55">
        <v>664.00000000550006</v>
      </c>
      <c r="G55">
        <v>132</v>
      </c>
      <c r="H55">
        <v>171</v>
      </c>
      <c r="I55">
        <f>5+36/60</f>
        <v>5.6</v>
      </c>
      <c r="J55">
        <f>17+57/60</f>
        <v>17.95</v>
      </c>
      <c r="K55">
        <f>15+31/60</f>
        <v>15.516666666666667</v>
      </c>
      <c r="L55">
        <f>15+59/60</f>
        <v>15.983333333333333</v>
      </c>
      <c r="M55">
        <f>1+38/60</f>
        <v>1.6333333333333333</v>
      </c>
      <c r="N55" t="s">
        <v>15</v>
      </c>
      <c r="O55" t="s">
        <v>24</v>
      </c>
      <c r="P55" t="s">
        <v>17</v>
      </c>
      <c r="Q55" s="34">
        <f t="shared" si="29"/>
        <v>1</v>
      </c>
      <c r="R55" t="str">
        <f t="shared" si="21"/>
        <v>Correct</v>
      </c>
      <c r="S55" t="str">
        <f t="shared" si="22"/>
        <v>9-2019</v>
      </c>
      <c r="T55" t="str">
        <f t="shared" si="23"/>
        <v>Saturday</v>
      </c>
      <c r="U55">
        <f t="shared" si="10"/>
        <v>1</v>
      </c>
      <c r="V55" s="8">
        <f>IFERROR(Table1[[#This Row],[ClassLength]]/Table1[[#This Row],[Splat]],0)</f>
        <v>3.1490740731118572</v>
      </c>
      <c r="W55">
        <f t="shared" si="24"/>
        <v>1</v>
      </c>
      <c r="X55">
        <f t="shared" si="25"/>
        <v>0</v>
      </c>
      <c r="Y55">
        <f t="shared" si="26"/>
        <v>0</v>
      </c>
      <c r="Z55" s="5">
        <f t="shared" si="11"/>
        <v>9.8794472214054685E-2</v>
      </c>
      <c r="AA55" s="5">
        <f t="shared" si="12"/>
        <v>0.31667156718612172</v>
      </c>
      <c r="AB55" s="5">
        <f t="shared" si="13"/>
        <v>0.27374301675977658</v>
      </c>
      <c r="AC55" s="5">
        <f t="shared" si="14"/>
        <v>0.28197588944428109</v>
      </c>
      <c r="AD55" s="5">
        <f t="shared" si="15"/>
        <v>2.8815054395765951E-2</v>
      </c>
      <c r="AE55" s="7">
        <f>232.14+SUMIFS(Table1[ExtraExpenses],Table1[Mon_Yr],Table1[[#This Row],[Mon_Yr]])</f>
        <v>232.14</v>
      </c>
      <c r="AF55" s="7">
        <f t="shared" si="30"/>
        <v>13.655294117647058</v>
      </c>
      <c r="AG55" s="8">
        <f t="shared" si="27"/>
        <v>592.88235294637661</v>
      </c>
      <c r="AH55" s="8">
        <f t="shared" si="28"/>
        <v>13.647058828079533</v>
      </c>
      <c r="AI55">
        <f>YEAR(Table1[[#This Row],[Date]])</f>
        <v>2019</v>
      </c>
      <c r="AK55">
        <v>12</v>
      </c>
      <c r="AL55" s="8">
        <f>Table1[[#This Row],[Calories]]/Table1[[#This Row],[ClassLength]]</f>
        <v>11.714201705477802</v>
      </c>
      <c r="AM55" t="str">
        <f>RIGHT(Table1[[#This Row],[Time]],2)</f>
        <v>AM</v>
      </c>
      <c r="AN55" t="str">
        <f>Table1[[#This Row],[Mon_Yr]]&amp;"-"&amp;WEEKNUM(Table1[[#This Row],[Date]],1)-WEEKNUM(DATE(YEAR(Table1[[#This Row],[Date]]),MONTH(Table1[[#This Row],[Date]]),1),1)+1</f>
        <v>9-2019-3</v>
      </c>
      <c r="AO55">
        <f>MONTH(Table1[[#This Row],[Date]])</f>
        <v>9</v>
      </c>
      <c r="AP55" s="8">
        <f>IFERROR(Table1[[#This Row],[Calories]]/Table1[[#This Row],[Splat]],0)</f>
        <v>36.888888877922845</v>
      </c>
      <c r="AQ55" s="10">
        <f>COUNTIF(Table1[Location],Table1[[#This Row],[Location]])</f>
        <v>48</v>
      </c>
      <c r="AR55" s="10">
        <f>IF(AND(Table1[[#This Row],[Calories]]&gt;=600,Table1[[#This Row],[Splat]]&gt;=12),1,0)</f>
        <v>1</v>
      </c>
      <c r="AS55" s="10">
        <f>IF(AND(Table1[[#This Row],[Calories]]&gt;=500,Table1[[#This Row],[Splat]]&gt;=12),1,0)</f>
        <v>1</v>
      </c>
      <c r="AT55" s="8">
        <f>Table1[[#This Row],[ClassLength]]/Table1[[#This Row],[Calories]]</f>
        <v>8.5366465862746696E-2</v>
      </c>
      <c r="AU5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55" s="10">
        <f>COUNTIF(Table1[Trainer],Table1[[#This Row],[Trainer]])</f>
        <v>29</v>
      </c>
      <c r="AW55" s="10" t="str">
        <f>UPPER(LEFT(TEXT(Table1[Date],"mmmm"),3))&amp;" "&amp;TEXT(Table1[Date],"yyyy")</f>
        <v>SEP 2019</v>
      </c>
      <c r="AX55" s="10">
        <f>VLOOKUP(Table1[[#This Row],[Location]],'Tab for Charts'!$A$93:$B$103,2,FALSE)</f>
        <v>38.916486999999996</v>
      </c>
      <c r="AY55" s="10">
        <f>VLOOKUP(Table1[[#This Row],[Location]],'Tab for Charts'!$A$93:$C$103,3,FALSE)</f>
        <v>-77.031514000000001</v>
      </c>
    </row>
    <row r="56" spans="1:51">
      <c r="A56">
        <f t="shared" si="17"/>
        <v>55</v>
      </c>
      <c r="B56">
        <f t="shared" si="20"/>
        <v>17</v>
      </c>
      <c r="C56" s="1">
        <v>43732</v>
      </c>
      <c r="D56" s="8">
        <f>58+30/60</f>
        <v>58.5</v>
      </c>
      <c r="E56">
        <v>10.0000000056</v>
      </c>
      <c r="F56">
        <v>587.00000000559999</v>
      </c>
      <c r="G56">
        <v>121</v>
      </c>
      <c r="H56">
        <v>166</v>
      </c>
      <c r="I56">
        <f>19+52/60</f>
        <v>19.866666666666667</v>
      </c>
      <c r="J56">
        <f>10+45/60</f>
        <v>10.75</v>
      </c>
      <c r="K56">
        <f>17+26/60</f>
        <v>17.433333333333334</v>
      </c>
      <c r="L56">
        <f>9+2/60</f>
        <v>9.0333333333333332</v>
      </c>
      <c r="M56">
        <f>1+25/60</f>
        <v>1.4166666666666667</v>
      </c>
      <c r="N56" t="s">
        <v>6</v>
      </c>
      <c r="O56" t="s">
        <v>7</v>
      </c>
      <c r="P56" t="s">
        <v>9</v>
      </c>
      <c r="Q56" s="34">
        <f t="shared" si="29"/>
        <v>3</v>
      </c>
      <c r="R56" t="str">
        <f t="shared" si="21"/>
        <v>Correct</v>
      </c>
      <c r="S56" t="str">
        <f t="shared" si="22"/>
        <v>9-2019</v>
      </c>
      <c r="T56" t="str">
        <f t="shared" si="23"/>
        <v>Tuesday</v>
      </c>
      <c r="U56">
        <f t="shared" si="10"/>
        <v>0</v>
      </c>
      <c r="V56" s="8">
        <f>IFERROR(Table1[[#This Row],[ClassLength]]/Table1[[#This Row],[Splat]],0)</f>
        <v>5.8499999967239997</v>
      </c>
      <c r="W56">
        <f t="shared" si="24"/>
        <v>1</v>
      </c>
      <c r="X56">
        <f t="shared" si="25"/>
        <v>0</v>
      </c>
      <c r="Y56">
        <f t="shared" si="26"/>
        <v>0</v>
      </c>
      <c r="Z56" s="5">
        <f t="shared" si="11"/>
        <v>0.33960113960113963</v>
      </c>
      <c r="AA56" s="5">
        <f t="shared" si="12"/>
        <v>0.18376068376068377</v>
      </c>
      <c r="AB56" s="5">
        <f t="shared" si="13"/>
        <v>0.29800569800569798</v>
      </c>
      <c r="AC56" s="5">
        <f t="shared" si="14"/>
        <v>0.1544159544159544</v>
      </c>
      <c r="AD56" s="5">
        <f t="shared" si="15"/>
        <v>2.4216524216524218E-2</v>
      </c>
      <c r="AE56" s="7">
        <f>232.14+SUMIFS(Table1[ExtraExpenses],Table1[Mon_Yr],Table1[[#This Row],[Mon_Yr]])</f>
        <v>232.14</v>
      </c>
      <c r="AF56" s="7">
        <f t="shared" si="30"/>
        <v>13.655294117647058</v>
      </c>
      <c r="AG56" s="8">
        <f t="shared" si="27"/>
        <v>592.88235294637661</v>
      </c>
      <c r="AH56" s="8">
        <f t="shared" si="28"/>
        <v>13.647058828079533</v>
      </c>
      <c r="AI56">
        <f>YEAR(Table1[[#This Row],[Date]])</f>
        <v>2019</v>
      </c>
      <c r="AK56">
        <v>12</v>
      </c>
      <c r="AL56" s="8">
        <f>Table1[[#This Row],[Calories]]/Table1[[#This Row],[ClassLength]]</f>
        <v>10.03418803428376</v>
      </c>
      <c r="AM56" t="str">
        <f>RIGHT(Table1[[#This Row],[Time]],2)</f>
        <v>PM</v>
      </c>
      <c r="AN56" t="str">
        <f>Table1[[#This Row],[Mon_Yr]]&amp;"-"&amp;WEEKNUM(Table1[[#This Row],[Date]],1)-WEEKNUM(DATE(YEAR(Table1[[#This Row],[Date]]),MONTH(Table1[[#This Row],[Date]]),1),1)+1</f>
        <v>9-2019-4</v>
      </c>
      <c r="AO56">
        <f>MONTH(Table1[[#This Row],[Date]])</f>
        <v>9</v>
      </c>
      <c r="AP56" s="8">
        <f>IFERROR(Table1[[#This Row],[Calories]]/Table1[[#This Row],[Splat]],0)</f>
        <v>58.699999967687994</v>
      </c>
      <c r="AQ56" s="10">
        <f>COUNTIF(Table1[Location],Table1[[#This Row],[Location]])</f>
        <v>35</v>
      </c>
      <c r="AR56" s="10">
        <f>IF(AND(Table1[[#This Row],[Calories]]&gt;=600,Table1[[#This Row],[Splat]]&gt;=12),1,0)</f>
        <v>0</v>
      </c>
      <c r="AS56" s="10">
        <f>IF(AND(Table1[[#This Row],[Calories]]&gt;=500,Table1[[#This Row],[Splat]]&gt;=12),1,0)</f>
        <v>0</v>
      </c>
      <c r="AT56" s="8">
        <f>Table1[[#This Row],[ClassLength]]/Table1[[#This Row],[Calories]]</f>
        <v>9.9659284496493888E-2</v>
      </c>
      <c r="AU5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56" s="10">
        <f>COUNTIF(Table1[Trainer],Table1[[#This Row],[Trainer]])</f>
        <v>10</v>
      </c>
      <c r="AW56" s="10" t="str">
        <f>UPPER(LEFT(TEXT(Table1[Date],"mmmm"),3))&amp;" "&amp;TEXT(Table1[Date],"yyyy")</f>
        <v>SEP 2019</v>
      </c>
      <c r="AX56" s="10">
        <f>VLOOKUP(Table1[[#This Row],[Location]],'Tab for Charts'!$A$93:$B$103,2,FALSE)</f>
        <v>38.881884999999997</v>
      </c>
      <c r="AY56" s="10">
        <f>VLOOKUP(Table1[[#This Row],[Location]],'Tab for Charts'!$A$93:$C$103,3,FALSE)</f>
        <v>-77.229702000000003</v>
      </c>
    </row>
    <row r="57" spans="1:51">
      <c r="A57">
        <f t="shared" si="17"/>
        <v>56</v>
      </c>
      <c r="B57">
        <f t="shared" si="20"/>
        <v>17</v>
      </c>
      <c r="C57" s="1">
        <v>43734</v>
      </c>
      <c r="D57" s="8">
        <f>59+21/60</f>
        <v>59.35</v>
      </c>
      <c r="E57">
        <v>12.0000000057</v>
      </c>
      <c r="F57">
        <v>575.00000000570003</v>
      </c>
      <c r="G57">
        <v>119</v>
      </c>
      <c r="H57">
        <v>171</v>
      </c>
      <c r="I57">
        <f>24+46/60</f>
        <v>24.766666666666666</v>
      </c>
      <c r="J57">
        <f>10+15/60</f>
        <v>10.25</v>
      </c>
      <c r="K57">
        <f>12+44/60</f>
        <v>12.733333333333333</v>
      </c>
      <c r="L57">
        <f>6+43/60</f>
        <v>6.7166666666666668</v>
      </c>
      <c r="M57">
        <f>4+53/60</f>
        <v>4.8833333333333329</v>
      </c>
      <c r="N57" t="s">
        <v>15</v>
      </c>
      <c r="O57" t="s">
        <v>20</v>
      </c>
      <c r="P57" t="s">
        <v>61</v>
      </c>
      <c r="Q57" s="34">
        <f t="shared" si="29"/>
        <v>2</v>
      </c>
      <c r="R57" t="str">
        <f t="shared" si="21"/>
        <v>Correct</v>
      </c>
      <c r="S57" t="str">
        <f t="shared" si="22"/>
        <v>9-2019</v>
      </c>
      <c r="T57" t="str">
        <f t="shared" si="23"/>
        <v>Thursday</v>
      </c>
      <c r="U57">
        <f t="shared" si="10"/>
        <v>1</v>
      </c>
      <c r="V57" s="8">
        <f>IFERROR(Table1[[#This Row],[ClassLength]]/Table1[[#This Row],[Splat]],0)</f>
        <v>4.9458333309840627</v>
      </c>
      <c r="W57">
        <f t="shared" si="24"/>
        <v>1</v>
      </c>
      <c r="X57">
        <f t="shared" si="25"/>
        <v>0</v>
      </c>
      <c r="Y57">
        <f t="shared" si="26"/>
        <v>0</v>
      </c>
      <c r="Z57" s="5">
        <f t="shared" si="11"/>
        <v>0.41729851165402976</v>
      </c>
      <c r="AA57" s="5">
        <f t="shared" si="12"/>
        <v>0.17270429654591407</v>
      </c>
      <c r="AB57" s="5">
        <f t="shared" si="13"/>
        <v>0.21454647570907046</v>
      </c>
      <c r="AC57" s="5">
        <f t="shared" si="14"/>
        <v>0.11317045773659085</v>
      </c>
      <c r="AD57" s="5">
        <f t="shared" si="15"/>
        <v>8.2280258354394828E-2</v>
      </c>
      <c r="AE57" s="7">
        <f>232.14+SUMIFS(Table1[ExtraExpenses],Table1[Mon_Yr],Table1[[#This Row],[Mon_Yr]])</f>
        <v>232.14</v>
      </c>
      <c r="AF57" s="7">
        <f t="shared" si="30"/>
        <v>13.655294117647058</v>
      </c>
      <c r="AG57" s="8">
        <f t="shared" si="27"/>
        <v>592.88235294637661</v>
      </c>
      <c r="AH57" s="8">
        <f t="shared" si="28"/>
        <v>13.647058828079533</v>
      </c>
      <c r="AI57">
        <f>YEAR(Table1[[#This Row],[Date]])</f>
        <v>2019</v>
      </c>
      <c r="AK57">
        <v>12</v>
      </c>
      <c r="AL57" s="8">
        <f>Table1[[#This Row],[Calories]]/Table1[[#This Row],[ClassLength]]</f>
        <v>9.6882898063302445</v>
      </c>
      <c r="AM57" t="str">
        <f>RIGHT(Table1[[#This Row],[Time]],2)</f>
        <v>PM</v>
      </c>
      <c r="AN57" t="str">
        <f>Table1[[#This Row],[Mon_Yr]]&amp;"-"&amp;WEEKNUM(Table1[[#This Row],[Date]],1)-WEEKNUM(DATE(YEAR(Table1[[#This Row],[Date]]),MONTH(Table1[[#This Row],[Date]]),1),1)+1</f>
        <v>9-2019-4</v>
      </c>
      <c r="AO57">
        <f>MONTH(Table1[[#This Row],[Date]])</f>
        <v>9</v>
      </c>
      <c r="AP57" s="8">
        <f>IFERROR(Table1[[#This Row],[Calories]]/Table1[[#This Row],[Splat]],0)</f>
        <v>47.916666644381252</v>
      </c>
      <c r="AQ57" s="10">
        <f>COUNTIF(Table1[Location],Table1[[#This Row],[Location]])</f>
        <v>48</v>
      </c>
      <c r="AR57" s="10">
        <f>IF(AND(Table1[[#This Row],[Calories]]&gt;=600,Table1[[#This Row],[Splat]]&gt;=12),1,0)</f>
        <v>0</v>
      </c>
      <c r="AS57" s="10">
        <f>IF(AND(Table1[[#This Row],[Calories]]&gt;=500,Table1[[#This Row],[Splat]]&gt;=12),1,0)</f>
        <v>1</v>
      </c>
      <c r="AT57" s="8">
        <f>Table1[[#This Row],[ClassLength]]/Table1[[#This Row],[Calories]]</f>
        <v>0.10321739130332462</v>
      </c>
      <c r="AU5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57" s="10">
        <f>COUNTIF(Table1[Trainer],Table1[[#This Row],[Trainer]])</f>
        <v>1</v>
      </c>
      <c r="AW57" s="10" t="str">
        <f>UPPER(LEFT(TEXT(Table1[Date],"mmmm"),3))&amp;" "&amp;TEXT(Table1[Date],"yyyy")</f>
        <v>SEP 2019</v>
      </c>
      <c r="AX57" s="10">
        <f>VLOOKUP(Table1[[#This Row],[Location]],'Tab for Charts'!$A$93:$B$103,2,FALSE)</f>
        <v>38.916486999999996</v>
      </c>
      <c r="AY57" s="10">
        <f>VLOOKUP(Table1[[#This Row],[Location]],'Tab for Charts'!$A$93:$C$103,3,FALSE)</f>
        <v>-77.031514000000001</v>
      </c>
    </row>
    <row r="58" spans="1:51">
      <c r="A58">
        <f t="shared" si="17"/>
        <v>57</v>
      </c>
      <c r="B58">
        <f t="shared" si="20"/>
        <v>17</v>
      </c>
      <c r="C58" s="1">
        <v>43735</v>
      </c>
      <c r="D58" s="8">
        <f>SUM(I58:M58)</f>
        <v>59.466666666666669</v>
      </c>
      <c r="E58">
        <v>15.0000000058</v>
      </c>
      <c r="F58">
        <v>557.00000000579996</v>
      </c>
      <c r="G58">
        <v>116</v>
      </c>
      <c r="H58">
        <v>167</v>
      </c>
      <c r="I58">
        <f>22+27/60</f>
        <v>22.45</v>
      </c>
      <c r="J58">
        <f>12+26/60</f>
        <v>12.433333333333334</v>
      </c>
      <c r="K58">
        <f>9+33/60</f>
        <v>9.5500000000000007</v>
      </c>
      <c r="L58">
        <f>11+48/60</f>
        <v>11.8</v>
      </c>
      <c r="M58">
        <f>3+14/60</f>
        <v>3.2333333333333334</v>
      </c>
      <c r="N58" t="s">
        <v>49</v>
      </c>
      <c r="O58" t="s">
        <v>20</v>
      </c>
      <c r="P58" t="s">
        <v>50</v>
      </c>
      <c r="Q58" s="34">
        <f t="shared" si="29"/>
        <v>1</v>
      </c>
      <c r="R58" t="str">
        <f t="shared" si="21"/>
        <v>Correct</v>
      </c>
      <c r="S58" t="str">
        <f t="shared" si="22"/>
        <v>9-2019</v>
      </c>
      <c r="T58" t="str">
        <f t="shared" si="23"/>
        <v>Friday</v>
      </c>
      <c r="U58">
        <f t="shared" si="10"/>
        <v>1</v>
      </c>
      <c r="V58" s="8">
        <f>IFERROR(Table1[[#This Row],[ClassLength]]/Table1[[#This Row],[Splat]],0)</f>
        <v>3.964444442911526</v>
      </c>
      <c r="W58">
        <f t="shared" si="24"/>
        <v>1</v>
      </c>
      <c r="X58">
        <f t="shared" si="25"/>
        <v>0</v>
      </c>
      <c r="Y58">
        <f t="shared" si="26"/>
        <v>0</v>
      </c>
      <c r="Z58" s="5">
        <f t="shared" si="11"/>
        <v>0.37752242152466364</v>
      </c>
      <c r="AA58" s="5">
        <f t="shared" si="12"/>
        <v>0.20908071748878923</v>
      </c>
      <c r="AB58" s="5">
        <f t="shared" si="13"/>
        <v>0.16059417040358745</v>
      </c>
      <c r="AC58" s="5">
        <f t="shared" si="14"/>
        <v>0.19843049327354262</v>
      </c>
      <c r="AD58" s="5">
        <f t="shared" si="15"/>
        <v>5.4372197309417038E-2</v>
      </c>
      <c r="AE58" s="7">
        <f>232.14+SUMIFS(Table1[ExtraExpenses],Table1[Mon_Yr],Table1[[#This Row],[Mon_Yr]])</f>
        <v>232.14</v>
      </c>
      <c r="AF58" s="7">
        <f t="shared" si="30"/>
        <v>13.655294117647058</v>
      </c>
      <c r="AG58" s="8">
        <f t="shared" si="27"/>
        <v>592.88235294637661</v>
      </c>
      <c r="AH58" s="8">
        <f t="shared" si="28"/>
        <v>13.647058828079533</v>
      </c>
      <c r="AI58">
        <f>YEAR(Table1[[#This Row],[Date]])</f>
        <v>2019</v>
      </c>
      <c r="AK58">
        <v>12</v>
      </c>
      <c r="AL58" s="8">
        <f>Table1[[#This Row],[Calories]]/Table1[[#This Row],[ClassLength]]</f>
        <v>9.3665919283486545</v>
      </c>
      <c r="AM58" t="str">
        <f>RIGHT(Table1[[#This Row],[Time]],2)</f>
        <v>PM</v>
      </c>
      <c r="AN58" t="str">
        <f>Table1[[#This Row],[Mon_Yr]]&amp;"-"&amp;WEEKNUM(Table1[[#This Row],[Date]],1)-WEEKNUM(DATE(YEAR(Table1[[#This Row],[Date]]),MONTH(Table1[[#This Row],[Date]]),1),1)+1</f>
        <v>9-2019-4</v>
      </c>
      <c r="AO58">
        <f>MONTH(Table1[[#This Row],[Date]])</f>
        <v>9</v>
      </c>
      <c r="AP58" s="8">
        <f>IFERROR(Table1[[#This Row],[Calories]]/Table1[[#This Row],[Splat]],0)</f>
        <v>37.133333319361775</v>
      </c>
      <c r="AQ58" s="10">
        <f>COUNTIF(Table1[Location],Table1[[#This Row],[Location]])</f>
        <v>10</v>
      </c>
      <c r="AR58" s="10">
        <f>IF(AND(Table1[[#This Row],[Calories]]&gt;=600,Table1[[#This Row],[Splat]]&gt;=12),1,0)</f>
        <v>0</v>
      </c>
      <c r="AS58" s="10">
        <f>IF(AND(Table1[[#This Row],[Calories]]&gt;=500,Table1[[#This Row],[Splat]]&gt;=12),1,0)</f>
        <v>1</v>
      </c>
      <c r="AT58" s="8">
        <f>Table1[[#This Row],[ClassLength]]/Table1[[#This Row],[Calories]]</f>
        <v>0.10676241771283204</v>
      </c>
      <c r="AU5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58" s="10">
        <f>COUNTIF(Table1[Trainer],Table1[[#This Row],[Trainer]])</f>
        <v>9</v>
      </c>
      <c r="AW58" s="10" t="str">
        <f>UPPER(LEFT(TEXT(Table1[Date],"mmmm"),3))&amp;" "&amp;TEXT(Table1[Date],"yyyy")</f>
        <v>SEP 2019</v>
      </c>
      <c r="AX58" s="10">
        <f>VLOOKUP(Table1[[#This Row],[Location]],'Tab for Charts'!$A$93:$B$103,2,FALSE)</f>
        <v>38.879828000000003</v>
      </c>
      <c r="AY58" s="10">
        <f>VLOOKUP(Table1[[#This Row],[Location]],'Tab for Charts'!$A$93:$C$103,3,FALSE)</f>
        <v>-77.005566000000002</v>
      </c>
    </row>
    <row r="59" spans="1:51">
      <c r="A59">
        <f t="shared" si="17"/>
        <v>58</v>
      </c>
      <c r="B59">
        <f t="shared" si="20"/>
        <v>17</v>
      </c>
      <c r="C59" s="1">
        <v>43737</v>
      </c>
      <c r="D59" s="8">
        <f>SUM(I59:M59)</f>
        <v>53.550000000000004</v>
      </c>
      <c r="E59">
        <f>7+ROW()/1000000000000000</f>
        <v>7.0000000000000586</v>
      </c>
      <c r="F59">
        <v>583.00000000590001</v>
      </c>
      <c r="G59">
        <v>127</v>
      </c>
      <c r="H59">
        <v>164</v>
      </c>
      <c r="I59">
        <f>8+1/60</f>
        <v>8.0166666666666675</v>
      </c>
      <c r="J59">
        <f>14+44/60</f>
        <v>14.733333333333333</v>
      </c>
      <c r="K59">
        <f>24+29/60</f>
        <v>24.483333333333334</v>
      </c>
      <c r="L59">
        <f>5+42/60</f>
        <v>5.7</v>
      </c>
      <c r="M59">
        <f>0+37/60</f>
        <v>0.6166666666666667</v>
      </c>
      <c r="N59" t="s">
        <v>15</v>
      </c>
      <c r="O59" t="s">
        <v>24</v>
      </c>
      <c r="P59" t="s">
        <v>17</v>
      </c>
      <c r="Q59" s="34">
        <f t="shared" si="29"/>
        <v>2</v>
      </c>
      <c r="R59" t="str">
        <f t="shared" si="21"/>
        <v>Gain</v>
      </c>
      <c r="S59" t="str">
        <f t="shared" si="22"/>
        <v>9-2019</v>
      </c>
      <c r="T59" t="str">
        <f t="shared" si="23"/>
        <v>Sunday</v>
      </c>
      <c r="U59">
        <f t="shared" si="10"/>
        <v>0</v>
      </c>
      <c r="V59" s="8">
        <f>IFERROR(Table1[[#This Row],[ClassLength]]/Table1[[#This Row],[Splat]],0)</f>
        <v>7.6499999999999364</v>
      </c>
      <c r="W59">
        <f t="shared" si="24"/>
        <v>0</v>
      </c>
      <c r="X59">
        <f t="shared" si="25"/>
        <v>1</v>
      </c>
      <c r="Y59">
        <f t="shared" si="26"/>
        <v>0</v>
      </c>
      <c r="Z59" s="5">
        <f t="shared" si="11"/>
        <v>0.14970432617491441</v>
      </c>
      <c r="AA59" s="5">
        <f t="shared" si="12"/>
        <v>0.27513227513227512</v>
      </c>
      <c r="AB59" s="5">
        <f t="shared" si="13"/>
        <v>0.4572051042639278</v>
      </c>
      <c r="AC59" s="5">
        <f t="shared" si="14"/>
        <v>0.10644257703081232</v>
      </c>
      <c r="AD59" s="5">
        <f t="shared" si="15"/>
        <v>1.1515717398070339E-2</v>
      </c>
      <c r="AE59" s="7">
        <f>232.14+SUMIFS(Table1[ExtraExpenses],Table1[Mon_Yr],Table1[[#This Row],[Mon_Yr]])</f>
        <v>232.14</v>
      </c>
      <c r="AF59" s="7">
        <f t="shared" si="30"/>
        <v>13.655294117647058</v>
      </c>
      <c r="AG59" s="8">
        <f t="shared" si="27"/>
        <v>592.88235294637661</v>
      </c>
      <c r="AH59" s="8">
        <f t="shared" si="28"/>
        <v>13.647058828079533</v>
      </c>
      <c r="AI59">
        <f>YEAR(Table1[[#This Row],[Date]])</f>
        <v>2019</v>
      </c>
      <c r="AK59">
        <v>12</v>
      </c>
      <c r="AL59" s="8">
        <f>Table1[[#This Row],[Calories]]/Table1[[#This Row],[ClassLength]]</f>
        <v>10.887021475366947</v>
      </c>
      <c r="AM59" t="str">
        <f>RIGHT(Table1[[#This Row],[Time]],2)</f>
        <v>AM</v>
      </c>
      <c r="AN59" t="str">
        <f>Table1[[#This Row],[Mon_Yr]]&amp;"-"&amp;WEEKNUM(Table1[[#This Row],[Date]],1)-WEEKNUM(DATE(YEAR(Table1[[#This Row],[Date]]),MONTH(Table1[[#This Row],[Date]]),1),1)+1</f>
        <v>9-2019-5</v>
      </c>
      <c r="AO59">
        <f>MONTH(Table1[[#This Row],[Date]])</f>
        <v>9</v>
      </c>
      <c r="AP59" s="8">
        <f>IFERROR(Table1[[#This Row],[Calories]]/Table1[[#This Row],[Splat]],0)</f>
        <v>83.285714286556441</v>
      </c>
      <c r="AQ59" s="10">
        <f>COUNTIF(Table1[Location],Table1[[#This Row],[Location]])</f>
        <v>48</v>
      </c>
      <c r="AR59" s="10">
        <f>IF(AND(Table1[[#This Row],[Calories]]&gt;=600,Table1[[#This Row],[Splat]]&gt;=12),1,0)</f>
        <v>0</v>
      </c>
      <c r="AS59" s="10">
        <f>IF(AND(Table1[[#This Row],[Calories]]&gt;=500,Table1[[#This Row],[Splat]]&gt;=12),1,0)</f>
        <v>0</v>
      </c>
      <c r="AT59" s="8">
        <f>Table1[[#This Row],[ClassLength]]/Table1[[#This Row],[Calories]]</f>
        <v>9.1852487134576458E-2</v>
      </c>
      <c r="AU5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59" s="10">
        <f>COUNTIF(Table1[Trainer],Table1[[#This Row],[Trainer]])</f>
        <v>29</v>
      </c>
      <c r="AW59" s="10" t="str">
        <f>UPPER(LEFT(TEXT(Table1[Date],"mmmm"),3))&amp;" "&amp;TEXT(Table1[Date],"yyyy")</f>
        <v>SEP 2019</v>
      </c>
      <c r="AX59" s="10">
        <f>VLOOKUP(Table1[[#This Row],[Location]],'Tab for Charts'!$A$93:$B$103,2,FALSE)</f>
        <v>38.916486999999996</v>
      </c>
      <c r="AY59" s="10">
        <f>VLOOKUP(Table1[[#This Row],[Location]],'Tab for Charts'!$A$93:$C$103,3,FALSE)</f>
        <v>-77.031514000000001</v>
      </c>
    </row>
    <row r="60" spans="1:51">
      <c r="A60">
        <f t="shared" si="17"/>
        <v>59</v>
      </c>
      <c r="B60">
        <f t="shared" si="20"/>
        <v>17</v>
      </c>
      <c r="C60" s="1">
        <v>43738</v>
      </c>
      <c r="D60" s="8">
        <f>58+17/60</f>
        <v>58.283333333333331</v>
      </c>
      <c r="E60">
        <v>15.000000006</v>
      </c>
      <c r="F60">
        <v>587.00000000600005</v>
      </c>
      <c r="G60">
        <v>121</v>
      </c>
      <c r="H60">
        <v>167</v>
      </c>
      <c r="I60">
        <v>19</v>
      </c>
      <c r="J60">
        <f>13+11/60</f>
        <v>13.183333333333334</v>
      </c>
      <c r="K60">
        <f>11+20/60</f>
        <v>11.333333333333334</v>
      </c>
      <c r="L60">
        <f>10+37/60</f>
        <v>10.616666666666667</v>
      </c>
      <c r="M60">
        <f>4+9/60</f>
        <v>4.1500000000000004</v>
      </c>
      <c r="N60" t="s">
        <v>21</v>
      </c>
      <c r="O60" t="s">
        <v>7</v>
      </c>
      <c r="P60" t="s">
        <v>103</v>
      </c>
      <c r="Q60" s="34">
        <f t="shared" si="29"/>
        <v>1</v>
      </c>
      <c r="R60" t="str">
        <f t="shared" si="21"/>
        <v>Correct</v>
      </c>
      <c r="S60" t="str">
        <f t="shared" si="22"/>
        <v>9-2019</v>
      </c>
      <c r="T60" t="str">
        <f t="shared" si="23"/>
        <v>Monday</v>
      </c>
      <c r="U60">
        <f t="shared" si="10"/>
        <v>1</v>
      </c>
      <c r="V60" s="8">
        <f>IFERROR(Table1[[#This Row],[ClassLength]]/Table1[[#This Row],[Splat]],0)</f>
        <v>3.8855555540013329</v>
      </c>
      <c r="W60">
        <f t="shared" si="24"/>
        <v>1</v>
      </c>
      <c r="X60">
        <f t="shared" si="25"/>
        <v>0</v>
      </c>
      <c r="Y60">
        <f t="shared" si="26"/>
        <v>0</v>
      </c>
      <c r="Z60" s="5">
        <f t="shared" si="11"/>
        <v>0.32599370889333718</v>
      </c>
      <c r="AA60" s="5">
        <f t="shared" si="12"/>
        <v>0.22619388046897343</v>
      </c>
      <c r="AB60" s="5">
        <f t="shared" si="13"/>
        <v>0.19445238776093796</v>
      </c>
      <c r="AC60" s="5">
        <f t="shared" si="14"/>
        <v>0.18215613382899629</v>
      </c>
      <c r="AD60" s="5">
        <f t="shared" si="15"/>
        <v>7.1203889047755223E-2</v>
      </c>
      <c r="AE60" s="7">
        <f>232.14+SUMIFS(Table1[ExtraExpenses],Table1[Mon_Yr],Table1[[#This Row],[Mon_Yr]])</f>
        <v>232.14</v>
      </c>
      <c r="AF60" s="7">
        <f t="shared" si="30"/>
        <v>13.655294117647058</v>
      </c>
      <c r="AG60" s="8">
        <f t="shared" si="27"/>
        <v>592.88235294637661</v>
      </c>
      <c r="AH60" s="8">
        <f t="shared" si="28"/>
        <v>13.647058828079533</v>
      </c>
      <c r="AI60">
        <f>YEAR(Table1[[#This Row],[Date]])</f>
        <v>2019</v>
      </c>
      <c r="AK60">
        <v>12</v>
      </c>
      <c r="AL60" s="8">
        <f>Table1[[#This Row],[Calories]]/Table1[[#This Row],[ClassLength]]</f>
        <v>10.071489848544468</v>
      </c>
      <c r="AM60" t="str">
        <f>RIGHT(Table1[[#This Row],[Time]],2)</f>
        <v>PM</v>
      </c>
      <c r="AN60" t="str">
        <f>Table1[[#This Row],[Mon_Yr]]&amp;"-"&amp;WEEKNUM(Table1[[#This Row],[Date]],1)-WEEKNUM(DATE(YEAR(Table1[[#This Row],[Date]]),MONTH(Table1[[#This Row],[Date]]),1),1)+1</f>
        <v>9-2019-5</v>
      </c>
      <c r="AO60">
        <f>MONTH(Table1[[#This Row],[Date]])</f>
        <v>9</v>
      </c>
      <c r="AP60" s="8">
        <f>IFERROR(Table1[[#This Row],[Calories]]/Table1[[#This Row],[Splat]],0)</f>
        <v>39.133333318080005</v>
      </c>
      <c r="AQ60" s="10">
        <f>COUNTIF(Table1[Location],Table1[[#This Row],[Location]])</f>
        <v>37</v>
      </c>
      <c r="AR60" s="10">
        <f>IF(AND(Table1[[#This Row],[Calories]]&gt;=600,Table1[[#This Row],[Splat]]&gt;=12),1,0)</f>
        <v>0</v>
      </c>
      <c r="AS60" s="10">
        <f>IF(AND(Table1[[#This Row],[Calories]]&gt;=500,Table1[[#This Row],[Splat]]&gt;=12),1,0)</f>
        <v>1</v>
      </c>
      <c r="AT60" s="8">
        <f>Table1[[#This Row],[ClassLength]]/Table1[[#This Row],[Calories]]</f>
        <v>9.9290176035328082E-2</v>
      </c>
      <c r="AU6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60" s="10">
        <f>COUNTIF(Table1[Trainer],Table1[[#This Row],[Trainer]])</f>
        <v>8</v>
      </c>
      <c r="AW60" s="10" t="str">
        <f>UPPER(LEFT(TEXT(Table1[Date],"mmmm"),3))&amp;" "&amp;TEXT(Table1[Date],"yyyy")</f>
        <v>SEP 2019</v>
      </c>
      <c r="AX60" s="10">
        <f>VLOOKUP(Table1[[#This Row],[Location]],'Tab for Charts'!$A$93:$B$103,2,FALSE)</f>
        <v>38.903509999999997</v>
      </c>
      <c r="AY60" s="10">
        <f>VLOOKUP(Table1[[#This Row],[Location]],'Tab for Charts'!$A$93:$C$103,3,FALSE)</f>
        <v>-77.051809000000006</v>
      </c>
    </row>
    <row r="61" spans="1:51">
      <c r="A61">
        <f t="shared" si="17"/>
        <v>60</v>
      </c>
      <c r="B61">
        <f t="shared" si="20"/>
        <v>17</v>
      </c>
      <c r="C61" s="1">
        <v>43741</v>
      </c>
      <c r="D61" s="8">
        <f>60</f>
        <v>60</v>
      </c>
      <c r="E61">
        <v>17.000000006099999</v>
      </c>
      <c r="F61">
        <v>655.00000000609998</v>
      </c>
      <c r="G61">
        <v>127</v>
      </c>
      <c r="H61">
        <v>167</v>
      </c>
      <c r="I61">
        <f>15+33/60</f>
        <v>15.55</v>
      </c>
      <c r="J61">
        <f>11+45/60</f>
        <v>11.75</v>
      </c>
      <c r="K61">
        <f>15+34/60</f>
        <v>15.566666666666666</v>
      </c>
      <c r="L61">
        <f>14+41/60</f>
        <v>14.683333333333334</v>
      </c>
      <c r="M61">
        <f>2+27/60</f>
        <v>2.4500000000000002</v>
      </c>
      <c r="N61" t="s">
        <v>6</v>
      </c>
      <c r="O61" t="s">
        <v>7</v>
      </c>
      <c r="P61" t="s">
        <v>105</v>
      </c>
      <c r="Q61" s="34">
        <f t="shared" si="29"/>
        <v>3</v>
      </c>
      <c r="R61" t="str">
        <f t="shared" si="21"/>
        <v>Correct</v>
      </c>
      <c r="S61" t="str">
        <f t="shared" si="22"/>
        <v>10-2019</v>
      </c>
      <c r="T61" t="str">
        <f t="shared" si="23"/>
        <v>Thursday</v>
      </c>
      <c r="U61">
        <f t="shared" si="10"/>
        <v>1</v>
      </c>
      <c r="V61" s="8">
        <f>IFERROR(Table1[[#This Row],[ClassLength]]/Table1[[#This Row],[Splat]],0)</f>
        <v>3.5294117634394468</v>
      </c>
      <c r="W61">
        <f t="shared" si="24"/>
        <v>1</v>
      </c>
      <c r="X61">
        <f t="shared" si="25"/>
        <v>0</v>
      </c>
      <c r="Y61">
        <f t="shared" si="26"/>
        <v>0</v>
      </c>
      <c r="Z61" s="5">
        <f t="shared" si="11"/>
        <v>0.25916666666666666</v>
      </c>
      <c r="AA61" s="5">
        <f t="shared" si="12"/>
        <v>0.19583333333333333</v>
      </c>
      <c r="AB61" s="5">
        <f t="shared" si="13"/>
        <v>0.25944444444444442</v>
      </c>
      <c r="AC61" s="5">
        <f t="shared" si="14"/>
        <v>0.24472222222222223</v>
      </c>
      <c r="AD61" s="5">
        <f t="shared" si="15"/>
        <v>4.083333333333334E-2</v>
      </c>
      <c r="AE61" s="7">
        <f>232.14+SUMIFS(Table1[ExtraExpenses],Table1[Mon_Yr],Table1[[#This Row],[Mon_Yr]])</f>
        <v>327.14</v>
      </c>
      <c r="AF61" s="7">
        <f t="shared" si="30"/>
        <v>19.243529411764705</v>
      </c>
      <c r="AG61" s="8">
        <f t="shared" si="27"/>
        <v>585.94117647621601</v>
      </c>
      <c r="AH61" s="8">
        <f t="shared" si="28"/>
        <v>13.823529417395918</v>
      </c>
      <c r="AI61">
        <f>YEAR(Table1[[#This Row],[Date]])</f>
        <v>2019</v>
      </c>
      <c r="AK61">
        <v>12</v>
      </c>
      <c r="AL61" s="8">
        <f>Table1[[#This Row],[Calories]]/Table1[[#This Row],[ClassLength]]</f>
        <v>10.916666666768332</v>
      </c>
      <c r="AM61" t="str">
        <f>RIGHT(Table1[[#This Row],[Time]],2)</f>
        <v>PM</v>
      </c>
      <c r="AN61" t="str">
        <f>Table1[[#This Row],[Mon_Yr]]&amp;"-"&amp;WEEKNUM(Table1[[#This Row],[Date]],1)-WEEKNUM(DATE(YEAR(Table1[[#This Row],[Date]]),MONTH(Table1[[#This Row],[Date]]),1),1)+1</f>
        <v>10-2019-1</v>
      </c>
      <c r="AO61">
        <f>MONTH(Table1[[#This Row],[Date]])</f>
        <v>10</v>
      </c>
      <c r="AP61" s="8">
        <f>IFERROR(Table1[[#This Row],[Calories]]/Table1[[#This Row],[Splat]],0)</f>
        <v>38.529411751239451</v>
      </c>
      <c r="AQ61" s="10">
        <f>COUNTIF(Table1[Location],Table1[[#This Row],[Location]])</f>
        <v>35</v>
      </c>
      <c r="AR61" s="10">
        <f>IF(AND(Table1[[#This Row],[Calories]]&gt;=600,Table1[[#This Row],[Splat]]&gt;=12),1,0)</f>
        <v>1</v>
      </c>
      <c r="AS61" s="10">
        <f>IF(AND(Table1[[#This Row],[Calories]]&gt;=500,Table1[[#This Row],[Splat]]&gt;=12),1,0)</f>
        <v>1</v>
      </c>
      <c r="AT61" s="8">
        <f>Table1[[#This Row],[ClassLength]]/Table1[[#This Row],[Calories]]</f>
        <v>9.1603053434261408E-2</v>
      </c>
      <c r="AU6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61" s="10">
        <f>COUNTIF(Table1[Trainer],Table1[[#This Row],[Trainer]])</f>
        <v>1</v>
      </c>
      <c r="AW61" s="10" t="str">
        <f>UPPER(LEFT(TEXT(Table1[Date],"mmmm"),3))&amp;" "&amp;TEXT(Table1[Date],"yyyy")</f>
        <v>OCT 2019</v>
      </c>
      <c r="AX61" s="10">
        <f>VLOOKUP(Table1[[#This Row],[Location]],'Tab for Charts'!$A$93:$B$103,2,FALSE)</f>
        <v>38.881884999999997</v>
      </c>
      <c r="AY61" s="10">
        <f>VLOOKUP(Table1[[#This Row],[Location]],'Tab for Charts'!$A$93:$C$103,3,FALSE)</f>
        <v>-77.229702000000003</v>
      </c>
    </row>
    <row r="62" spans="1:51">
      <c r="A62">
        <f t="shared" si="17"/>
        <v>61</v>
      </c>
      <c r="B62">
        <f t="shared" si="20"/>
        <v>17</v>
      </c>
      <c r="C62" s="1">
        <v>43742</v>
      </c>
      <c r="D62" s="8">
        <f>58+45/60</f>
        <v>58.75</v>
      </c>
      <c r="E62">
        <v>18.000000006200001</v>
      </c>
      <c r="F62">
        <v>545.00000000620003</v>
      </c>
      <c r="G62">
        <v>116</v>
      </c>
      <c r="H62">
        <v>171</v>
      </c>
      <c r="I62">
        <f>28+4/60</f>
        <v>28.066666666666666</v>
      </c>
      <c r="J62">
        <f>5+37/60</f>
        <v>5.6166666666666671</v>
      </c>
      <c r="K62">
        <f>7+2/60</f>
        <v>7.0333333333333332</v>
      </c>
      <c r="L62">
        <f>14+53/60</f>
        <v>14.883333333333333</v>
      </c>
      <c r="M62">
        <f>3+9/60</f>
        <v>3.15</v>
      </c>
      <c r="N62" t="s">
        <v>49</v>
      </c>
      <c r="O62" t="s">
        <v>20</v>
      </c>
      <c r="P62" t="s">
        <v>108</v>
      </c>
      <c r="Q62" s="34">
        <f t="shared" si="29"/>
        <v>1</v>
      </c>
      <c r="R62" t="str">
        <f t="shared" si="21"/>
        <v>Correct</v>
      </c>
      <c r="S62" t="str">
        <f t="shared" si="22"/>
        <v>10-2019</v>
      </c>
      <c r="T62" t="str">
        <f t="shared" si="23"/>
        <v>Friday</v>
      </c>
      <c r="U62">
        <f t="shared" si="10"/>
        <v>1</v>
      </c>
      <c r="V62" s="8">
        <f>IFERROR(Table1[[#This Row],[ClassLength]]/Table1[[#This Row],[Splat]],0)</f>
        <v>3.2638888877646606</v>
      </c>
      <c r="W62">
        <f t="shared" si="24"/>
        <v>1</v>
      </c>
      <c r="X62">
        <f t="shared" si="25"/>
        <v>0</v>
      </c>
      <c r="Y62">
        <f t="shared" si="26"/>
        <v>0</v>
      </c>
      <c r="Z62" s="5">
        <f t="shared" si="11"/>
        <v>0.4777304964539007</v>
      </c>
      <c r="AA62" s="5">
        <f t="shared" si="12"/>
        <v>9.5602836879432634E-2</v>
      </c>
      <c r="AB62" s="5">
        <f t="shared" si="13"/>
        <v>0.11971631205673759</v>
      </c>
      <c r="AC62" s="5">
        <f t="shared" si="14"/>
        <v>0.2533333333333333</v>
      </c>
      <c r="AD62" s="5">
        <f t="shared" si="15"/>
        <v>5.361702127659574E-2</v>
      </c>
      <c r="AE62" s="7">
        <f>232.14+SUMIFS(Table1[ExtraExpenses],Table1[Mon_Yr],Table1[[#This Row],[Mon_Yr]])</f>
        <v>327.14</v>
      </c>
      <c r="AF62" s="7">
        <f t="shared" si="30"/>
        <v>19.243529411764705</v>
      </c>
      <c r="AG62" s="8">
        <f t="shared" si="27"/>
        <v>585.94117647621601</v>
      </c>
      <c r="AH62" s="8">
        <f t="shared" si="28"/>
        <v>13.823529417395918</v>
      </c>
      <c r="AI62">
        <f>YEAR(Table1[[#This Row],[Date]])</f>
        <v>2019</v>
      </c>
      <c r="AK62">
        <v>12</v>
      </c>
      <c r="AL62" s="8">
        <f>Table1[[#This Row],[Calories]]/Table1[[#This Row],[ClassLength]]</f>
        <v>9.276595744786384</v>
      </c>
      <c r="AM62" t="str">
        <f>RIGHT(Table1[[#This Row],[Time]],2)</f>
        <v>PM</v>
      </c>
      <c r="AN62" t="str">
        <f>Table1[[#This Row],[Mon_Yr]]&amp;"-"&amp;WEEKNUM(Table1[[#This Row],[Date]],1)-WEEKNUM(DATE(YEAR(Table1[[#This Row],[Date]]),MONTH(Table1[[#This Row],[Date]]),1),1)+1</f>
        <v>10-2019-1</v>
      </c>
      <c r="AO62">
        <f>MONTH(Table1[[#This Row],[Date]])</f>
        <v>10</v>
      </c>
      <c r="AP62" s="8">
        <f>IFERROR(Table1[[#This Row],[Calories]]/Table1[[#This Row],[Splat]],0)</f>
        <v>30.277777767693209</v>
      </c>
      <c r="AQ62" s="10">
        <f>COUNTIF(Table1[Location],Table1[[#This Row],[Location]])</f>
        <v>10</v>
      </c>
      <c r="AR62" s="10">
        <f>IF(AND(Table1[[#This Row],[Calories]]&gt;=600,Table1[[#This Row],[Splat]]&gt;=12),1,0)</f>
        <v>0</v>
      </c>
      <c r="AS62" s="10">
        <f>IF(AND(Table1[[#This Row],[Calories]]&gt;=500,Table1[[#This Row],[Splat]]&gt;=12),1,0)</f>
        <v>1</v>
      </c>
      <c r="AT62" s="8">
        <f>Table1[[#This Row],[ClassLength]]/Table1[[#This Row],[Calories]]</f>
        <v>0.10779816513638835</v>
      </c>
      <c r="AU6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62" s="10">
        <f>COUNTIF(Table1[Trainer],Table1[[#This Row],[Trainer]])</f>
        <v>1</v>
      </c>
      <c r="AW62" s="10" t="str">
        <f>UPPER(LEFT(TEXT(Table1[Date],"mmmm"),3))&amp;" "&amp;TEXT(Table1[Date],"yyyy")</f>
        <v>OCT 2019</v>
      </c>
      <c r="AX62" s="10">
        <f>VLOOKUP(Table1[[#This Row],[Location]],'Tab for Charts'!$A$93:$B$103,2,FALSE)</f>
        <v>38.879828000000003</v>
      </c>
      <c r="AY62" s="10">
        <f>VLOOKUP(Table1[[#This Row],[Location]],'Tab for Charts'!$A$93:$C$103,3,FALSE)</f>
        <v>-77.005566000000002</v>
      </c>
    </row>
    <row r="63" spans="1:51">
      <c r="A63">
        <f t="shared" si="17"/>
        <v>62</v>
      </c>
      <c r="B63">
        <f t="shared" si="20"/>
        <v>17</v>
      </c>
      <c r="C63" s="1">
        <v>43744</v>
      </c>
      <c r="D63" s="8">
        <f>52+53/60</f>
        <v>52.883333333333333</v>
      </c>
      <c r="E63">
        <v>15.000000006300001</v>
      </c>
      <c r="F63">
        <v>598.00000000629996</v>
      </c>
      <c r="G63">
        <v>129</v>
      </c>
      <c r="H63">
        <v>166</v>
      </c>
      <c r="I63">
        <f>12+39/60</f>
        <v>12.65</v>
      </c>
      <c r="J63">
        <f>9+13/60</f>
        <v>9.2166666666666668</v>
      </c>
      <c r="K63">
        <f>16+6/60</f>
        <v>16.100000000000001</v>
      </c>
      <c r="L63">
        <f>13+23/60</f>
        <v>13.383333333333333</v>
      </c>
      <c r="M63">
        <f>1+32/60</f>
        <v>1.5333333333333332</v>
      </c>
      <c r="N63" t="s">
        <v>15</v>
      </c>
      <c r="O63" t="s">
        <v>24</v>
      </c>
      <c r="P63" t="s">
        <v>17</v>
      </c>
      <c r="Q63" s="34">
        <f t="shared" si="29"/>
        <v>2</v>
      </c>
      <c r="R63" t="str">
        <f t="shared" si="21"/>
        <v>Correct</v>
      </c>
      <c r="S63" t="str">
        <f t="shared" si="22"/>
        <v>10-2019</v>
      </c>
      <c r="T63" t="str">
        <f t="shared" si="23"/>
        <v>Sunday</v>
      </c>
      <c r="U63">
        <f t="shared" si="10"/>
        <v>1</v>
      </c>
      <c r="V63" s="8">
        <f>IFERROR(Table1[[#This Row],[ClassLength]]/Table1[[#This Row],[Splat]],0)</f>
        <v>3.5255555540748222</v>
      </c>
      <c r="W63">
        <f t="shared" si="24"/>
        <v>1</v>
      </c>
      <c r="X63">
        <f t="shared" si="25"/>
        <v>0</v>
      </c>
      <c r="Y63">
        <f t="shared" si="26"/>
        <v>0</v>
      </c>
      <c r="Z63" s="5">
        <f t="shared" si="11"/>
        <v>0.23920579892845889</v>
      </c>
      <c r="AA63" s="5">
        <f t="shared" si="12"/>
        <v>0.17428301292152537</v>
      </c>
      <c r="AB63" s="5">
        <f t="shared" ref="AB63" si="31">IFERROR(K63/$D63,"")</f>
        <v>0.30444374409076586</v>
      </c>
      <c r="AC63" s="5">
        <f t="shared" ref="AC63" si="32">IFERROR(L63/$D63,"")</f>
        <v>0.25307280176489128</v>
      </c>
      <c r="AD63" s="5">
        <f t="shared" ref="AD63" si="33">IFERROR(M63/$D63,"")</f>
        <v>2.899464229435865E-2</v>
      </c>
      <c r="AE63" s="7">
        <f>232.14+SUMIFS(Table1[ExtraExpenses],Table1[Mon_Yr],Table1[[#This Row],[Mon_Yr]])</f>
        <v>327.14</v>
      </c>
      <c r="AF63" s="7">
        <f t="shared" si="30"/>
        <v>19.243529411764705</v>
      </c>
      <c r="AG63" s="8">
        <f t="shared" si="27"/>
        <v>585.94117647621601</v>
      </c>
      <c r="AH63" s="8">
        <f t="shared" si="28"/>
        <v>13.823529417395918</v>
      </c>
      <c r="AI63">
        <f>YEAR(Table1[[#This Row],[Date]])</f>
        <v>2019</v>
      </c>
      <c r="AK63">
        <v>12</v>
      </c>
      <c r="AL63" s="8">
        <f>Table1[[#This Row],[Calories]]/Table1[[#This Row],[ClassLength]]</f>
        <v>11.307910494919003</v>
      </c>
      <c r="AM63" t="str">
        <f>RIGHT(Table1[[#This Row],[Time]],2)</f>
        <v>AM</v>
      </c>
      <c r="AN63" t="str">
        <f>Table1[[#This Row],[Mon_Yr]]&amp;"-"&amp;WEEKNUM(Table1[[#This Row],[Date]],1)-WEEKNUM(DATE(YEAR(Table1[[#This Row],[Date]]),MONTH(Table1[[#This Row],[Date]]),1),1)+1</f>
        <v>10-2019-2</v>
      </c>
      <c r="AO63">
        <f>MONTH(Table1[[#This Row],[Date]])</f>
        <v>10</v>
      </c>
      <c r="AP63" s="8">
        <f>IFERROR(Table1[[#This Row],[Calories]]/Table1[[#This Row],[Splat]],0)</f>
        <v>39.866666650342665</v>
      </c>
      <c r="AQ63" s="10">
        <f>COUNTIF(Table1[Location],Table1[[#This Row],[Location]])</f>
        <v>48</v>
      </c>
      <c r="AR63" s="10">
        <f>IF(AND(Table1[[#This Row],[Calories]]&gt;=600,Table1[[#This Row],[Splat]]&gt;=12),1,0)</f>
        <v>0</v>
      </c>
      <c r="AS63" s="10">
        <f>IF(AND(Table1[[#This Row],[Calories]]&gt;=500,Table1[[#This Row],[Splat]]&gt;=12),1,0)</f>
        <v>1</v>
      </c>
      <c r="AT63" s="8">
        <f>Table1[[#This Row],[ClassLength]]/Table1[[#This Row],[Calories]]</f>
        <v>8.843366778056222E-2</v>
      </c>
      <c r="AU6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63" s="10">
        <f>COUNTIF(Table1[Trainer],Table1[[#This Row],[Trainer]])</f>
        <v>29</v>
      </c>
      <c r="AW63" s="10" t="str">
        <f>UPPER(LEFT(TEXT(Table1[Date],"mmmm"),3))&amp;" "&amp;TEXT(Table1[Date],"yyyy")</f>
        <v>OCT 2019</v>
      </c>
      <c r="AX63" s="10">
        <f>VLOOKUP(Table1[[#This Row],[Location]],'Tab for Charts'!$A$93:$B$103,2,FALSE)</f>
        <v>38.916486999999996</v>
      </c>
      <c r="AY63" s="10">
        <f>VLOOKUP(Table1[[#This Row],[Location]],'Tab for Charts'!$A$93:$C$103,3,FALSE)</f>
        <v>-77.031514000000001</v>
      </c>
    </row>
    <row r="64" spans="1:51">
      <c r="A64">
        <f t="shared" si="17"/>
        <v>63</v>
      </c>
      <c r="B64">
        <f t="shared" si="20"/>
        <v>17</v>
      </c>
      <c r="C64" s="1">
        <v>43746</v>
      </c>
      <c r="D64" s="8">
        <f>58+1/60</f>
        <v>58.016666666666666</v>
      </c>
      <c r="E64">
        <v>11.000000006400001</v>
      </c>
      <c r="F64">
        <v>585.0000000064</v>
      </c>
      <c r="G64">
        <v>121</v>
      </c>
      <c r="H64">
        <v>168</v>
      </c>
      <c r="I64">
        <f>23+16/60</f>
        <v>23.266666666666666</v>
      </c>
      <c r="J64">
        <f>7+46/60</f>
        <v>7.7666666666666666</v>
      </c>
      <c r="K64">
        <f>16+16/60</f>
        <v>16.266666666666666</v>
      </c>
      <c r="L64">
        <f>8+12/60</f>
        <v>8.1999999999999993</v>
      </c>
      <c r="M64">
        <f>2+31/60</f>
        <v>2.5166666666666666</v>
      </c>
      <c r="N64" t="s">
        <v>6</v>
      </c>
      <c r="O64" t="s">
        <v>45</v>
      </c>
      <c r="P64" t="s">
        <v>110</v>
      </c>
      <c r="Q64" s="34">
        <f t="shared" si="29"/>
        <v>2</v>
      </c>
      <c r="R64" t="str">
        <f t="shared" si="21"/>
        <v>Correct</v>
      </c>
      <c r="S64" t="str">
        <f t="shared" si="22"/>
        <v>10-2019</v>
      </c>
      <c r="T64" t="str">
        <f t="shared" si="23"/>
        <v>Tuesday</v>
      </c>
      <c r="U64">
        <f t="shared" si="10"/>
        <v>0</v>
      </c>
      <c r="V64" s="8">
        <f>IFERROR(Table1[[#This Row],[ClassLength]]/Table1[[#This Row],[Splat]],0)</f>
        <v>5.2742424211737742</v>
      </c>
      <c r="W64">
        <f t="shared" si="24"/>
        <v>1</v>
      </c>
      <c r="X64">
        <f t="shared" si="25"/>
        <v>0</v>
      </c>
      <c r="Y64">
        <f t="shared" si="26"/>
        <v>0</v>
      </c>
      <c r="Z64" s="5">
        <f t="shared" ref="Z64" si="34">IFERROR(I64/$D64,"")</f>
        <v>0.40103418557885662</v>
      </c>
      <c r="AA64" s="5">
        <f t="shared" ref="AA64" si="35">IFERROR(J64/$D64,"")</f>
        <v>0.13386957770755531</v>
      </c>
      <c r="AB64" s="5">
        <f t="shared" ref="AB64" si="36">IFERROR(K64/$D64,"")</f>
        <v>0.28037920137891409</v>
      </c>
      <c r="AC64" s="5">
        <f t="shared" ref="AC64" si="37">IFERROR(L64/$D64,"")</f>
        <v>0.14133869577707553</v>
      </c>
      <c r="AD64" s="5">
        <f t="shared" ref="AD64" si="38">IFERROR(M64/$D64,"")</f>
        <v>4.3378339557598393E-2</v>
      </c>
      <c r="AE64" s="7">
        <f>232.14+SUMIFS(Table1[ExtraExpenses],Table1[Mon_Yr],Table1[[#This Row],[Mon_Yr]])</f>
        <v>327.14</v>
      </c>
      <c r="AF64" s="7">
        <f t="shared" si="30"/>
        <v>19.243529411764705</v>
      </c>
      <c r="AG64" s="8">
        <f t="shared" si="27"/>
        <v>585.94117647621601</v>
      </c>
      <c r="AH64" s="8">
        <f t="shared" si="28"/>
        <v>13.823529417395918</v>
      </c>
      <c r="AI64">
        <f>YEAR(Table1[[#This Row],[Date]])</f>
        <v>2019</v>
      </c>
      <c r="AK64">
        <v>12</v>
      </c>
      <c r="AL64" s="8">
        <f>Table1[[#This Row],[Calories]]/Table1[[#This Row],[ClassLength]]</f>
        <v>10.083309393962654</v>
      </c>
      <c r="AM64" t="str">
        <f>RIGHT(Table1[[#This Row],[Time]],2)</f>
        <v>PM</v>
      </c>
      <c r="AN64" t="str">
        <f>Table1[[#This Row],[Mon_Yr]]&amp;"-"&amp;WEEKNUM(Table1[[#This Row],[Date]],1)-WEEKNUM(DATE(YEAR(Table1[[#This Row],[Date]]),MONTH(Table1[[#This Row],[Date]]),1),1)+1</f>
        <v>10-2019-2</v>
      </c>
      <c r="AO64">
        <f>MONTH(Table1[[#This Row],[Date]])</f>
        <v>10</v>
      </c>
      <c r="AP64" s="8">
        <f>IFERROR(Table1[[#This Row],[Calories]]/Table1[[#This Row],[Splat]],0)</f>
        <v>53.181818151457847</v>
      </c>
      <c r="AQ64" s="10">
        <f>COUNTIF(Table1[Location],Table1[[#This Row],[Location]])</f>
        <v>35</v>
      </c>
      <c r="AR64" s="10">
        <f>IF(AND(Table1[[#This Row],[Calories]]&gt;=600,Table1[[#This Row],[Splat]]&gt;=12),1,0)</f>
        <v>0</v>
      </c>
      <c r="AS64" s="10">
        <f>IF(AND(Table1[[#This Row],[Calories]]&gt;=500,Table1[[#This Row],[Splat]]&gt;=12),1,0)</f>
        <v>0</v>
      </c>
      <c r="AT64" s="8">
        <f>Table1[[#This Row],[ClassLength]]/Table1[[#This Row],[Calories]]</f>
        <v>9.9173789172704196E-2</v>
      </c>
      <c r="AU6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64" s="10">
        <f>COUNTIF(Table1[Trainer],Table1[[#This Row],[Trainer]])</f>
        <v>2</v>
      </c>
      <c r="AW64" s="10" t="str">
        <f>UPPER(LEFT(TEXT(Table1[Date],"mmmm"),3))&amp;" "&amp;TEXT(Table1[Date],"yyyy")</f>
        <v>OCT 2019</v>
      </c>
      <c r="AX64" s="10">
        <f>VLOOKUP(Table1[[#This Row],[Location]],'Tab for Charts'!$A$93:$B$103,2,FALSE)</f>
        <v>38.881884999999997</v>
      </c>
      <c r="AY64" s="10">
        <f>VLOOKUP(Table1[[#This Row],[Location]],'Tab for Charts'!$A$93:$C$103,3,FALSE)</f>
        <v>-77.229702000000003</v>
      </c>
    </row>
    <row r="65" spans="1:51">
      <c r="A65">
        <f t="shared" si="17"/>
        <v>64</v>
      </c>
      <c r="B65">
        <f t="shared" si="20"/>
        <v>17</v>
      </c>
      <c r="C65" s="1">
        <v>43749</v>
      </c>
      <c r="D65" s="8">
        <f>56+1/60</f>
        <v>56.016666666666666</v>
      </c>
      <c r="E65">
        <v>19.000000006499999</v>
      </c>
      <c r="F65">
        <v>572.00000000650004</v>
      </c>
      <c r="G65">
        <v>122</v>
      </c>
      <c r="H65">
        <v>173</v>
      </c>
      <c r="I65">
        <f>25+59/60</f>
        <v>25.983333333333334</v>
      </c>
      <c r="J65">
        <f>4+30/60</f>
        <v>4.5</v>
      </c>
      <c r="K65">
        <f>6+28/60</f>
        <v>6.4666666666666668</v>
      </c>
      <c r="L65">
        <f>9+55/60</f>
        <v>9.9166666666666661</v>
      </c>
      <c r="M65">
        <f>9+9/60</f>
        <v>9.15</v>
      </c>
      <c r="N65" t="s">
        <v>15</v>
      </c>
      <c r="O65" t="s">
        <v>20</v>
      </c>
      <c r="P65" t="s">
        <v>111</v>
      </c>
      <c r="Q65" s="34">
        <f t="shared" si="29"/>
        <v>3</v>
      </c>
      <c r="R65" t="str">
        <f t="shared" si="21"/>
        <v>Correct</v>
      </c>
      <c r="S65" t="str">
        <f t="shared" si="22"/>
        <v>10-2019</v>
      </c>
      <c r="T65" t="str">
        <f t="shared" si="23"/>
        <v>Friday</v>
      </c>
      <c r="U65">
        <f t="shared" si="10"/>
        <v>1</v>
      </c>
      <c r="V65" s="8">
        <f>IFERROR(Table1[[#This Row],[ClassLength]]/Table1[[#This Row],[Splat]],0)</f>
        <v>2.9482456130264776</v>
      </c>
      <c r="W65">
        <f t="shared" si="24"/>
        <v>1</v>
      </c>
      <c r="X65">
        <f t="shared" si="25"/>
        <v>0</v>
      </c>
      <c r="Y65">
        <f t="shared" si="26"/>
        <v>0</v>
      </c>
      <c r="Z65" s="5">
        <f t="shared" ref="Z65" si="39">IFERROR(I65/$D65,"")</f>
        <v>0.46385004462957458</v>
      </c>
      <c r="AA65" s="5">
        <f t="shared" ref="AA65" si="40">IFERROR(J65/$D65,"")</f>
        <v>8.0333234156501038E-2</v>
      </c>
      <c r="AB65" s="5">
        <f t="shared" ref="AB65" si="41">IFERROR(K65/$D65,"")</f>
        <v>0.11544183278786076</v>
      </c>
      <c r="AC65" s="5">
        <f t="shared" ref="AC65" si="42">IFERROR(L65/$D65,"")</f>
        <v>0.17703064564117821</v>
      </c>
      <c r="AD65" s="5">
        <f t="shared" ref="AD65" si="43">IFERROR(M65/$D65,"")</f>
        <v>0.16334424278488546</v>
      </c>
      <c r="AE65" s="7">
        <f>232.14+SUMIFS(Table1[ExtraExpenses],Table1[Mon_Yr],Table1[[#This Row],[Mon_Yr]])</f>
        <v>327.14</v>
      </c>
      <c r="AF65" s="7">
        <f t="shared" si="30"/>
        <v>19.243529411764705</v>
      </c>
      <c r="AG65" s="8">
        <f t="shared" si="27"/>
        <v>585.94117647621601</v>
      </c>
      <c r="AH65" s="8">
        <f t="shared" si="28"/>
        <v>13.823529417395918</v>
      </c>
      <c r="AI65">
        <f>YEAR(Table1[[#This Row],[Date]])</f>
        <v>2019</v>
      </c>
      <c r="AK65">
        <v>12</v>
      </c>
      <c r="AL65" s="8">
        <f>Table1[[#This Row],[Calories]]/Table1[[#This Row],[ClassLength]]</f>
        <v>10.211246652897948</v>
      </c>
      <c r="AM65" t="str">
        <f>RIGHT(Table1[[#This Row],[Time]],2)</f>
        <v>PM</v>
      </c>
      <c r="AN65" t="str">
        <f>Table1[[#This Row],[Mon_Yr]]&amp;"-"&amp;WEEKNUM(Table1[[#This Row],[Date]],1)-WEEKNUM(DATE(YEAR(Table1[[#This Row],[Date]]),MONTH(Table1[[#This Row],[Date]]),1),1)+1</f>
        <v>10-2019-2</v>
      </c>
      <c r="AO65">
        <f>MONTH(Table1[[#This Row],[Date]])</f>
        <v>10</v>
      </c>
      <c r="AP65" s="8">
        <f>IFERROR(Table1[[#This Row],[Calories]]/Table1[[#This Row],[Splat]],0)</f>
        <v>30.105263147937677</v>
      </c>
      <c r="AQ65" s="10">
        <f>COUNTIF(Table1[Location],Table1[[#This Row],[Location]])</f>
        <v>48</v>
      </c>
      <c r="AR65" s="10">
        <f>IF(AND(Table1[[#This Row],[Calories]]&gt;=600,Table1[[#This Row],[Splat]]&gt;=12),1,0)</f>
        <v>0</v>
      </c>
      <c r="AS65" s="10">
        <f>IF(AND(Table1[[#This Row],[Calories]]&gt;=500,Table1[[#This Row],[Splat]]&gt;=12),1,0)</f>
        <v>1</v>
      </c>
      <c r="AT65" s="8">
        <f>Table1[[#This Row],[ClassLength]]/Table1[[#This Row],[Calories]]</f>
        <v>9.7931235430122568E-2</v>
      </c>
      <c r="AU6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65" s="10">
        <f>COUNTIF(Table1[Trainer],Table1[[#This Row],[Trainer]])</f>
        <v>5</v>
      </c>
      <c r="AW65" s="10" t="str">
        <f>UPPER(LEFT(TEXT(Table1[Date],"mmmm"),3))&amp;" "&amp;TEXT(Table1[Date],"yyyy")</f>
        <v>OCT 2019</v>
      </c>
      <c r="AX65" s="10">
        <f>VLOOKUP(Table1[[#This Row],[Location]],'Tab for Charts'!$A$93:$B$103,2,FALSE)</f>
        <v>38.916486999999996</v>
      </c>
      <c r="AY65" s="10">
        <f>VLOOKUP(Table1[[#This Row],[Location]],'Tab for Charts'!$A$93:$C$103,3,FALSE)</f>
        <v>-77.031514000000001</v>
      </c>
    </row>
    <row r="66" spans="1:51">
      <c r="A66">
        <f t="shared" si="17"/>
        <v>65</v>
      </c>
      <c r="B66">
        <f t="shared" ref="B66:B97" si="44">COUNTIF(S:S,S66)</f>
        <v>17</v>
      </c>
      <c r="C66" s="1">
        <v>43751</v>
      </c>
      <c r="D66" s="8">
        <f>55+36/60</f>
        <v>55.6</v>
      </c>
      <c r="E66">
        <v>16.000000006600001</v>
      </c>
      <c r="F66">
        <v>647.00000000659998</v>
      </c>
      <c r="G66">
        <v>132</v>
      </c>
      <c r="H66">
        <v>168</v>
      </c>
      <c r="I66">
        <f>8+48/60</f>
        <v>8.8000000000000007</v>
      </c>
      <c r="J66">
        <f>11+53/60</f>
        <v>11.883333333333333</v>
      </c>
      <c r="K66">
        <f>18+56/60</f>
        <v>18.933333333333334</v>
      </c>
      <c r="L66">
        <f>14+53/60</f>
        <v>14.883333333333333</v>
      </c>
      <c r="M66">
        <f>1+6/60</f>
        <v>1.1000000000000001</v>
      </c>
      <c r="N66" t="s">
        <v>15</v>
      </c>
      <c r="O66" t="s">
        <v>18</v>
      </c>
      <c r="P66" t="s">
        <v>19</v>
      </c>
      <c r="Q66" s="34">
        <f t="shared" si="29"/>
        <v>2</v>
      </c>
      <c r="R66" t="str">
        <f t="shared" ref="R66:R74" si="45">IF(ROUND(E66,1)-ROUND(L66+M66,0)=0,"Correct",IF(ROUND(E66,1)-ROUND(L66+M66,0)=1,"Gain","Loss"))</f>
        <v>Correct</v>
      </c>
      <c r="S66" t="str">
        <f t="shared" ref="S66:S75" si="46">MONTH(C66)&amp;"-"&amp;YEAR(C66)</f>
        <v>10-2019</v>
      </c>
      <c r="T66" t="str">
        <f t="shared" ref="T66:T75" si="47">IF(WEEKDAY(C66)=1,"Sunday",IF(WEEKDAY(C66)=2,"Monday",IF(WEEKDAY(C66)=3,"Tuesday",IF(WEEKDAY(C66)=4,"Wednesday",IF(WEEKDAY(C66)=5,"Thursday",IF(WEEKDAY(C66)=6,"Friday","Saturday"))))))</f>
        <v>Sunday</v>
      </c>
      <c r="U66">
        <f t="shared" si="10"/>
        <v>1</v>
      </c>
      <c r="V66" s="8">
        <f>IFERROR(Table1[[#This Row],[ClassLength]]/Table1[[#This Row],[Splat]],0)</f>
        <v>3.4749999985665623</v>
      </c>
      <c r="W66">
        <f t="shared" ref="W66:W75" si="48">IF(ROUND($E66,1)-ROUND($L66+$M66,0)=0,1,0)</f>
        <v>1</v>
      </c>
      <c r="X66">
        <f t="shared" ref="X66:X75" si="49">IF(ROUND($E66,1)-ROUND($L66+$M66,0)=1,1,0)</f>
        <v>0</v>
      </c>
      <c r="Y66">
        <f t="shared" ref="Y66:Y75" si="50">IF(ROUND($E66,1)-ROUND($L66+$M66,0)=-1,1,0)</f>
        <v>0</v>
      </c>
      <c r="Z66" s="5">
        <f t="shared" ref="Z66" si="51">IFERROR(I66/$D66,"")</f>
        <v>0.15827338129496404</v>
      </c>
      <c r="AA66" s="5">
        <f t="shared" ref="AA66" si="52">IFERROR(J66/$D66,"")</f>
        <v>0.21372901678657072</v>
      </c>
      <c r="AB66" s="5">
        <f t="shared" ref="AB66" si="53">IFERROR(K66/$D66,"")</f>
        <v>0.34052757793764987</v>
      </c>
      <c r="AC66" s="5">
        <f t="shared" ref="AC66" si="54">IFERROR(L66/$D66,"")</f>
        <v>0.26768585131894485</v>
      </c>
      <c r="AD66" s="5">
        <f t="shared" ref="AD66" si="55">IFERROR(M66/$D66,"")</f>
        <v>1.9784172661870505E-2</v>
      </c>
      <c r="AE66" s="7">
        <f>232.14+SUMIFS(Table1[ExtraExpenses],Table1[Mon_Yr],Table1[[#This Row],[Mon_Yr]])</f>
        <v>327.14</v>
      </c>
      <c r="AF66" s="7">
        <f t="shared" si="30"/>
        <v>19.243529411764705</v>
      </c>
      <c r="AG66" s="8">
        <f t="shared" ref="AG66:AG97" si="56">AVERAGEIF(S:S,S66,F:F)</f>
        <v>585.94117647621601</v>
      </c>
      <c r="AH66" s="8">
        <f t="shared" ref="AH66:AH97" si="57">AVERAGEIF(S:S,S66,E:E)</f>
        <v>13.823529417395918</v>
      </c>
      <c r="AI66">
        <f>YEAR(Table1[[#This Row],[Date]])</f>
        <v>2019</v>
      </c>
      <c r="AK66">
        <v>12</v>
      </c>
      <c r="AL66" s="8">
        <f>Table1[[#This Row],[Calories]]/Table1[[#This Row],[ClassLength]]</f>
        <v>11.636690647600719</v>
      </c>
      <c r="AM66" t="str">
        <f>RIGHT(Table1[[#This Row],[Time]],2)</f>
        <v>PM</v>
      </c>
      <c r="AN66" t="str">
        <f>Table1[[#This Row],[Mon_Yr]]&amp;"-"&amp;WEEKNUM(Table1[[#This Row],[Date]],1)-WEEKNUM(DATE(YEAR(Table1[[#This Row],[Date]]),MONTH(Table1[[#This Row],[Date]]),1),1)+1</f>
        <v>10-2019-3</v>
      </c>
      <c r="AO66">
        <f>MONTH(Table1[[#This Row],[Date]])</f>
        <v>10</v>
      </c>
      <c r="AP66" s="8">
        <f>IFERROR(Table1[[#This Row],[Calories]]/Table1[[#This Row],[Splat]],0)</f>
        <v>40.437499983732032</v>
      </c>
      <c r="AQ66" s="10">
        <f>COUNTIF(Table1[Location],Table1[[#This Row],[Location]])</f>
        <v>48</v>
      </c>
      <c r="AR66" s="10">
        <f>IF(AND(Table1[[#This Row],[Calories]]&gt;=600,Table1[[#This Row],[Splat]]&gt;=12),1,0)</f>
        <v>1</v>
      </c>
      <c r="AS66" s="10">
        <f>IF(AND(Table1[[#This Row],[Calories]]&gt;=500,Table1[[#This Row],[Splat]]&gt;=12),1,0)</f>
        <v>1</v>
      </c>
      <c r="AT66" s="8">
        <f>Table1[[#This Row],[ClassLength]]/Table1[[#This Row],[Calories]]</f>
        <v>8.5935085006851361E-2</v>
      </c>
      <c r="AU6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66" s="10">
        <f>COUNTIF(Table1[Trainer],Table1[[#This Row],[Trainer]])</f>
        <v>12</v>
      </c>
      <c r="AW66" s="10" t="str">
        <f>UPPER(LEFT(TEXT(Table1[Date],"mmmm"),3))&amp;" "&amp;TEXT(Table1[Date],"yyyy")</f>
        <v>OCT 2019</v>
      </c>
      <c r="AX66" s="10">
        <f>VLOOKUP(Table1[[#This Row],[Location]],'Tab for Charts'!$A$93:$B$103,2,FALSE)</f>
        <v>38.916486999999996</v>
      </c>
      <c r="AY66" s="10">
        <f>VLOOKUP(Table1[[#This Row],[Location]],'Tab for Charts'!$A$93:$C$103,3,FALSE)</f>
        <v>-77.031514000000001</v>
      </c>
    </row>
    <row r="67" spans="1:51">
      <c r="A67">
        <f t="shared" si="17"/>
        <v>66</v>
      </c>
      <c r="B67">
        <f t="shared" si="44"/>
        <v>17</v>
      </c>
      <c r="C67" s="1">
        <v>43752</v>
      </c>
      <c r="D67" s="8">
        <f>55+28/60</f>
        <v>55.466666666666669</v>
      </c>
      <c r="E67">
        <v>12.000000006700001</v>
      </c>
      <c r="F67">
        <v>577.00000000670002</v>
      </c>
      <c r="G67">
        <v>124</v>
      </c>
      <c r="H67">
        <v>170</v>
      </c>
      <c r="I67">
        <f>17+57/60</f>
        <v>17.95</v>
      </c>
      <c r="J67">
        <f>9+48/60</f>
        <v>9.8000000000000007</v>
      </c>
      <c r="K67">
        <f>15+40/60</f>
        <v>15.666666666666666</v>
      </c>
      <c r="L67">
        <f>9+24/60</f>
        <v>9.4</v>
      </c>
      <c r="M67">
        <f>2+39/60</f>
        <v>2.65</v>
      </c>
      <c r="N67" t="s">
        <v>21</v>
      </c>
      <c r="O67" t="s">
        <v>112</v>
      </c>
      <c r="P67" t="s">
        <v>23</v>
      </c>
      <c r="Q67" s="34">
        <f t="shared" si="29"/>
        <v>1</v>
      </c>
      <c r="R67" t="str">
        <f t="shared" si="45"/>
        <v>Correct</v>
      </c>
      <c r="S67" t="str">
        <f t="shared" si="46"/>
        <v>10-2019</v>
      </c>
      <c r="T67" t="str">
        <f t="shared" si="47"/>
        <v>Monday</v>
      </c>
      <c r="U67">
        <f t="shared" ref="U67:U74" si="58">IF(E67&gt;=12,1,0)</f>
        <v>1</v>
      </c>
      <c r="V67" s="8">
        <f>IFERROR(Table1[[#This Row],[ClassLength]]/Table1[[#This Row],[Splat]],0)</f>
        <v>4.6222222196414817</v>
      </c>
      <c r="W67">
        <f t="shared" si="48"/>
        <v>1</v>
      </c>
      <c r="X67">
        <f t="shared" si="49"/>
        <v>0</v>
      </c>
      <c r="Y67">
        <f t="shared" si="50"/>
        <v>0</v>
      </c>
      <c r="Z67" s="5">
        <f t="shared" ref="Z67:AD70" si="59">IFERROR(I67/$D67,"")</f>
        <v>0.32361778846153844</v>
      </c>
      <c r="AA67" s="5">
        <f t="shared" si="59"/>
        <v>0.17668269230769232</v>
      </c>
      <c r="AB67" s="5">
        <f t="shared" si="59"/>
        <v>0.28245192307692307</v>
      </c>
      <c r="AC67" s="5">
        <f t="shared" si="59"/>
        <v>0.16947115384615385</v>
      </c>
      <c r="AD67" s="5">
        <f t="shared" si="59"/>
        <v>4.7776442307692304E-2</v>
      </c>
      <c r="AE67" s="7">
        <f>232.14+SUMIFS(Table1[ExtraExpenses],Table1[Mon_Yr],Table1[[#This Row],[Mon_Yr]])</f>
        <v>327.14</v>
      </c>
      <c r="AF67" s="7">
        <f t="shared" si="30"/>
        <v>19.243529411764705</v>
      </c>
      <c r="AG67" s="8">
        <f t="shared" si="56"/>
        <v>585.94117647621601</v>
      </c>
      <c r="AH67" s="8">
        <f t="shared" si="57"/>
        <v>13.823529417395918</v>
      </c>
      <c r="AI67">
        <f>YEAR(Table1[[#This Row],[Date]])</f>
        <v>2019</v>
      </c>
      <c r="AK67">
        <v>12</v>
      </c>
      <c r="AL67" s="8">
        <f>Table1[[#This Row],[Calories]]/Table1[[#This Row],[ClassLength]]</f>
        <v>10.402644230890024</v>
      </c>
      <c r="AM67" t="str">
        <f>RIGHT(Table1[[#This Row],[Time]],2)</f>
        <v>AM</v>
      </c>
      <c r="AN67" t="str">
        <f>Table1[[#This Row],[Mon_Yr]]&amp;"-"&amp;WEEKNUM(Table1[[#This Row],[Date]],1)-WEEKNUM(DATE(YEAR(Table1[[#This Row],[Date]]),MONTH(Table1[[#This Row],[Date]]),1),1)+1</f>
        <v>10-2019-3</v>
      </c>
      <c r="AO67">
        <f>MONTH(Table1[[#This Row],[Date]])</f>
        <v>10</v>
      </c>
      <c r="AP67" s="8">
        <f>IFERROR(Table1[[#This Row],[Calories]]/Table1[[#This Row],[Splat]],0)</f>
        <v>48.083333307045137</v>
      </c>
      <c r="AQ67" s="10">
        <f>COUNTIF(Table1[Location],Table1[[#This Row],[Location]])</f>
        <v>37</v>
      </c>
      <c r="AR67" s="10">
        <f>IF(AND(Table1[[#This Row],[Calories]]&gt;=600,Table1[[#This Row],[Splat]]&gt;=12),1,0)</f>
        <v>0</v>
      </c>
      <c r="AS67" s="10">
        <f>IF(AND(Table1[[#This Row],[Calories]]&gt;=500,Table1[[#This Row],[Splat]]&gt;=12),1,0)</f>
        <v>1</v>
      </c>
      <c r="AT67" s="8">
        <f>Table1[[#This Row],[ClassLength]]/Table1[[#This Row],[Calories]]</f>
        <v>9.6129404967110227E-2</v>
      </c>
      <c r="AU6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67" s="10">
        <f>COUNTIF(Table1[Trainer],Table1[[#This Row],[Trainer]])</f>
        <v>20</v>
      </c>
      <c r="AW67" s="10" t="str">
        <f>UPPER(LEFT(TEXT(Table1[Date],"mmmm"),3))&amp;" "&amp;TEXT(Table1[Date],"yyyy")</f>
        <v>OCT 2019</v>
      </c>
      <c r="AX67" s="10">
        <f>VLOOKUP(Table1[[#This Row],[Location]],'Tab for Charts'!$A$93:$B$103,2,FALSE)</f>
        <v>38.903509999999997</v>
      </c>
      <c r="AY67" s="10">
        <f>VLOOKUP(Table1[[#This Row],[Location]],'Tab for Charts'!$A$93:$C$103,3,FALSE)</f>
        <v>-77.051809000000006</v>
      </c>
    </row>
    <row r="68" spans="1:51">
      <c r="A68">
        <f t="shared" ref="A68:A93" si="60">A67+1</f>
        <v>67</v>
      </c>
      <c r="B68">
        <f t="shared" si="44"/>
        <v>17</v>
      </c>
      <c r="C68" s="1">
        <v>43754</v>
      </c>
      <c r="D68" s="8">
        <f>52+56/60</f>
        <v>52.93333333333333</v>
      </c>
      <c r="E68">
        <v>10.000000006800001</v>
      </c>
      <c r="F68">
        <v>554.00000000679995</v>
      </c>
      <c r="G68">
        <v>124</v>
      </c>
      <c r="H68">
        <v>168</v>
      </c>
      <c r="I68">
        <f>13+42/60</f>
        <v>13.7</v>
      </c>
      <c r="J68">
        <f>13+31/60</f>
        <v>13.516666666666667</v>
      </c>
      <c r="K68">
        <f>15+1/60</f>
        <v>15.016666666666667</v>
      </c>
      <c r="L68">
        <f>8+22/60</f>
        <v>8.3666666666666671</v>
      </c>
      <c r="M68">
        <f>2+20/60</f>
        <v>2.3333333333333335</v>
      </c>
      <c r="N68" t="s">
        <v>21</v>
      </c>
      <c r="O68" t="s">
        <v>7</v>
      </c>
      <c r="P68" t="s">
        <v>23</v>
      </c>
      <c r="Q68" s="34">
        <f t="shared" si="29"/>
        <v>2</v>
      </c>
      <c r="R68" t="str">
        <f t="shared" si="45"/>
        <v>Loss</v>
      </c>
      <c r="S68" t="str">
        <f t="shared" si="46"/>
        <v>10-2019</v>
      </c>
      <c r="T68" t="str">
        <f t="shared" si="47"/>
        <v>Wednesday</v>
      </c>
      <c r="U68">
        <f t="shared" si="58"/>
        <v>0</v>
      </c>
      <c r="V68" s="8">
        <f>IFERROR(Table1[[#This Row],[ClassLength]]/Table1[[#This Row],[Splat]],0)</f>
        <v>5.2933333297338656</v>
      </c>
      <c r="W68">
        <f t="shared" si="48"/>
        <v>0</v>
      </c>
      <c r="X68">
        <f t="shared" si="49"/>
        <v>0</v>
      </c>
      <c r="Y68">
        <f t="shared" si="50"/>
        <v>1</v>
      </c>
      <c r="Z68" s="5">
        <f t="shared" si="59"/>
        <v>0.25881612090680101</v>
      </c>
      <c r="AA68" s="5">
        <f t="shared" si="59"/>
        <v>0.25535264483627207</v>
      </c>
      <c r="AB68" s="5">
        <f t="shared" si="59"/>
        <v>0.28369017632241816</v>
      </c>
      <c r="AC68" s="5">
        <f t="shared" si="59"/>
        <v>0.15806045340050379</v>
      </c>
      <c r="AD68" s="5">
        <f t="shared" si="59"/>
        <v>4.4080604534005044E-2</v>
      </c>
      <c r="AE68" s="7">
        <f>232.14+SUMIFS(Table1[ExtraExpenses],Table1[Mon_Yr],Table1[[#This Row],[Mon_Yr]])</f>
        <v>327.14</v>
      </c>
      <c r="AF68" s="7">
        <f t="shared" si="30"/>
        <v>19.243529411764705</v>
      </c>
      <c r="AG68" s="8">
        <f t="shared" si="56"/>
        <v>585.94117647621601</v>
      </c>
      <c r="AH68" s="8">
        <f t="shared" si="57"/>
        <v>13.823529417395918</v>
      </c>
      <c r="AI68">
        <f>YEAR(Table1[[#This Row],[Date]])</f>
        <v>2019</v>
      </c>
      <c r="AK68">
        <v>12</v>
      </c>
      <c r="AL68" s="8">
        <f>Table1[[#This Row],[Calories]]/Table1[[#This Row],[ClassLength]]</f>
        <v>10.465994962345087</v>
      </c>
      <c r="AM68" t="str">
        <f>RIGHT(Table1[[#This Row],[Time]],2)</f>
        <v>PM</v>
      </c>
      <c r="AN68" t="str">
        <f>Table1[[#This Row],[Mon_Yr]]&amp;"-"&amp;WEEKNUM(Table1[[#This Row],[Date]],1)-WEEKNUM(DATE(YEAR(Table1[[#This Row],[Date]]),MONTH(Table1[[#This Row],[Date]]),1),1)+1</f>
        <v>10-2019-3</v>
      </c>
      <c r="AO68">
        <f>MONTH(Table1[[#This Row],[Date]])</f>
        <v>10</v>
      </c>
      <c r="AP68" s="8">
        <f>IFERROR(Table1[[#This Row],[Calories]]/Table1[[#This Row],[Splat]],0)</f>
        <v>55.399999963007993</v>
      </c>
      <c r="AQ68" s="10">
        <f>COUNTIF(Table1[Location],Table1[[#This Row],[Location]])</f>
        <v>37</v>
      </c>
      <c r="AR68" s="10">
        <f>IF(AND(Table1[[#This Row],[Calories]]&gt;=600,Table1[[#This Row],[Splat]]&gt;=12),1,0)</f>
        <v>0</v>
      </c>
      <c r="AS68" s="10">
        <f>IF(AND(Table1[[#This Row],[Calories]]&gt;=500,Table1[[#This Row],[Splat]]&gt;=12),1,0)</f>
        <v>0</v>
      </c>
      <c r="AT68" s="8">
        <f>Table1[[#This Row],[ClassLength]]/Table1[[#This Row],[Calories]]</f>
        <v>9.5547533091486669E-2</v>
      </c>
      <c r="AU6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68" s="10">
        <f>COUNTIF(Table1[Trainer],Table1[[#This Row],[Trainer]])</f>
        <v>20</v>
      </c>
      <c r="AW68" s="10" t="str">
        <f>UPPER(LEFT(TEXT(Table1[Date],"mmmm"),3))&amp;" "&amp;TEXT(Table1[Date],"yyyy")</f>
        <v>OCT 2019</v>
      </c>
      <c r="AX68" s="10">
        <f>VLOOKUP(Table1[[#This Row],[Location]],'Tab for Charts'!$A$93:$B$103,2,FALSE)</f>
        <v>38.903509999999997</v>
      </c>
      <c r="AY68" s="10">
        <f>VLOOKUP(Table1[[#This Row],[Location]],'Tab for Charts'!$A$93:$C$103,3,FALSE)</f>
        <v>-77.051809000000006</v>
      </c>
    </row>
    <row r="69" spans="1:51">
      <c r="A69">
        <f t="shared" si="60"/>
        <v>68</v>
      </c>
      <c r="B69">
        <f t="shared" si="44"/>
        <v>17</v>
      </c>
      <c r="C69" s="1">
        <v>43756</v>
      </c>
      <c r="D69" s="8">
        <f>56+55/60</f>
        <v>56.916666666666664</v>
      </c>
      <c r="E69">
        <v>17.000000006899999</v>
      </c>
      <c r="F69">
        <v>618.0000000069</v>
      </c>
      <c r="G69">
        <v>127</v>
      </c>
      <c r="H69">
        <v>171</v>
      </c>
      <c r="I69">
        <f>13+38/60</f>
        <v>13.633333333333333</v>
      </c>
      <c r="J69">
        <f>14+28/60</f>
        <v>14.466666666666667</v>
      </c>
      <c r="K69">
        <f>11+56/60</f>
        <v>11.933333333333334</v>
      </c>
      <c r="L69">
        <f>8+58/60</f>
        <v>8.9666666666666668</v>
      </c>
      <c r="M69">
        <f>7+55/60</f>
        <v>7.916666666666667</v>
      </c>
      <c r="N69" t="s">
        <v>49</v>
      </c>
      <c r="O69" t="s">
        <v>20</v>
      </c>
      <c r="P69" t="s">
        <v>50</v>
      </c>
      <c r="Q69" s="34">
        <f t="shared" si="29"/>
        <v>2</v>
      </c>
      <c r="R69" t="str">
        <f t="shared" si="45"/>
        <v>Correct</v>
      </c>
      <c r="S69" t="str">
        <f t="shared" si="46"/>
        <v>10-2019</v>
      </c>
      <c r="T69" t="str">
        <f t="shared" si="47"/>
        <v>Friday</v>
      </c>
      <c r="U69">
        <f t="shared" si="58"/>
        <v>1</v>
      </c>
      <c r="V69" s="8">
        <f>IFERROR(Table1[[#This Row],[ClassLength]]/Table1[[#This Row],[Splat]],0)</f>
        <v>3.3480392143273647</v>
      </c>
      <c r="W69">
        <f t="shared" si="48"/>
        <v>1</v>
      </c>
      <c r="X69">
        <f t="shared" si="49"/>
        <v>0</v>
      </c>
      <c r="Y69">
        <f t="shared" si="50"/>
        <v>0</v>
      </c>
      <c r="Z69" s="5">
        <f t="shared" si="59"/>
        <v>0.23953147877013178</v>
      </c>
      <c r="AA69" s="5">
        <f t="shared" si="59"/>
        <v>0.25417276720351395</v>
      </c>
      <c r="AB69" s="5">
        <f t="shared" si="59"/>
        <v>0.20966325036603223</v>
      </c>
      <c r="AC69" s="5">
        <f t="shared" si="59"/>
        <v>0.15754026354319181</v>
      </c>
      <c r="AD69" s="5">
        <f t="shared" si="59"/>
        <v>0.13909224011713031</v>
      </c>
      <c r="AE69" s="7">
        <f>232.14+SUMIFS(Table1[ExtraExpenses],Table1[Mon_Yr],Table1[[#This Row],[Mon_Yr]])</f>
        <v>327.14</v>
      </c>
      <c r="AF69" s="7">
        <f t="shared" si="30"/>
        <v>19.243529411764705</v>
      </c>
      <c r="AG69" s="8">
        <f t="shared" si="56"/>
        <v>585.94117647621601</v>
      </c>
      <c r="AH69" s="8">
        <f t="shared" si="57"/>
        <v>13.823529417395918</v>
      </c>
      <c r="AI69">
        <f>YEAR(Table1[[#This Row],[Date]])</f>
        <v>2019</v>
      </c>
      <c r="AK69">
        <v>12</v>
      </c>
      <c r="AL69" s="8">
        <f>Table1[[#This Row],[Calories]]/Table1[[#This Row],[ClassLength]]</f>
        <v>10.857979502317423</v>
      </c>
      <c r="AM69" t="str">
        <f>RIGHT(Table1[[#This Row],[Time]],2)</f>
        <v>PM</v>
      </c>
      <c r="AN69" t="str">
        <f>Table1[[#This Row],[Mon_Yr]]&amp;"-"&amp;WEEKNUM(Table1[[#This Row],[Date]],1)-WEEKNUM(DATE(YEAR(Table1[[#This Row],[Date]]),MONTH(Table1[[#This Row],[Date]]),1),1)+1</f>
        <v>10-2019-3</v>
      </c>
      <c r="AO69">
        <f>MONTH(Table1[[#This Row],[Date]])</f>
        <v>10</v>
      </c>
      <c r="AP69" s="8">
        <f>IFERROR(Table1[[#This Row],[Calories]]/Table1[[#This Row],[Splat]],0)</f>
        <v>36.352941162121454</v>
      </c>
      <c r="AQ69" s="10">
        <f>COUNTIF(Table1[Location],Table1[[#This Row],[Location]])</f>
        <v>10</v>
      </c>
      <c r="AR69" s="10">
        <f>IF(AND(Table1[[#This Row],[Calories]]&gt;=600,Table1[[#This Row],[Splat]]&gt;=12),1,0)</f>
        <v>1</v>
      </c>
      <c r="AS69" s="10">
        <f>IF(AND(Table1[[#This Row],[Calories]]&gt;=500,Table1[[#This Row],[Splat]]&gt;=12),1,0)</f>
        <v>1</v>
      </c>
      <c r="AT69" s="8">
        <f>Table1[[#This Row],[ClassLength]]/Table1[[#This Row],[Calories]]</f>
        <v>9.2098166126264064E-2</v>
      </c>
      <c r="AU6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69" s="10">
        <f>COUNTIF(Table1[Trainer],Table1[[#This Row],[Trainer]])</f>
        <v>9</v>
      </c>
      <c r="AW69" s="10" t="str">
        <f>UPPER(LEFT(TEXT(Table1[Date],"mmmm"),3))&amp;" "&amp;TEXT(Table1[Date],"yyyy")</f>
        <v>OCT 2019</v>
      </c>
      <c r="AX69" s="10">
        <f>VLOOKUP(Table1[[#This Row],[Location]],'Tab for Charts'!$A$93:$B$103,2,FALSE)</f>
        <v>38.879828000000003</v>
      </c>
      <c r="AY69" s="10">
        <f>VLOOKUP(Table1[[#This Row],[Location]],'Tab for Charts'!$A$93:$C$103,3,FALSE)</f>
        <v>-77.005566000000002</v>
      </c>
    </row>
    <row r="70" spans="1:51">
      <c r="A70">
        <f t="shared" si="60"/>
        <v>69</v>
      </c>
      <c r="B70">
        <f t="shared" si="44"/>
        <v>17</v>
      </c>
      <c r="C70" s="1">
        <v>43758</v>
      </c>
      <c r="D70" s="8">
        <f>SUM(Table1[[#This Row],[GrayMin]:[RedMin]])</f>
        <v>54.783333333333331</v>
      </c>
      <c r="E70">
        <v>16.000000007000001</v>
      </c>
      <c r="F70">
        <v>593.00000000700004</v>
      </c>
      <c r="G70">
        <v>126</v>
      </c>
      <c r="H70">
        <v>173</v>
      </c>
      <c r="I70">
        <f>14+19/60</f>
        <v>14.316666666666666</v>
      </c>
      <c r="J70">
        <f>11+46/60</f>
        <v>11.766666666666667</v>
      </c>
      <c r="K70">
        <f>13+14/60</f>
        <v>13.233333333333333</v>
      </c>
      <c r="L70">
        <f>12+32/60</f>
        <v>12.533333333333333</v>
      </c>
      <c r="M70">
        <f>2+56/60</f>
        <v>2.9333333333333336</v>
      </c>
      <c r="N70" t="s">
        <v>15</v>
      </c>
      <c r="O70" t="s">
        <v>113</v>
      </c>
      <c r="P70" t="s">
        <v>19</v>
      </c>
      <c r="Q70" s="34">
        <f t="shared" si="29"/>
        <v>2</v>
      </c>
      <c r="R70" t="str">
        <f t="shared" si="45"/>
        <v>Gain</v>
      </c>
      <c r="S70" t="str">
        <f t="shared" si="46"/>
        <v>10-2019</v>
      </c>
      <c r="T70" t="str">
        <f t="shared" si="47"/>
        <v>Sunday</v>
      </c>
      <c r="U70">
        <f t="shared" si="58"/>
        <v>1</v>
      </c>
      <c r="V70" s="8">
        <f>IFERROR(Table1[[#This Row],[ClassLength]]/Table1[[#This Row],[Splat]],0)</f>
        <v>3.4239583318353515</v>
      </c>
      <c r="W70">
        <f t="shared" si="48"/>
        <v>0</v>
      </c>
      <c r="X70">
        <f t="shared" si="49"/>
        <v>1</v>
      </c>
      <c r="Y70">
        <f t="shared" si="50"/>
        <v>0</v>
      </c>
      <c r="Z70" s="5">
        <f t="shared" si="59"/>
        <v>0.26133252205658658</v>
      </c>
      <c r="AA70" s="5">
        <f t="shared" si="59"/>
        <v>0.21478551871006998</v>
      </c>
      <c r="AB70" s="5">
        <f t="shared" si="59"/>
        <v>0.24155765135381807</v>
      </c>
      <c r="AC70" s="5">
        <f t="shared" si="59"/>
        <v>0.22878004259202922</v>
      </c>
      <c r="AD70" s="5">
        <f t="shared" si="59"/>
        <v>5.3544265287496201E-2</v>
      </c>
      <c r="AE70" s="7">
        <f>232.14+SUMIFS(Table1[ExtraExpenses],Table1[Mon_Yr],Table1[[#This Row],[Mon_Yr]])</f>
        <v>327.14</v>
      </c>
      <c r="AF70" s="7">
        <f t="shared" si="30"/>
        <v>19.243529411764705</v>
      </c>
      <c r="AG70" s="8">
        <f t="shared" si="56"/>
        <v>585.94117647621601</v>
      </c>
      <c r="AH70" s="8">
        <f t="shared" si="57"/>
        <v>13.823529417395918</v>
      </c>
      <c r="AI70">
        <f>YEAR(Table1[[#This Row],[Date]])</f>
        <v>2019</v>
      </c>
      <c r="AK70">
        <v>12</v>
      </c>
      <c r="AL70" s="8">
        <f>Table1[[#This Row],[Calories]]/Table1[[#This Row],[ClassLength]]</f>
        <v>10.824459994043202</v>
      </c>
      <c r="AM70" t="str">
        <f>RIGHT(Table1[[#This Row],[Time]],2)</f>
        <v>PM</v>
      </c>
      <c r="AN70" t="str">
        <f>Table1[[#This Row],[Mon_Yr]]&amp;"-"&amp;WEEKNUM(Table1[[#This Row],[Date]],1)-WEEKNUM(DATE(YEAR(Table1[[#This Row],[Date]]),MONTH(Table1[[#This Row],[Date]]),1),1)+1</f>
        <v>10-2019-4</v>
      </c>
      <c r="AO70">
        <f>MONTH(Table1[[#This Row],[Date]])</f>
        <v>10</v>
      </c>
      <c r="AP70" s="8">
        <f>IFERROR(Table1[[#This Row],[Calories]]/Table1[[#This Row],[Splat]],0)</f>
        <v>37.062499984222654</v>
      </c>
      <c r="AQ70" s="10">
        <f>COUNTIF(Table1[Location],Table1[[#This Row],[Location]])</f>
        <v>48</v>
      </c>
      <c r="AR70" s="10">
        <f>IF(AND(Table1[[#This Row],[Calories]]&gt;=600,Table1[[#This Row],[Splat]]&gt;=12),1,0)</f>
        <v>0</v>
      </c>
      <c r="AS70" s="10">
        <f>IF(AND(Table1[[#This Row],[Calories]]&gt;=500,Table1[[#This Row],[Splat]]&gt;=12),1,0)</f>
        <v>1</v>
      </c>
      <c r="AT70" s="8">
        <f>Table1[[#This Row],[ClassLength]]/Table1[[#This Row],[Calories]]</f>
        <v>9.2383361437920142E-2</v>
      </c>
      <c r="AU7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70" s="10">
        <f>COUNTIF(Table1[Trainer],Table1[[#This Row],[Trainer]])</f>
        <v>12</v>
      </c>
      <c r="AW70" s="10" t="str">
        <f>UPPER(LEFT(TEXT(Table1[Date],"mmmm"),3))&amp;" "&amp;TEXT(Table1[Date],"yyyy")</f>
        <v>OCT 2019</v>
      </c>
      <c r="AX70" s="10">
        <f>VLOOKUP(Table1[[#This Row],[Location]],'Tab for Charts'!$A$93:$B$103,2,FALSE)</f>
        <v>38.916486999999996</v>
      </c>
      <c r="AY70" s="10">
        <f>VLOOKUP(Table1[[#This Row],[Location]],'Tab for Charts'!$A$93:$C$103,3,FALSE)</f>
        <v>-77.031514000000001</v>
      </c>
    </row>
    <row r="71" spans="1:51">
      <c r="A71">
        <f t="shared" si="60"/>
        <v>70</v>
      </c>
      <c r="B71">
        <f t="shared" si="44"/>
        <v>17</v>
      </c>
      <c r="C71" s="1">
        <v>43760</v>
      </c>
      <c r="D71" s="8">
        <f>60</f>
        <v>60</v>
      </c>
      <c r="E71">
        <v>12.000000007100001</v>
      </c>
      <c r="F71">
        <v>593.00000000709997</v>
      </c>
      <c r="G71">
        <v>120</v>
      </c>
      <c r="H71">
        <v>171</v>
      </c>
      <c r="I71">
        <f>22+41/60</f>
        <v>22.683333333333334</v>
      </c>
      <c r="J71">
        <f>9+55/60</f>
        <v>9.9166666666666661</v>
      </c>
      <c r="K71">
        <f>15+10/60</f>
        <v>15.166666666666666</v>
      </c>
      <c r="L71">
        <f>8+58/60</f>
        <v>8.9666666666666668</v>
      </c>
      <c r="M71">
        <f>3+16/60</f>
        <v>3.2666666666666666</v>
      </c>
      <c r="N71" t="s">
        <v>6</v>
      </c>
      <c r="O71" t="s">
        <v>45</v>
      </c>
      <c r="P71" t="s">
        <v>115</v>
      </c>
      <c r="Q71" s="34">
        <f t="shared" ref="Q71:Q89" si="61">C71-C70</f>
        <v>2</v>
      </c>
      <c r="R71" t="str">
        <f t="shared" si="45"/>
        <v>Correct</v>
      </c>
      <c r="S71" t="str">
        <f t="shared" si="46"/>
        <v>10-2019</v>
      </c>
      <c r="T71" t="str">
        <f t="shared" si="47"/>
        <v>Tuesday</v>
      </c>
      <c r="U71">
        <f t="shared" si="58"/>
        <v>1</v>
      </c>
      <c r="V71" s="8">
        <f>IFERROR(Table1[[#This Row],[ClassLength]]/Table1[[#This Row],[Splat]],0)</f>
        <v>4.9999999970416669</v>
      </c>
      <c r="W71">
        <f t="shared" si="48"/>
        <v>1</v>
      </c>
      <c r="X71">
        <f t="shared" si="49"/>
        <v>0</v>
      </c>
      <c r="Y71">
        <f t="shared" si="50"/>
        <v>0</v>
      </c>
      <c r="Z71" s="5">
        <f t="shared" ref="Z71:AD74" si="62">IFERROR(I71/$D71,"")</f>
        <v>0.37805555555555553</v>
      </c>
      <c r="AA71" s="5">
        <f t="shared" si="62"/>
        <v>0.16527777777777777</v>
      </c>
      <c r="AB71" s="5">
        <f t="shared" si="62"/>
        <v>0.25277777777777777</v>
      </c>
      <c r="AC71" s="5">
        <f t="shared" si="62"/>
        <v>0.14944444444444444</v>
      </c>
      <c r="AD71" s="5">
        <f t="shared" si="62"/>
        <v>5.4444444444444441E-2</v>
      </c>
      <c r="AE71" s="7">
        <f>232.14+SUMIFS(Table1[ExtraExpenses],Table1[Mon_Yr],Table1[[#This Row],[Mon_Yr]])</f>
        <v>327.14</v>
      </c>
      <c r="AF71" s="7">
        <f t="shared" si="30"/>
        <v>19.243529411764705</v>
      </c>
      <c r="AG71" s="8">
        <f t="shared" si="56"/>
        <v>585.94117647621601</v>
      </c>
      <c r="AH71" s="8">
        <f t="shared" si="57"/>
        <v>13.823529417395918</v>
      </c>
      <c r="AI71">
        <f>YEAR(Table1[[#This Row],[Date]])</f>
        <v>2019</v>
      </c>
      <c r="AK71">
        <v>12</v>
      </c>
      <c r="AL71" s="8">
        <f>Table1[[#This Row],[Calories]]/Table1[[#This Row],[ClassLength]]</f>
        <v>9.8833333334516666</v>
      </c>
      <c r="AM71" s="10" t="str">
        <f>RIGHT(Table1[[#This Row],[Time]],2)</f>
        <v>PM</v>
      </c>
      <c r="AN71" t="str">
        <f>Table1[[#This Row],[Mon_Yr]]&amp;"-"&amp;WEEKNUM(Table1[[#This Row],[Date]],1)-WEEKNUM(DATE(YEAR(Table1[[#This Row],[Date]]),MONTH(Table1[[#This Row],[Date]]),1),1)+1</f>
        <v>10-2019-4</v>
      </c>
      <c r="AO71">
        <f>MONTH(Table1[[#This Row],[Date]])</f>
        <v>10</v>
      </c>
      <c r="AP71" s="8">
        <f>IFERROR(Table1[[#This Row],[Calories]]/Table1[[#This Row],[Splat]],0)</f>
        <v>49.416666638020132</v>
      </c>
      <c r="AQ71" s="10">
        <f>COUNTIF(Table1[Location],Table1[[#This Row],[Location]])</f>
        <v>35</v>
      </c>
      <c r="AR71" s="10">
        <f>IF(AND(Table1[[#This Row],[Calories]]&gt;=600,Table1[[#This Row],[Splat]]&gt;=12),1,0)</f>
        <v>0</v>
      </c>
      <c r="AS71" s="10">
        <f>IF(AND(Table1[[#This Row],[Calories]]&gt;=500,Table1[[#This Row],[Splat]]&gt;=12),1,0)</f>
        <v>1</v>
      </c>
      <c r="AT71" s="8">
        <f>Table1[[#This Row],[ClassLength]]/Table1[[#This Row],[Calories]]</f>
        <v>0.10118043844735518</v>
      </c>
      <c r="AU7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71" s="10">
        <f>COUNTIF(Table1[Trainer],Table1[[#This Row],[Trainer]])</f>
        <v>4</v>
      </c>
      <c r="AW71" s="10" t="str">
        <f>UPPER(LEFT(TEXT(Table1[Date],"mmmm"),3))&amp;" "&amp;TEXT(Table1[Date],"yyyy")</f>
        <v>OCT 2019</v>
      </c>
      <c r="AX71" s="10">
        <f>VLOOKUP(Table1[[#This Row],[Location]],'Tab for Charts'!$A$93:$B$103,2,FALSE)</f>
        <v>38.881884999999997</v>
      </c>
      <c r="AY71" s="10">
        <f>VLOOKUP(Table1[[#This Row],[Location]],'Tab for Charts'!$A$93:$C$103,3,FALSE)</f>
        <v>-77.229702000000003</v>
      </c>
    </row>
    <row r="72" spans="1:51">
      <c r="A72">
        <f t="shared" si="60"/>
        <v>71</v>
      </c>
      <c r="B72">
        <f t="shared" si="44"/>
        <v>17</v>
      </c>
      <c r="C72" s="1">
        <v>43761</v>
      </c>
      <c r="D72" s="8">
        <f>57+52/60</f>
        <v>57.866666666666667</v>
      </c>
      <c r="E72">
        <v>18.000000007200001</v>
      </c>
      <c r="F72">
        <v>565.00000000720001</v>
      </c>
      <c r="G72">
        <v>119</v>
      </c>
      <c r="H72">
        <v>165</v>
      </c>
      <c r="I72">
        <f>24+37/60</f>
        <v>24.616666666666667</v>
      </c>
      <c r="J72">
        <f>7+9/60</f>
        <v>7.15</v>
      </c>
      <c r="K72">
        <f>7+54/60</f>
        <v>7.9</v>
      </c>
      <c r="L72">
        <f>16+44/60</f>
        <v>16.733333333333334</v>
      </c>
      <c r="M72">
        <f>1+28/60</f>
        <v>1.4666666666666668</v>
      </c>
      <c r="N72" t="s">
        <v>21</v>
      </c>
      <c r="O72" t="s">
        <v>7</v>
      </c>
      <c r="P72" t="s">
        <v>23</v>
      </c>
      <c r="Q72" s="34">
        <f t="shared" si="61"/>
        <v>1</v>
      </c>
      <c r="R72" t="str">
        <f t="shared" si="45"/>
        <v>Correct</v>
      </c>
      <c r="S72" t="str">
        <f t="shared" si="46"/>
        <v>10-2019</v>
      </c>
      <c r="T72" t="str">
        <f t="shared" si="47"/>
        <v>Wednesday</v>
      </c>
      <c r="U72">
        <f t="shared" si="58"/>
        <v>1</v>
      </c>
      <c r="V72" s="8">
        <f>IFERROR(Table1[[#This Row],[ClassLength]]/Table1[[#This Row],[Splat]],0)</f>
        <v>3.2148148135288888</v>
      </c>
      <c r="W72">
        <f t="shared" si="48"/>
        <v>1</v>
      </c>
      <c r="X72">
        <f t="shared" si="49"/>
        <v>0</v>
      </c>
      <c r="Y72">
        <f t="shared" si="50"/>
        <v>0</v>
      </c>
      <c r="Z72" s="5">
        <f t="shared" si="62"/>
        <v>0.42540322580645162</v>
      </c>
      <c r="AA72" s="5">
        <f t="shared" si="62"/>
        <v>0.12355990783410138</v>
      </c>
      <c r="AB72" s="5">
        <f t="shared" si="62"/>
        <v>0.13652073732718895</v>
      </c>
      <c r="AC72" s="5">
        <f t="shared" si="62"/>
        <v>0.28917050691244239</v>
      </c>
      <c r="AD72" s="5">
        <f t="shared" si="62"/>
        <v>2.5345622119815669E-2</v>
      </c>
      <c r="AE72" s="7">
        <f>232.14+SUMIFS(Table1[ExtraExpenses],Table1[Mon_Yr],Table1[[#This Row],[Mon_Yr]])</f>
        <v>327.14</v>
      </c>
      <c r="AF72" s="7">
        <f t="shared" si="30"/>
        <v>19.243529411764705</v>
      </c>
      <c r="AG72" s="8">
        <f t="shared" si="56"/>
        <v>585.94117647621601</v>
      </c>
      <c r="AH72" s="8">
        <f t="shared" si="57"/>
        <v>13.823529417395918</v>
      </c>
      <c r="AI72">
        <f>YEAR(Table1[[#This Row],[Date]])</f>
        <v>2019</v>
      </c>
      <c r="AK72">
        <v>12</v>
      </c>
      <c r="AL72" s="8">
        <f>Table1[[#This Row],[Calories]]/Table1[[#This Row],[ClassLength]]</f>
        <v>9.7638248849170512</v>
      </c>
      <c r="AM72" s="10" t="str">
        <f>RIGHT(Table1[[#This Row],[Time]],2)</f>
        <v>PM</v>
      </c>
      <c r="AN72" t="str">
        <f>Table1[[#This Row],[Mon_Yr]]&amp;"-"&amp;WEEKNUM(Table1[[#This Row],[Date]],1)-WEEKNUM(DATE(YEAR(Table1[[#This Row],[Date]]),MONTH(Table1[[#This Row],[Date]]),1),1)+1</f>
        <v>10-2019-4</v>
      </c>
      <c r="AO72">
        <f>MONTH(Table1[[#This Row],[Date]])</f>
        <v>10</v>
      </c>
      <c r="AP72" s="8">
        <f>IFERROR(Table1[[#This Row],[Calories]]/Table1[[#This Row],[Splat]],0)</f>
        <v>31.388888876733333</v>
      </c>
      <c r="AQ72" s="10">
        <f>COUNTIF(Table1[Location],Table1[[#This Row],[Location]])</f>
        <v>37</v>
      </c>
      <c r="AR72" s="10">
        <f>IF(AND(Table1[[#This Row],[Calories]]&gt;=600,Table1[[#This Row],[Splat]]&gt;=12),1,0)</f>
        <v>0</v>
      </c>
      <c r="AS72" s="10">
        <f>IF(AND(Table1[[#This Row],[Calories]]&gt;=500,Table1[[#This Row],[Splat]]&gt;=12),1,0)</f>
        <v>1</v>
      </c>
      <c r="AT72" s="8">
        <f>Table1[[#This Row],[ClassLength]]/Table1[[#This Row],[Calories]]</f>
        <v>0.10241887905474203</v>
      </c>
      <c r="AU7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72" s="10">
        <f>COUNTIF(Table1[Trainer],Table1[[#This Row],[Trainer]])</f>
        <v>20</v>
      </c>
      <c r="AW72" s="10" t="str">
        <f>UPPER(LEFT(TEXT(Table1[Date],"mmmm"),3))&amp;" "&amp;TEXT(Table1[Date],"yyyy")</f>
        <v>OCT 2019</v>
      </c>
      <c r="AX72" s="10">
        <f>VLOOKUP(Table1[[#This Row],[Location]],'Tab for Charts'!$A$93:$B$103,2,FALSE)</f>
        <v>38.903509999999997</v>
      </c>
      <c r="AY72" s="10">
        <f>VLOOKUP(Table1[[#This Row],[Location]],'Tab for Charts'!$A$93:$C$103,3,FALSE)</f>
        <v>-77.051809000000006</v>
      </c>
    </row>
    <row r="73" spans="1:51">
      <c r="A73">
        <f t="shared" si="60"/>
        <v>72</v>
      </c>
      <c r="B73">
        <f t="shared" si="44"/>
        <v>17</v>
      </c>
      <c r="C73" s="1">
        <v>43763</v>
      </c>
      <c r="D73" s="8">
        <f>SUM(Table1[[#This Row],[GrayMin]:[RedMin]])</f>
        <v>53.2</v>
      </c>
      <c r="E73">
        <f>6+ROW()/1000000000000</f>
        <v>6.0000000000730003</v>
      </c>
      <c r="F73">
        <f>447+ROW()/100000000000000</f>
        <v>447.00000000000074</v>
      </c>
      <c r="G73">
        <v>110</v>
      </c>
      <c r="H73">
        <v>166</v>
      </c>
      <c r="I73">
        <f>31+34/60</f>
        <v>31.566666666666666</v>
      </c>
      <c r="J73">
        <f>3+57/60</f>
        <v>3.95</v>
      </c>
      <c r="K73">
        <f>11+16/60</f>
        <v>11.266666666666667</v>
      </c>
      <c r="L73">
        <f>5+12/60</f>
        <v>5.2</v>
      </c>
      <c r="M73">
        <f>1+13/60</f>
        <v>1.2166666666666668</v>
      </c>
      <c r="N73" t="s">
        <v>15</v>
      </c>
      <c r="O73" t="s">
        <v>7</v>
      </c>
      <c r="P73" t="s">
        <v>124</v>
      </c>
      <c r="Q73" s="34">
        <f t="shared" si="61"/>
        <v>2</v>
      </c>
      <c r="R73" t="str">
        <f t="shared" si="45"/>
        <v>Correct</v>
      </c>
      <c r="S73" t="str">
        <f t="shared" si="46"/>
        <v>10-2019</v>
      </c>
      <c r="T73" t="str">
        <f t="shared" si="47"/>
        <v>Friday</v>
      </c>
      <c r="U73">
        <f t="shared" si="58"/>
        <v>0</v>
      </c>
      <c r="V73" s="8">
        <f>IFERROR(Table1[[#This Row],[ClassLength]]/Table1[[#This Row],[Splat]],0)</f>
        <v>8.866666666558789</v>
      </c>
      <c r="W73">
        <f t="shared" si="48"/>
        <v>1</v>
      </c>
      <c r="X73">
        <f t="shared" si="49"/>
        <v>0</v>
      </c>
      <c r="Y73">
        <f t="shared" si="50"/>
        <v>0</v>
      </c>
      <c r="Z73" s="5">
        <f t="shared" si="62"/>
        <v>0.59335839598997486</v>
      </c>
      <c r="AA73" s="5">
        <f t="shared" si="62"/>
        <v>7.4248120300751883E-2</v>
      </c>
      <c r="AB73" s="5">
        <f t="shared" si="62"/>
        <v>0.2117794486215539</v>
      </c>
      <c r="AC73" s="5">
        <f t="shared" si="62"/>
        <v>9.7744360902255634E-2</v>
      </c>
      <c r="AD73" s="5">
        <f t="shared" si="62"/>
        <v>2.2869674185463661E-2</v>
      </c>
      <c r="AE73" s="7">
        <f>232.14+SUMIFS(Table1[ExtraExpenses],Table1[Mon_Yr],Table1[[#This Row],[Mon_Yr]])</f>
        <v>327.14</v>
      </c>
      <c r="AF73" s="7">
        <f t="shared" si="30"/>
        <v>19.243529411764705</v>
      </c>
      <c r="AG73" s="8">
        <f t="shared" si="56"/>
        <v>585.94117647621601</v>
      </c>
      <c r="AH73" s="8">
        <f t="shared" si="57"/>
        <v>13.823529417395918</v>
      </c>
      <c r="AI73">
        <f>YEAR(Table1[[#This Row],[Date]])</f>
        <v>2019</v>
      </c>
      <c r="AK73">
        <v>12</v>
      </c>
      <c r="AL73" s="8">
        <f>Table1[[#This Row],[Calories]]/Table1[[#This Row],[ClassLength]]</f>
        <v>8.4022556390977581</v>
      </c>
      <c r="AM73" s="10" t="str">
        <f>RIGHT(Table1[[#This Row],[Time]],2)</f>
        <v>PM</v>
      </c>
      <c r="AN73" s="10" t="str">
        <f>Table1[[#This Row],[Mon_Yr]]&amp;"-"&amp;WEEKNUM(Table1[[#This Row],[Date]],1)-WEEKNUM(DATE(YEAR(Table1[[#This Row],[Date]]),MONTH(Table1[[#This Row],[Date]]),1),1)+1</f>
        <v>10-2019-4</v>
      </c>
      <c r="AO73">
        <f>MONTH(Table1[[#This Row],[Date]])</f>
        <v>10</v>
      </c>
      <c r="AP73" s="8">
        <f>IFERROR(Table1[[#This Row],[Calories]]/Table1[[#This Row],[Splat]],0)</f>
        <v>74.499999999093703</v>
      </c>
      <c r="AQ73" s="10">
        <f>COUNTIF(Table1[Location],Table1[[#This Row],[Location]])</f>
        <v>48</v>
      </c>
      <c r="AR73" s="10">
        <f>IF(AND(Table1[[#This Row],[Calories]]&gt;=600,Table1[[#This Row],[Splat]]&gt;=12),1,0)</f>
        <v>0</v>
      </c>
      <c r="AS73" s="10">
        <f>IF(AND(Table1[[#This Row],[Calories]]&gt;=500,Table1[[#This Row],[Splat]]&gt;=12),1,0)</f>
        <v>0</v>
      </c>
      <c r="AT73" s="8">
        <f>Table1[[#This Row],[ClassLength]]/Table1[[#This Row],[Calories]]</f>
        <v>0.11901565995525708</v>
      </c>
      <c r="AU7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73" s="10">
        <f>COUNTIF(Table1[Trainer],Table1[[#This Row],[Trainer]])</f>
        <v>3</v>
      </c>
      <c r="AW73" s="10" t="str">
        <f>UPPER(LEFT(TEXT(Table1[Date],"mmmm"),3))&amp;" "&amp;TEXT(Table1[Date],"yyyy")</f>
        <v>OCT 2019</v>
      </c>
      <c r="AX73" s="10">
        <f>VLOOKUP(Table1[[#This Row],[Location]],'Tab for Charts'!$A$93:$B$103,2,FALSE)</f>
        <v>38.916486999999996</v>
      </c>
      <c r="AY73" s="10">
        <f>VLOOKUP(Table1[[#This Row],[Location]],'Tab for Charts'!$A$93:$C$103,3,FALSE)</f>
        <v>-77.031514000000001</v>
      </c>
    </row>
    <row r="74" spans="1:51">
      <c r="A74">
        <f t="shared" si="60"/>
        <v>73</v>
      </c>
      <c r="B74">
        <f t="shared" si="44"/>
        <v>17</v>
      </c>
      <c r="C74" s="1">
        <v>43765</v>
      </c>
      <c r="D74" s="8">
        <f>58+21/60</f>
        <v>58.35</v>
      </c>
      <c r="E74">
        <f>18+ROW()/10000000000</f>
        <v>18.000000007400001</v>
      </c>
      <c r="F74">
        <f>701+ROW()/100000000000000</f>
        <v>701.0000000000008</v>
      </c>
      <c r="G74">
        <v>134</v>
      </c>
      <c r="H74">
        <v>170</v>
      </c>
      <c r="I74">
        <f>6+12/60</f>
        <v>6.2</v>
      </c>
      <c r="J74">
        <f>8+17/60</f>
        <v>8.2833333333333332</v>
      </c>
      <c r="K74">
        <f>26+27/60</f>
        <v>26.45</v>
      </c>
      <c r="L74">
        <f>13+43/60</f>
        <v>13.716666666666667</v>
      </c>
      <c r="M74">
        <f>3+42/60</f>
        <v>3.7</v>
      </c>
      <c r="N74" t="s">
        <v>15</v>
      </c>
      <c r="O74" t="s">
        <v>18</v>
      </c>
      <c r="P74" t="s">
        <v>19</v>
      </c>
      <c r="Q74" s="34">
        <f t="shared" si="61"/>
        <v>2</v>
      </c>
      <c r="R74" t="str">
        <f t="shared" si="45"/>
        <v>Gain</v>
      </c>
      <c r="S74" t="str">
        <f t="shared" si="46"/>
        <v>10-2019</v>
      </c>
      <c r="T74" t="str">
        <f t="shared" si="47"/>
        <v>Sunday</v>
      </c>
      <c r="U74">
        <f t="shared" si="58"/>
        <v>1</v>
      </c>
      <c r="V74" s="8">
        <f>IFERROR(Table1[[#This Row],[ClassLength]]/Table1[[#This Row],[Splat]],0)</f>
        <v>3.2416666653339816</v>
      </c>
      <c r="W74">
        <f t="shared" si="48"/>
        <v>0</v>
      </c>
      <c r="X74">
        <f t="shared" si="49"/>
        <v>1</v>
      </c>
      <c r="Y74">
        <f t="shared" si="50"/>
        <v>0</v>
      </c>
      <c r="Z74" s="5">
        <f t="shared" si="62"/>
        <v>0.1062553556126821</v>
      </c>
      <c r="AA74" s="5">
        <f t="shared" si="62"/>
        <v>0.14195944015995429</v>
      </c>
      <c r="AB74" s="5">
        <f t="shared" si="62"/>
        <v>0.45329905741216792</v>
      </c>
      <c r="AC74" s="5">
        <f t="shared" si="62"/>
        <v>0.23507569265924022</v>
      </c>
      <c r="AD74" s="5">
        <f t="shared" si="62"/>
        <v>6.3410454155955448E-2</v>
      </c>
      <c r="AE74" s="7">
        <f>232.14+SUMIFS(Table1[ExtraExpenses],Table1[Mon_Yr],Table1[[#This Row],[Mon_Yr]])</f>
        <v>327.14</v>
      </c>
      <c r="AF74" s="7">
        <f t="shared" si="30"/>
        <v>19.243529411764705</v>
      </c>
      <c r="AG74" s="8">
        <f t="shared" si="56"/>
        <v>585.94117647621601</v>
      </c>
      <c r="AH74" s="8">
        <f t="shared" si="57"/>
        <v>13.823529417395918</v>
      </c>
      <c r="AI74">
        <f>YEAR(Table1[[#This Row],[Date]])</f>
        <v>2019</v>
      </c>
      <c r="AK74">
        <v>12</v>
      </c>
      <c r="AL74" s="8">
        <f>Table1[[#This Row],[Calories]]/Table1[[#This Row],[ClassLength]]</f>
        <v>12.013710368466166</v>
      </c>
      <c r="AM74" s="10" t="str">
        <f>RIGHT(Table1[[#This Row],[Time]],2)</f>
        <v>PM</v>
      </c>
      <c r="AN74" s="10" t="str">
        <f>Table1[[#This Row],[Mon_Yr]]&amp;"-"&amp;WEEKNUM(Table1[[#This Row],[Date]],1)-WEEKNUM(DATE(YEAR(Table1[[#This Row],[Date]]),MONTH(Table1[[#This Row],[Date]]),1),1)+1</f>
        <v>10-2019-5</v>
      </c>
      <c r="AO74">
        <f>MONTH(Table1[[#This Row],[Date]])</f>
        <v>10</v>
      </c>
      <c r="AP74" s="8">
        <f>IFERROR(Table1[[#This Row],[Calories]]/Table1[[#This Row],[Splat]],0)</f>
        <v>38.944444428433997</v>
      </c>
      <c r="AQ74" s="10">
        <f>COUNTIF(Table1[Location],Table1[[#This Row],[Location]])</f>
        <v>48</v>
      </c>
      <c r="AR74" s="10">
        <f>IF(AND(Table1[[#This Row],[Calories]]&gt;=600,Table1[[#This Row],[Splat]]&gt;=12),1,0)</f>
        <v>1</v>
      </c>
      <c r="AS74" s="10">
        <f>IF(AND(Table1[[#This Row],[Calories]]&gt;=500,Table1[[#This Row],[Splat]]&gt;=12),1,0)</f>
        <v>1</v>
      </c>
      <c r="AT74" s="8">
        <f>Table1[[#This Row],[ClassLength]]/Table1[[#This Row],[Calories]]</f>
        <v>8.3238231098430718E-2</v>
      </c>
      <c r="AU7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74" s="10">
        <f>COUNTIF(Table1[Trainer],Table1[[#This Row],[Trainer]])</f>
        <v>12</v>
      </c>
      <c r="AW74" s="10" t="str">
        <f>UPPER(LEFT(TEXT(Table1[Date],"mmmm"),3))&amp;" "&amp;TEXT(Table1[Date],"yyyy")</f>
        <v>OCT 2019</v>
      </c>
      <c r="AX74" s="10">
        <f>VLOOKUP(Table1[[#This Row],[Location]],'Tab for Charts'!$A$93:$B$103,2,FALSE)</f>
        <v>38.916486999999996</v>
      </c>
      <c r="AY74" s="10">
        <f>VLOOKUP(Table1[[#This Row],[Location]],'Tab for Charts'!$A$93:$C$103,3,FALSE)</f>
        <v>-77.031514000000001</v>
      </c>
    </row>
    <row r="75" spans="1:51">
      <c r="A75">
        <f t="shared" si="60"/>
        <v>74</v>
      </c>
      <c r="B75">
        <f t="shared" si="44"/>
        <v>17</v>
      </c>
      <c r="C75" s="1">
        <v>43766</v>
      </c>
      <c r="D75" s="8">
        <f>56+34/60</f>
        <v>56.56666666666667</v>
      </c>
      <c r="E75">
        <f>10+ROW()/100000000000</f>
        <v>10.000000000749999</v>
      </c>
      <c r="F75">
        <f>544+ROW()/10000000000</f>
        <v>544.00000000750003</v>
      </c>
      <c r="G75">
        <v>118</v>
      </c>
      <c r="H75">
        <v>167</v>
      </c>
      <c r="I75">
        <f>16+19/60</f>
        <v>16.316666666666666</v>
      </c>
      <c r="J75">
        <f>20+1/60</f>
        <v>20.016666666666666</v>
      </c>
      <c r="K75">
        <f>10+42/60</f>
        <v>10.7</v>
      </c>
      <c r="L75">
        <f>7+39/60</f>
        <v>7.65</v>
      </c>
      <c r="M75">
        <f>1+53/60</f>
        <v>1.8833333333333333</v>
      </c>
      <c r="N75" t="s">
        <v>21</v>
      </c>
      <c r="O75" t="s">
        <v>7</v>
      </c>
      <c r="P75" t="s">
        <v>103</v>
      </c>
      <c r="Q75" s="34">
        <f t="shared" si="61"/>
        <v>1</v>
      </c>
      <c r="R75" s="10" t="str">
        <f t="shared" ref="R75:R80" si="63">IF(ROUND(E75,1)-ROUND(L75+M75,0)=0,"Correct",IF(ROUND(E75,1)-ROUND(L75+M75,0)=1,"Gain","Loss"))</f>
        <v>Correct</v>
      </c>
      <c r="S75" t="str">
        <f t="shared" si="46"/>
        <v>10-2019</v>
      </c>
      <c r="T75" t="str">
        <f t="shared" si="47"/>
        <v>Monday</v>
      </c>
      <c r="U75">
        <f t="shared" ref="U75:U80" si="64">IF(E75&gt;=12,1,0)</f>
        <v>0</v>
      </c>
      <c r="V75" s="8">
        <f>IFERROR(Table1[[#This Row],[ClassLength]]/Table1[[#This Row],[Splat]],0)</f>
        <v>5.6566666662424172</v>
      </c>
      <c r="W75">
        <f t="shared" si="48"/>
        <v>1</v>
      </c>
      <c r="X75">
        <f t="shared" si="49"/>
        <v>0</v>
      </c>
      <c r="Y75">
        <f t="shared" si="50"/>
        <v>0</v>
      </c>
      <c r="Z75" s="5">
        <f t="shared" ref="Z75:AD77" si="65">IFERROR(I75/$D75,"")</f>
        <v>0.28845020624631701</v>
      </c>
      <c r="AA75" s="5">
        <f t="shared" si="65"/>
        <v>0.35385975250441953</v>
      </c>
      <c r="AB75" s="5">
        <f t="shared" si="65"/>
        <v>0.18915733647613434</v>
      </c>
      <c r="AC75" s="5">
        <f t="shared" si="65"/>
        <v>0.13523865645256333</v>
      </c>
      <c r="AD75" s="5">
        <f t="shared" si="65"/>
        <v>3.3294048320565699E-2</v>
      </c>
      <c r="AE75" s="7">
        <f>232.14+SUMIFS(Table1[ExtraExpenses],Table1[Mon_Yr],Table1[[#This Row],[Mon_Yr]])</f>
        <v>327.14</v>
      </c>
      <c r="AF75" s="7">
        <f t="shared" si="30"/>
        <v>19.243529411764705</v>
      </c>
      <c r="AG75" s="8">
        <f t="shared" si="56"/>
        <v>585.94117647621601</v>
      </c>
      <c r="AH75" s="8">
        <f t="shared" si="57"/>
        <v>13.823529417395918</v>
      </c>
      <c r="AI75">
        <f>YEAR(Table1[[#This Row],[Date]])</f>
        <v>2019</v>
      </c>
      <c r="AK75">
        <v>12</v>
      </c>
      <c r="AL75" s="8">
        <f>Table1[[#This Row],[Calories]]/Table1[[#This Row],[ClassLength]]</f>
        <v>9.6169711256482024</v>
      </c>
      <c r="AM75" s="10" t="str">
        <f>RIGHT(Table1[[#This Row],[Time]],2)</f>
        <v>PM</v>
      </c>
      <c r="AN75" s="10" t="str">
        <f>Table1[[#This Row],[Mon_Yr]]&amp;"-"&amp;WEEKNUM(Table1[[#This Row],[Date]],1)-WEEKNUM(DATE(YEAR(Table1[[#This Row],[Date]]),MONTH(Table1[[#This Row],[Date]]),1),1)+1</f>
        <v>10-2019-5</v>
      </c>
      <c r="AO75">
        <f>MONTH(Table1[[#This Row],[Date]])</f>
        <v>10</v>
      </c>
      <c r="AP75" s="8">
        <f>IFERROR(Table1[[#This Row],[Calories]]/Table1[[#This Row],[Splat]],0)</f>
        <v>54.399999996670005</v>
      </c>
      <c r="AQ75" s="10">
        <f>COUNTIF(Table1[Location],Table1[[#This Row],[Location]])</f>
        <v>37</v>
      </c>
      <c r="AR75" s="10">
        <f>IF(AND(Table1[[#This Row],[Calories]]&gt;=600,Table1[[#This Row],[Splat]]&gt;=12),1,0)</f>
        <v>0</v>
      </c>
      <c r="AS75" s="10">
        <f>IF(AND(Table1[[#This Row],[Calories]]&gt;=500,Table1[[#This Row],[Splat]]&gt;=12),1,0)</f>
        <v>0</v>
      </c>
      <c r="AT75" s="8">
        <f>Table1[[#This Row],[ClassLength]]/Table1[[#This Row],[Calories]]</f>
        <v>0.10398284313582132</v>
      </c>
      <c r="AU7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75" s="10">
        <f>COUNTIF(Table1[Trainer],Table1[[#This Row],[Trainer]])</f>
        <v>8</v>
      </c>
      <c r="AW75" s="10" t="str">
        <f>UPPER(LEFT(TEXT(Table1[Date],"mmmm"),3))&amp;" "&amp;TEXT(Table1[Date],"yyyy")</f>
        <v>OCT 2019</v>
      </c>
      <c r="AX75" s="10">
        <f>VLOOKUP(Table1[[#This Row],[Location]],'Tab for Charts'!$A$93:$B$103,2,FALSE)</f>
        <v>38.903509999999997</v>
      </c>
      <c r="AY75" s="10">
        <f>VLOOKUP(Table1[[#This Row],[Location]],'Tab for Charts'!$A$93:$C$103,3,FALSE)</f>
        <v>-77.051809000000006</v>
      </c>
    </row>
    <row r="76" spans="1:51">
      <c r="A76">
        <f t="shared" si="60"/>
        <v>75</v>
      </c>
      <c r="B76">
        <f t="shared" si="44"/>
        <v>17</v>
      </c>
      <c r="C76" s="1">
        <v>43768</v>
      </c>
      <c r="D76" s="8">
        <f>52+57/60</f>
        <v>52.95</v>
      </c>
      <c r="E76">
        <f>10+ROW()/10000000000000</f>
        <v>10.000000000007599</v>
      </c>
      <c r="F76">
        <f>577+ROW()/10000000000</f>
        <v>577.00000000759997</v>
      </c>
      <c r="G76">
        <v>127</v>
      </c>
      <c r="H76">
        <v>165</v>
      </c>
      <c r="I76">
        <f>7+49/60</f>
        <v>7.8166666666666664</v>
      </c>
      <c r="J76">
        <f>13+24/60</f>
        <v>13.4</v>
      </c>
      <c r="K76">
        <f>21+40/60</f>
        <v>21.666666666666668</v>
      </c>
      <c r="L76">
        <f>9+18/60</f>
        <v>9.3000000000000007</v>
      </c>
      <c r="M76">
        <f>0+46/60</f>
        <v>0.76666666666666672</v>
      </c>
      <c r="N76" t="s">
        <v>21</v>
      </c>
      <c r="O76" t="s">
        <v>7</v>
      </c>
      <c r="P76" t="s">
        <v>23</v>
      </c>
      <c r="Q76" s="34">
        <f t="shared" si="61"/>
        <v>2</v>
      </c>
      <c r="R76" s="10" t="str">
        <f t="shared" si="63"/>
        <v>Correct</v>
      </c>
      <c r="S76" t="str">
        <f t="shared" ref="S76:S81" si="66">MONTH(C76)&amp;"-"&amp;YEAR(C76)</f>
        <v>10-2019</v>
      </c>
      <c r="T76" t="str">
        <f t="shared" ref="T76:T81" si="67">IF(WEEKDAY(C76)=1,"Sunday",IF(WEEKDAY(C76)=2,"Monday",IF(WEEKDAY(C76)=3,"Tuesday",IF(WEEKDAY(C76)=4,"Wednesday",IF(WEEKDAY(C76)=5,"Thursday",IF(WEEKDAY(C76)=6,"Friday","Saturday"))))))</f>
        <v>Wednesday</v>
      </c>
      <c r="U76">
        <f t="shared" si="64"/>
        <v>0</v>
      </c>
      <c r="V76" s="8">
        <f>IFERROR(Table1[[#This Row],[ClassLength]]/Table1[[#This Row],[Splat]],0)</f>
        <v>5.2949999999959765</v>
      </c>
      <c r="W76" s="10">
        <f t="shared" ref="W76:W81" si="68">IF(ROUND($E76,1)-ROUND($L76+$M76,0)=0,1,0)</f>
        <v>1</v>
      </c>
      <c r="X76" s="10">
        <f t="shared" ref="X76:X81" si="69">IF(ROUND($E76,1)-ROUND($L76+$M76,0)=1,1,0)</f>
        <v>0</v>
      </c>
      <c r="Y76" s="10">
        <f t="shared" ref="Y76:Y81" si="70">IF(ROUND($E76,1)-ROUND($L76+$M76,0)=-1,1,0)</f>
        <v>0</v>
      </c>
      <c r="Z76" s="5">
        <f t="shared" si="65"/>
        <v>0.14762354422411078</v>
      </c>
      <c r="AA76" s="5">
        <f t="shared" si="65"/>
        <v>0.2530689329556185</v>
      </c>
      <c r="AB76" s="5">
        <f t="shared" si="65"/>
        <v>0.40919106074913442</v>
      </c>
      <c r="AC76" s="5">
        <f t="shared" si="65"/>
        <v>0.17563739376770537</v>
      </c>
      <c r="AD76" s="5">
        <f t="shared" si="65"/>
        <v>1.447906830343091E-2</v>
      </c>
      <c r="AE76" s="7">
        <f>232.14+SUMIFS(Table1[ExtraExpenses],Table1[Mon_Yr],Table1[[#This Row],[Mon_Yr]])</f>
        <v>327.14</v>
      </c>
      <c r="AF76" s="7">
        <f t="shared" si="30"/>
        <v>19.243529411764705</v>
      </c>
      <c r="AG76" s="8">
        <f t="shared" si="56"/>
        <v>585.94117647621601</v>
      </c>
      <c r="AH76" s="8">
        <f t="shared" si="57"/>
        <v>13.823529417395918</v>
      </c>
      <c r="AI76">
        <f>YEAR(Table1[[#This Row],[Date]])</f>
        <v>2019</v>
      </c>
      <c r="AK76">
        <v>12</v>
      </c>
      <c r="AL76" s="8">
        <f>Table1[[#This Row],[Calories]]/Table1[[#This Row],[ClassLength]]</f>
        <v>10.897072710247402</v>
      </c>
      <c r="AM76" s="10" t="str">
        <f>RIGHT(Table1[[#This Row],[Time]],2)</f>
        <v>PM</v>
      </c>
      <c r="AN76" s="10" t="str">
        <f>Table1[[#This Row],[Mon_Yr]]&amp;"-"&amp;WEEKNUM(Table1[[#This Row],[Date]],1)-WEEKNUM(DATE(YEAR(Table1[[#This Row],[Date]]),MONTH(Table1[[#This Row],[Date]]),1),1)+1</f>
        <v>10-2019-5</v>
      </c>
      <c r="AO76">
        <f>MONTH(Table1[[#This Row],[Date]])</f>
        <v>10</v>
      </c>
      <c r="AP76" s="8">
        <f>IFERROR(Table1[[#This Row],[Calories]]/Table1[[#This Row],[Splat]],0)</f>
        <v>57.700000000716152</v>
      </c>
      <c r="AQ76" s="10">
        <f>COUNTIF(Table1[Location],Table1[[#This Row],[Location]])</f>
        <v>37</v>
      </c>
      <c r="AR76" s="10">
        <f>IF(AND(Table1[[#This Row],[Calories]]&gt;=600,Table1[[#This Row],[Splat]]&gt;=12),1,0)</f>
        <v>0</v>
      </c>
      <c r="AS76" s="10">
        <f>IF(AND(Table1[[#This Row],[Calories]]&gt;=500,Table1[[#This Row],[Splat]]&gt;=12),1,0)</f>
        <v>0</v>
      </c>
      <c r="AT76" s="8">
        <f>Table1[[#This Row],[ClassLength]]/Table1[[#This Row],[Calories]]</f>
        <v>9.1767764296884866E-2</v>
      </c>
      <c r="AU7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76" s="10">
        <f>COUNTIF(Table1[Trainer],Table1[[#This Row],[Trainer]])</f>
        <v>20</v>
      </c>
      <c r="AW76" s="10" t="str">
        <f>UPPER(LEFT(TEXT(Table1[Date],"mmmm"),3))&amp;" "&amp;TEXT(Table1[Date],"yyyy")</f>
        <v>OCT 2019</v>
      </c>
      <c r="AX76" s="10">
        <f>VLOOKUP(Table1[[#This Row],[Location]],'Tab for Charts'!$A$93:$B$103,2,FALSE)</f>
        <v>38.903509999999997</v>
      </c>
      <c r="AY76" s="10">
        <f>VLOOKUP(Table1[[#This Row],[Location]],'Tab for Charts'!$A$93:$C$103,3,FALSE)</f>
        <v>-77.051809000000006</v>
      </c>
    </row>
    <row r="77" spans="1:51">
      <c r="A77">
        <f t="shared" si="60"/>
        <v>76</v>
      </c>
      <c r="B77">
        <f t="shared" si="44"/>
        <v>17</v>
      </c>
      <c r="C77" s="1">
        <v>43769</v>
      </c>
      <c r="D77" s="8">
        <f>57</f>
        <v>57</v>
      </c>
      <c r="E77">
        <f>10+ROW()/10000000000</f>
        <v>10.000000007700001</v>
      </c>
      <c r="F77">
        <f>590+ROW()/100000000000</f>
        <v>590.00000000077</v>
      </c>
      <c r="G77">
        <v>123</v>
      </c>
      <c r="H77">
        <v>168</v>
      </c>
      <c r="I77">
        <f>10+28/60</f>
        <v>10.466666666666667</v>
      </c>
      <c r="J77">
        <f>19+20/60</f>
        <v>19.333333333333332</v>
      </c>
      <c r="K77">
        <f>16+34/60</f>
        <v>16.566666666666666</v>
      </c>
      <c r="L77">
        <f>9+14/60</f>
        <v>9.2333333333333325</v>
      </c>
      <c r="M77">
        <f>1+24/60</f>
        <v>1.4</v>
      </c>
      <c r="N77" t="s">
        <v>6</v>
      </c>
      <c r="O77" t="s">
        <v>45</v>
      </c>
      <c r="P77" t="s">
        <v>157</v>
      </c>
      <c r="Q77" s="34">
        <f t="shared" si="61"/>
        <v>1</v>
      </c>
      <c r="R77" s="10" t="str">
        <f t="shared" si="63"/>
        <v>Loss</v>
      </c>
      <c r="S77" t="str">
        <f t="shared" si="66"/>
        <v>10-2019</v>
      </c>
      <c r="T77" t="str">
        <f t="shared" si="67"/>
        <v>Thursday</v>
      </c>
      <c r="U77">
        <f t="shared" si="64"/>
        <v>0</v>
      </c>
      <c r="V77" s="8">
        <f>IFERROR(Table1[[#This Row],[ClassLength]]/Table1[[#This Row],[Splat]],0)</f>
        <v>5.6999999956109999</v>
      </c>
      <c r="W77" s="10">
        <f t="shared" si="68"/>
        <v>0</v>
      </c>
      <c r="X77" s="10">
        <f t="shared" si="69"/>
        <v>0</v>
      </c>
      <c r="Y77" s="10">
        <f t="shared" si="70"/>
        <v>1</v>
      </c>
      <c r="Z77" s="5">
        <f t="shared" si="65"/>
        <v>0.18362573099415205</v>
      </c>
      <c r="AA77" s="5">
        <f t="shared" si="65"/>
        <v>0.33918128654970758</v>
      </c>
      <c r="AB77" s="5">
        <f t="shared" si="65"/>
        <v>0.29064327485380115</v>
      </c>
      <c r="AC77" s="5">
        <f t="shared" si="65"/>
        <v>0.16198830409356724</v>
      </c>
      <c r="AD77" s="5">
        <f t="shared" si="65"/>
        <v>2.456140350877193E-2</v>
      </c>
      <c r="AE77" s="7">
        <f>232.14+SUMIFS(Table1[ExtraExpenses],Table1[Mon_Yr],Table1[[#This Row],[Mon_Yr]])</f>
        <v>327.14</v>
      </c>
      <c r="AF77" s="7">
        <f>AE77/B77</f>
        <v>19.243529411764705</v>
      </c>
      <c r="AG77" s="8">
        <f t="shared" si="56"/>
        <v>585.94117647621601</v>
      </c>
      <c r="AH77" s="8">
        <f t="shared" si="57"/>
        <v>13.823529417395918</v>
      </c>
      <c r="AI77">
        <f>YEAR(Table1[[#This Row],[Date]])</f>
        <v>2019</v>
      </c>
      <c r="AJ77" s="7">
        <v>95</v>
      </c>
      <c r="AK77">
        <v>12</v>
      </c>
      <c r="AL77" s="8">
        <f>Table1[[#This Row],[Calories]]/Table1[[#This Row],[ClassLength]]</f>
        <v>10.350877192995965</v>
      </c>
      <c r="AM77" s="10" t="str">
        <f>RIGHT(Table1[[#This Row],[Time]],2)</f>
        <v>PM</v>
      </c>
      <c r="AN77" s="10" t="str">
        <f>Table1[[#This Row],[Mon_Yr]]&amp;"-"&amp;WEEKNUM(Table1[[#This Row],[Date]],1)-WEEKNUM(DATE(YEAR(Table1[[#This Row],[Date]]),MONTH(Table1[[#This Row],[Date]]),1),1)+1</f>
        <v>10-2019-5</v>
      </c>
      <c r="AO77">
        <f>MONTH(Table1[[#This Row],[Date]])</f>
        <v>10</v>
      </c>
      <c r="AP77" s="8">
        <f>IFERROR(Table1[[#This Row],[Calories]]/Table1[[#This Row],[Splat]],0)</f>
        <v>58.999999954646995</v>
      </c>
      <c r="AQ77" s="10">
        <f>COUNTIF(Table1[Location],Table1[[#This Row],[Location]])</f>
        <v>35</v>
      </c>
      <c r="AR77" s="10">
        <f>IF(AND(Table1[[#This Row],[Calories]]&gt;=600,Table1[[#This Row],[Splat]]&gt;=12),1,0)</f>
        <v>0</v>
      </c>
      <c r="AS77" s="10">
        <f>IF(AND(Table1[[#This Row],[Calories]]&gt;=500,Table1[[#This Row],[Splat]]&gt;=12),1,0)</f>
        <v>0</v>
      </c>
      <c r="AT77" s="8">
        <f>Table1[[#This Row],[ClassLength]]/Table1[[#This Row],[Calories]]</f>
        <v>9.6610169491399334E-2</v>
      </c>
      <c r="AU7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77" s="10">
        <f>COUNTIF(Table1[Trainer],Table1[[#This Row],[Trainer]])</f>
        <v>1</v>
      </c>
      <c r="AW77" s="10" t="str">
        <f>UPPER(LEFT(TEXT(Table1[Date],"mmmm"),3))&amp;" "&amp;TEXT(Table1[Date],"yyyy")</f>
        <v>OCT 2019</v>
      </c>
      <c r="AX77" s="10">
        <f>VLOOKUP(Table1[[#This Row],[Location]],'Tab for Charts'!$A$93:$B$103,2,FALSE)</f>
        <v>38.881884999999997</v>
      </c>
      <c r="AY77" s="10">
        <f>VLOOKUP(Table1[[#This Row],[Location]],'Tab for Charts'!$A$93:$C$103,3,FALSE)</f>
        <v>-77.229702000000003</v>
      </c>
    </row>
    <row r="78" spans="1:51">
      <c r="A78">
        <f t="shared" si="60"/>
        <v>77</v>
      </c>
      <c r="B78">
        <f t="shared" si="44"/>
        <v>15</v>
      </c>
      <c r="C78" s="1">
        <v>43773</v>
      </c>
      <c r="D78" s="8">
        <f>57+8/60</f>
        <v>57.133333333333333</v>
      </c>
      <c r="E78">
        <f>15+ROW()/100000000000</f>
        <v>15.00000000078</v>
      </c>
      <c r="F78">
        <f>639+ROW()/1000000000000</f>
        <v>639.00000000007799</v>
      </c>
      <c r="G78">
        <v>129</v>
      </c>
      <c r="H78">
        <v>170</v>
      </c>
      <c r="I78">
        <f>10+47/60</f>
        <v>10.783333333333333</v>
      </c>
      <c r="J78">
        <f>14+24/60</f>
        <v>14.4</v>
      </c>
      <c r="K78">
        <f>17+20/60</f>
        <v>17.333333333333332</v>
      </c>
      <c r="L78">
        <f>8+43/60</f>
        <v>8.7166666666666668</v>
      </c>
      <c r="M78">
        <f>5+54/60</f>
        <v>5.9</v>
      </c>
      <c r="N78" t="s">
        <v>21</v>
      </c>
      <c r="O78" t="s">
        <v>7</v>
      </c>
      <c r="P78" t="s">
        <v>158</v>
      </c>
      <c r="Q78" s="34">
        <f t="shared" si="61"/>
        <v>4</v>
      </c>
      <c r="R78" s="10" t="str">
        <f t="shared" si="63"/>
        <v>Correct</v>
      </c>
      <c r="S78" t="str">
        <f t="shared" si="66"/>
        <v>11-2019</v>
      </c>
      <c r="T78" t="str">
        <f t="shared" si="67"/>
        <v>Monday</v>
      </c>
      <c r="U78">
        <f t="shared" si="64"/>
        <v>1</v>
      </c>
      <c r="V78" s="8">
        <f>IFERROR(Table1[[#This Row],[ClassLength]]/Table1[[#This Row],[Splat]],0)</f>
        <v>3.8088888886908268</v>
      </c>
      <c r="W78" s="10">
        <f t="shared" si="68"/>
        <v>1</v>
      </c>
      <c r="X78" s="10">
        <f t="shared" si="69"/>
        <v>0</v>
      </c>
      <c r="Y78" s="10">
        <f t="shared" si="70"/>
        <v>0</v>
      </c>
      <c r="Z78" s="5">
        <f t="shared" ref="Z78:AD79" si="71">IFERROR(I78/$D78,"")</f>
        <v>0.18873978996499416</v>
      </c>
      <c r="AA78" s="5">
        <f t="shared" si="71"/>
        <v>0.25204200700116686</v>
      </c>
      <c r="AB78" s="5">
        <f t="shared" si="71"/>
        <v>0.30338389731621934</v>
      </c>
      <c r="AC78" s="5">
        <f t="shared" si="71"/>
        <v>0.15256709451575262</v>
      </c>
      <c r="AD78" s="5">
        <f t="shared" si="71"/>
        <v>0.10326721120186698</v>
      </c>
      <c r="AE78" s="7">
        <f>232.14+SUMIFS(Table1[ExtraExpenses],Table1[Mon_Yr],Table1[[#This Row],[Mon_Yr]])</f>
        <v>237.14</v>
      </c>
      <c r="AF78" s="7">
        <f t="shared" si="30"/>
        <v>15.809333333333333</v>
      </c>
      <c r="AG78" s="8">
        <f t="shared" si="56"/>
        <v>602.06666667272054</v>
      </c>
      <c r="AH78" s="8">
        <f t="shared" si="57"/>
        <v>15.133333334238683</v>
      </c>
      <c r="AI78">
        <f>YEAR(Table1[[#This Row],[Date]])</f>
        <v>2019</v>
      </c>
      <c r="AK78">
        <v>12</v>
      </c>
      <c r="AL78" s="8">
        <f>Table1[[#This Row],[Calories]]/Table1[[#This Row],[ClassLength]]</f>
        <v>11.184364060678144</v>
      </c>
      <c r="AM78" s="10" t="str">
        <f>RIGHT(Table1[[#This Row],[Time]],2)</f>
        <v>PM</v>
      </c>
      <c r="AN78" s="10" t="str">
        <f>Table1[[#This Row],[Mon_Yr]]&amp;"-"&amp;WEEKNUM(Table1[[#This Row],[Date]],1)-WEEKNUM(DATE(YEAR(Table1[[#This Row],[Date]]),MONTH(Table1[[#This Row],[Date]]),1),1)+1</f>
        <v>11-2019-2</v>
      </c>
      <c r="AO78">
        <f>MONTH(Table1[[#This Row],[Date]])</f>
        <v>11</v>
      </c>
      <c r="AP78" s="8">
        <f>IFERROR(Table1[[#This Row],[Calories]]/Table1[[#This Row],[Splat]],0)</f>
        <v>42.59999999779</v>
      </c>
      <c r="AQ78" s="10">
        <f>COUNTIF(Table1[Location],Table1[[#This Row],[Location]])</f>
        <v>37</v>
      </c>
      <c r="AR78" s="10">
        <f>IF(AND(Table1[[#This Row],[Calories]]&gt;=600,Table1[[#This Row],[Splat]]&gt;=12),1,0)</f>
        <v>1</v>
      </c>
      <c r="AS78" s="10">
        <f>IF(AND(Table1[[#This Row],[Calories]]&gt;=500,Table1[[#This Row],[Splat]]&gt;=12),1,0)</f>
        <v>1</v>
      </c>
      <c r="AT78" s="8">
        <f>Table1[[#This Row],[ClassLength]]/Table1[[#This Row],[Calories]]</f>
        <v>8.9410537297850326E-2</v>
      </c>
      <c r="AU7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78" s="10">
        <f>COUNTIF(Table1[Trainer],Table1[[#This Row],[Trainer]])</f>
        <v>2</v>
      </c>
      <c r="AW78" s="10" t="str">
        <f>UPPER(LEFT(TEXT(Table1[Date],"mmmm"),3))&amp;" "&amp;TEXT(Table1[Date],"yyyy")</f>
        <v>NOV 2019</v>
      </c>
      <c r="AX78" s="10">
        <f>VLOOKUP(Table1[[#This Row],[Location]],'Tab for Charts'!$A$93:$B$103,2,FALSE)</f>
        <v>38.903509999999997</v>
      </c>
      <c r="AY78" s="10">
        <f>VLOOKUP(Table1[[#This Row],[Location]],'Tab for Charts'!$A$93:$C$103,3,FALSE)</f>
        <v>-77.051809000000006</v>
      </c>
    </row>
    <row r="79" spans="1:51">
      <c r="A79">
        <f t="shared" si="60"/>
        <v>78</v>
      </c>
      <c r="B79">
        <f t="shared" si="44"/>
        <v>15</v>
      </c>
      <c r="C79" s="1">
        <v>43775</v>
      </c>
      <c r="D79" s="8">
        <f>58+39/60</f>
        <v>58.65</v>
      </c>
      <c r="E79">
        <f>15+ROW()/10000000000000</f>
        <v>15.000000000007899</v>
      </c>
      <c r="F79">
        <f>646+ROW()/10000000000000</f>
        <v>646.00000000000784</v>
      </c>
      <c r="G79">
        <v>127</v>
      </c>
      <c r="H79">
        <v>166</v>
      </c>
      <c r="I79">
        <f>13+58/60</f>
        <v>13.966666666666667</v>
      </c>
      <c r="J79">
        <f>11+4/60</f>
        <v>11.066666666666666</v>
      </c>
      <c r="K79">
        <f>18+31/60</f>
        <v>18.516666666666666</v>
      </c>
      <c r="L79">
        <f>13+19/60</f>
        <v>13.316666666666666</v>
      </c>
      <c r="M79">
        <f>1+47/60</f>
        <v>1.7833333333333332</v>
      </c>
      <c r="N79" t="s">
        <v>21</v>
      </c>
      <c r="O79" t="s">
        <v>7</v>
      </c>
      <c r="P79" t="s">
        <v>160</v>
      </c>
      <c r="Q79" s="34">
        <f t="shared" si="61"/>
        <v>2</v>
      </c>
      <c r="R79" s="10" t="str">
        <f t="shared" si="63"/>
        <v>Correct</v>
      </c>
      <c r="S79" t="str">
        <f t="shared" si="66"/>
        <v>11-2019</v>
      </c>
      <c r="T79" t="str">
        <f t="shared" si="67"/>
        <v>Wednesday</v>
      </c>
      <c r="U79">
        <f t="shared" si="64"/>
        <v>1</v>
      </c>
      <c r="V79" s="8">
        <f>IFERROR(Table1[[#This Row],[ClassLength]]/Table1[[#This Row],[Splat]],0)</f>
        <v>3.9099999999979409</v>
      </c>
      <c r="W79" s="10">
        <f t="shared" si="68"/>
        <v>1</v>
      </c>
      <c r="X79" s="10">
        <f t="shared" si="69"/>
        <v>0</v>
      </c>
      <c r="Y79" s="10">
        <f t="shared" si="70"/>
        <v>0</v>
      </c>
      <c r="Z79" s="5">
        <f t="shared" si="71"/>
        <v>0.23813583404376243</v>
      </c>
      <c r="AA79" s="5">
        <f t="shared" si="71"/>
        <v>0.18868996874111962</v>
      </c>
      <c r="AB79" s="5">
        <f t="shared" si="71"/>
        <v>0.31571469167377098</v>
      </c>
      <c r="AC79" s="5">
        <f t="shared" si="71"/>
        <v>0.22705314009661837</v>
      </c>
      <c r="AD79" s="5">
        <f t="shared" si="71"/>
        <v>3.0406365444728616E-2</v>
      </c>
      <c r="AE79" s="7">
        <f>232.14+SUMIFS(Table1[ExtraExpenses],Table1[Mon_Yr],Table1[[#This Row],[Mon_Yr]])</f>
        <v>237.14</v>
      </c>
      <c r="AF79" s="7">
        <f>AE79/B79</f>
        <v>15.809333333333333</v>
      </c>
      <c r="AG79" s="8">
        <f t="shared" si="56"/>
        <v>602.06666667272054</v>
      </c>
      <c r="AH79" s="8">
        <f t="shared" si="57"/>
        <v>15.133333334238683</v>
      </c>
      <c r="AI79">
        <f>YEAR(Table1[[#This Row],[Date]])</f>
        <v>2019</v>
      </c>
      <c r="AK79">
        <v>12</v>
      </c>
      <c r="AL79" s="8">
        <f>Table1[[#This Row],[Calories]]/Table1[[#This Row],[ClassLength]]</f>
        <v>11.014492753623323</v>
      </c>
      <c r="AM79" s="10" t="str">
        <f>RIGHT(Table1[[#This Row],[Time]],2)</f>
        <v>PM</v>
      </c>
      <c r="AN79" s="10" t="str">
        <f>Table1[[#This Row],[Mon_Yr]]&amp;"-"&amp;WEEKNUM(Table1[[#This Row],[Date]],1)-WEEKNUM(DATE(YEAR(Table1[[#This Row],[Date]]),MONTH(Table1[[#This Row],[Date]]),1),1)+1</f>
        <v>11-2019-2</v>
      </c>
      <c r="AO79">
        <f>MONTH(Table1[[#This Row],[Date]])</f>
        <v>11</v>
      </c>
      <c r="AP79" s="8">
        <f>IFERROR(Table1[[#This Row],[Calories]]/Table1[[#This Row],[Splat]],0)</f>
        <v>43.066666666644508</v>
      </c>
      <c r="AQ79" s="10">
        <f>COUNTIF(Table1[Location],Table1[[#This Row],[Location]])</f>
        <v>37</v>
      </c>
      <c r="AR79" s="10">
        <f>IF(AND(Table1[[#This Row],[Calories]]&gt;=600,Table1[[#This Row],[Splat]]&gt;=12),1,0)</f>
        <v>1</v>
      </c>
      <c r="AS79" s="10">
        <f>IF(AND(Table1[[#This Row],[Calories]]&gt;=500,Table1[[#This Row],[Splat]]&gt;=12),1,0)</f>
        <v>1</v>
      </c>
      <c r="AT79" s="8">
        <f>Table1[[#This Row],[ClassLength]]/Table1[[#This Row],[Calories]]</f>
        <v>9.0789473684209421E-2</v>
      </c>
      <c r="AU7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79" s="10">
        <f>COUNTIF(Table1[Trainer],Table1[[#This Row],[Trainer]])</f>
        <v>2</v>
      </c>
      <c r="AW79" s="10" t="str">
        <f>UPPER(LEFT(TEXT(Table1[Date],"mmmm"),3))&amp;" "&amp;TEXT(Table1[Date],"yyyy")</f>
        <v>NOV 2019</v>
      </c>
      <c r="AX79" s="10">
        <f>VLOOKUP(Table1[[#This Row],[Location]],'Tab for Charts'!$A$93:$B$103,2,FALSE)</f>
        <v>38.903509999999997</v>
      </c>
      <c r="AY79" s="10">
        <f>VLOOKUP(Table1[[#This Row],[Location]],'Tab for Charts'!$A$93:$C$103,3,FALSE)</f>
        <v>-77.051809000000006</v>
      </c>
    </row>
    <row r="80" spans="1:51">
      <c r="A80">
        <f t="shared" si="60"/>
        <v>79</v>
      </c>
      <c r="B80">
        <f t="shared" si="44"/>
        <v>15</v>
      </c>
      <c r="C80" s="1">
        <v>43777</v>
      </c>
      <c r="D80" s="8">
        <f>SUM(Table1[[#This Row],[GrayMin]:[RedMin]])</f>
        <v>48.666666666666671</v>
      </c>
      <c r="E80">
        <f>22+ROW()/1000000000000</f>
        <v>22.00000000008</v>
      </c>
      <c r="F80">
        <f>584+ROW()/1000000000</f>
        <v>584.00000007999995</v>
      </c>
      <c r="G80">
        <v>134</v>
      </c>
      <c r="H80">
        <v>176</v>
      </c>
      <c r="I80">
        <f>10+10/60</f>
        <v>10.166666666666666</v>
      </c>
      <c r="J80">
        <f>8+16/60</f>
        <v>8.2666666666666675</v>
      </c>
      <c r="K80">
        <f>7+37/60</f>
        <v>7.6166666666666671</v>
      </c>
      <c r="L80">
        <f>15+10/60</f>
        <v>15.166666666666666</v>
      </c>
      <c r="M80">
        <f>7+27/60</f>
        <v>7.45</v>
      </c>
      <c r="N80" t="s">
        <v>49</v>
      </c>
      <c r="O80" t="s">
        <v>20</v>
      </c>
      <c r="P80" t="s">
        <v>50</v>
      </c>
      <c r="Q80" s="34">
        <f t="shared" si="61"/>
        <v>2</v>
      </c>
      <c r="R80" s="10" t="str">
        <f t="shared" si="63"/>
        <v>Loss</v>
      </c>
      <c r="S80" t="str">
        <f t="shared" si="66"/>
        <v>11-2019</v>
      </c>
      <c r="T80" t="str">
        <f t="shared" si="67"/>
        <v>Friday</v>
      </c>
      <c r="U80">
        <f t="shared" si="64"/>
        <v>1</v>
      </c>
      <c r="V80" s="8">
        <f>IFERROR(Table1[[#This Row],[ClassLength]]/Table1[[#This Row],[Splat]],0)</f>
        <v>2.2121212121131681</v>
      </c>
      <c r="W80" s="10">
        <f t="shared" si="68"/>
        <v>0</v>
      </c>
      <c r="X80" s="10">
        <f t="shared" si="69"/>
        <v>0</v>
      </c>
      <c r="Y80" s="10">
        <f t="shared" si="70"/>
        <v>1</v>
      </c>
      <c r="Z80" s="5">
        <f t="shared" ref="Z80:AD81" si="72">IFERROR(I80/$D80,"")</f>
        <v>0.20890410958904107</v>
      </c>
      <c r="AA80" s="5">
        <f t="shared" si="72"/>
        <v>0.16986301369863013</v>
      </c>
      <c r="AB80" s="5">
        <f t="shared" si="72"/>
        <v>0.15650684931506847</v>
      </c>
      <c r="AC80" s="5">
        <f t="shared" si="72"/>
        <v>0.31164383561643832</v>
      </c>
      <c r="AD80" s="5">
        <f t="shared" si="72"/>
        <v>0.15308219178082191</v>
      </c>
      <c r="AE80" s="7">
        <f>232.14+SUMIFS(Table1[ExtraExpenses],Table1[Mon_Yr],Table1[[#This Row],[Mon_Yr]])</f>
        <v>237.14</v>
      </c>
      <c r="AF80" s="7">
        <f t="shared" ref="AF80:AF85" si="73">AE80/B80</f>
        <v>15.809333333333333</v>
      </c>
      <c r="AG80" s="8">
        <f t="shared" si="56"/>
        <v>602.06666667272054</v>
      </c>
      <c r="AH80" s="8">
        <f t="shared" si="57"/>
        <v>15.133333334238683</v>
      </c>
      <c r="AI80">
        <f>YEAR(Table1[[#This Row],[Date]])</f>
        <v>2019</v>
      </c>
      <c r="AK80">
        <v>12</v>
      </c>
      <c r="AL80" s="8">
        <f>Table1[[#This Row],[Calories]]/Table1[[#This Row],[ClassLength]]</f>
        <v>12.000000001643834</v>
      </c>
      <c r="AM80" s="10" t="str">
        <f>RIGHT(Table1[[#This Row],[Time]],2)</f>
        <v>PM</v>
      </c>
      <c r="AN80" s="10" t="str">
        <f>Table1[[#This Row],[Mon_Yr]]&amp;"-"&amp;WEEKNUM(Table1[[#This Row],[Date]],1)-WEEKNUM(DATE(YEAR(Table1[[#This Row],[Date]]),MONTH(Table1[[#This Row],[Date]]),1),1)+1</f>
        <v>11-2019-2</v>
      </c>
      <c r="AO80">
        <f>MONTH(Table1[[#This Row],[Date]])</f>
        <v>11</v>
      </c>
      <c r="AP80" s="8">
        <f>IFERROR(Table1[[#This Row],[Calories]]/Table1[[#This Row],[Splat]],0)</f>
        <v>26.545454548994378</v>
      </c>
      <c r="AQ80" s="10">
        <f>COUNTIF(Table1[Location],Table1[[#This Row],[Location]])</f>
        <v>10</v>
      </c>
      <c r="AR80" s="10">
        <f>IF(AND(Table1[[#This Row],[Calories]]&gt;=600,Table1[[#This Row],[Splat]]&gt;=12),1,0)</f>
        <v>0</v>
      </c>
      <c r="AS80" s="10">
        <f>IF(AND(Table1[[#This Row],[Calories]]&gt;=500,Table1[[#This Row],[Splat]]&gt;=12),1,0)</f>
        <v>1</v>
      </c>
      <c r="AT80" s="8">
        <f>Table1[[#This Row],[ClassLength]]/Table1[[#This Row],[Calories]]</f>
        <v>8.3333333321917821E-2</v>
      </c>
      <c r="AU8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80" s="10">
        <f>COUNTIF(Table1[Trainer],Table1[[#This Row],[Trainer]])</f>
        <v>9</v>
      </c>
      <c r="AW80" s="10" t="str">
        <f>UPPER(LEFT(TEXT(Table1[Date],"mmmm"),3))&amp;" "&amp;TEXT(Table1[Date],"yyyy")</f>
        <v>NOV 2019</v>
      </c>
      <c r="AX80" s="10">
        <f>VLOOKUP(Table1[[#This Row],[Location]],'Tab for Charts'!$A$93:$B$103,2,FALSE)</f>
        <v>38.879828000000003</v>
      </c>
      <c r="AY80" s="10">
        <f>VLOOKUP(Table1[[#This Row],[Location]],'Tab for Charts'!$A$93:$C$103,3,FALSE)</f>
        <v>-77.005566000000002</v>
      </c>
    </row>
    <row r="81" spans="1:51">
      <c r="A81">
        <f t="shared" si="60"/>
        <v>80</v>
      </c>
      <c r="B81">
        <f t="shared" si="44"/>
        <v>15</v>
      </c>
      <c r="C81" s="1">
        <v>43779</v>
      </c>
      <c r="D81" s="8">
        <f>55+43/60</f>
        <v>55.716666666666669</v>
      </c>
      <c r="E81">
        <f>17+ROW()/10000000000000</f>
        <v>17.0000000000081</v>
      </c>
      <c r="F81">
        <f>566+ROW()/100000000000000</f>
        <v>566.0000000000008</v>
      </c>
      <c r="G81">
        <v>122</v>
      </c>
      <c r="H81">
        <v>173</v>
      </c>
      <c r="I81">
        <f>22+12/60</f>
        <v>22.2</v>
      </c>
      <c r="J81">
        <f>8+23/60</f>
        <v>8.3833333333333329</v>
      </c>
      <c r="K81">
        <f>8+21/60</f>
        <v>8.35</v>
      </c>
      <c r="L81">
        <f>12+15/60</f>
        <v>12.25</v>
      </c>
      <c r="M81">
        <f>4+32/60</f>
        <v>4.5333333333333332</v>
      </c>
      <c r="N81" t="s">
        <v>15</v>
      </c>
      <c r="O81" t="s">
        <v>18</v>
      </c>
      <c r="P81" t="s">
        <v>111</v>
      </c>
      <c r="Q81" s="34">
        <f t="shared" si="61"/>
        <v>2</v>
      </c>
      <c r="R81" s="10" t="str">
        <f t="shared" ref="R81:R86" si="74">IF(ROUND(E81,1)-ROUND(L81+M81,0)=0,"Correct",IF(ROUND(E81,1)-ROUND(L81+M81,0)=1,"Gain","Loss"))</f>
        <v>Correct</v>
      </c>
      <c r="S81" t="str">
        <f t="shared" si="66"/>
        <v>11-2019</v>
      </c>
      <c r="T81" t="str">
        <f t="shared" si="67"/>
        <v>Sunday</v>
      </c>
      <c r="U81">
        <f t="shared" ref="U81:U86" si="75">IF(E81&gt;=12,1,0)</f>
        <v>1</v>
      </c>
      <c r="V81" s="8">
        <f>IFERROR(Table1[[#This Row],[ClassLength]]/Table1[[#This Row],[Splat]],0)</f>
        <v>3.2774509803905953</v>
      </c>
      <c r="W81" s="10">
        <f t="shared" si="68"/>
        <v>1</v>
      </c>
      <c r="X81" s="10">
        <f t="shared" si="69"/>
        <v>0</v>
      </c>
      <c r="Y81" s="10">
        <f t="shared" si="70"/>
        <v>0</v>
      </c>
      <c r="Z81" s="5">
        <f t="shared" si="72"/>
        <v>0.39844451091833677</v>
      </c>
      <c r="AA81" s="5">
        <f t="shared" si="72"/>
        <v>0.15046365539934189</v>
      </c>
      <c r="AB81" s="5">
        <f t="shared" si="72"/>
        <v>0.14986539036793298</v>
      </c>
      <c r="AC81" s="5">
        <f t="shared" si="72"/>
        <v>0.21986239904277594</v>
      </c>
      <c r="AD81" s="5">
        <f t="shared" si="72"/>
        <v>8.1364044271612312E-2</v>
      </c>
      <c r="AE81" s="7">
        <f>232.14+SUMIFS(Table1[ExtraExpenses],Table1[Mon_Yr],Table1[[#This Row],[Mon_Yr]])</f>
        <v>237.14</v>
      </c>
      <c r="AF81" s="7">
        <f t="shared" si="73"/>
        <v>15.809333333333333</v>
      </c>
      <c r="AG81" s="8">
        <f t="shared" si="56"/>
        <v>602.06666667272054</v>
      </c>
      <c r="AH81" s="8">
        <f t="shared" si="57"/>
        <v>15.133333334238683</v>
      </c>
      <c r="AI81">
        <f>YEAR(Table1[[#This Row],[Date]])</f>
        <v>2019</v>
      </c>
      <c r="AK81">
        <v>12</v>
      </c>
      <c r="AL81" s="8">
        <f>Table1[[#This Row],[Calories]]/Table1[[#This Row],[ClassLength]]</f>
        <v>10.158540233323377</v>
      </c>
      <c r="AM81" s="10" t="str">
        <f>RIGHT(Table1[[#This Row],[Time]],2)</f>
        <v>PM</v>
      </c>
      <c r="AN81" s="10" t="str">
        <f>Table1[[#This Row],[Mon_Yr]]&amp;"-"&amp;WEEKNUM(Table1[[#This Row],[Date]],1)-WEEKNUM(DATE(YEAR(Table1[[#This Row],[Date]]),MONTH(Table1[[#This Row],[Date]]),1),1)+1</f>
        <v>11-2019-3</v>
      </c>
      <c r="AO81">
        <f>MONTH(Table1[[#This Row],[Date]])</f>
        <v>11</v>
      </c>
      <c r="AP81" s="8">
        <f>IFERROR(Table1[[#This Row],[Calories]]/Table1[[#This Row],[Splat]],0)</f>
        <v>33.294117647043009</v>
      </c>
      <c r="AQ81" s="10">
        <f>COUNTIF(Table1[Location],Table1[[#This Row],[Location]])</f>
        <v>48</v>
      </c>
      <c r="AR81" s="10">
        <f>IF(AND(Table1[[#This Row],[Calories]]&gt;=600,Table1[[#This Row],[Splat]]&gt;=12),1,0)</f>
        <v>0</v>
      </c>
      <c r="AS81" s="10">
        <f>IF(AND(Table1[[#This Row],[Calories]]&gt;=500,Table1[[#This Row],[Splat]]&gt;=12),1,0)</f>
        <v>1</v>
      </c>
      <c r="AT81" s="8">
        <f>Table1[[#This Row],[ClassLength]]/Table1[[#This Row],[Calories]]</f>
        <v>9.8439340400471004E-2</v>
      </c>
      <c r="AU8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81" s="10">
        <f>COUNTIF(Table1[Trainer],Table1[[#This Row],[Trainer]])</f>
        <v>5</v>
      </c>
      <c r="AW81" s="10" t="str">
        <f>UPPER(LEFT(TEXT(Table1[Date],"mmmm"),3))&amp;" "&amp;TEXT(Table1[Date],"yyyy")</f>
        <v>NOV 2019</v>
      </c>
      <c r="AX81" s="10">
        <f>VLOOKUP(Table1[[#This Row],[Location]],'Tab for Charts'!$A$93:$B$103,2,FALSE)</f>
        <v>38.916486999999996</v>
      </c>
      <c r="AY81" s="10">
        <f>VLOOKUP(Table1[[#This Row],[Location]],'Tab for Charts'!$A$93:$C$103,3,FALSE)</f>
        <v>-77.031514000000001</v>
      </c>
    </row>
    <row r="82" spans="1:51">
      <c r="A82">
        <f t="shared" si="60"/>
        <v>81</v>
      </c>
      <c r="B82">
        <f t="shared" si="44"/>
        <v>15</v>
      </c>
      <c r="C82" s="1">
        <v>43780</v>
      </c>
      <c r="D82" s="8">
        <f>53+9/60</f>
        <v>53.15</v>
      </c>
      <c r="E82">
        <f>18+ROW()/1000000000000</f>
        <v>18.000000000082</v>
      </c>
      <c r="F82">
        <f>569+ROW()/100000000000000</f>
        <v>569.0000000000008</v>
      </c>
      <c r="G82">
        <v>125</v>
      </c>
      <c r="H82">
        <v>167</v>
      </c>
      <c r="I82">
        <f>16+28/60</f>
        <v>16.466666666666665</v>
      </c>
      <c r="J82">
        <f>10+14/60</f>
        <v>10.233333333333333</v>
      </c>
      <c r="K82">
        <f>8+44/60</f>
        <v>8.7333333333333325</v>
      </c>
      <c r="L82">
        <f>15</f>
        <v>15</v>
      </c>
      <c r="M82">
        <f>2+43/60</f>
        <v>2.7166666666666668</v>
      </c>
      <c r="N82" t="s">
        <v>15</v>
      </c>
      <c r="O82" t="s">
        <v>161</v>
      </c>
      <c r="P82" t="s">
        <v>17</v>
      </c>
      <c r="Q82" s="34">
        <f t="shared" si="61"/>
        <v>1</v>
      </c>
      <c r="R82" s="10" t="str">
        <f t="shared" si="74"/>
        <v>Correct</v>
      </c>
      <c r="S82" t="str">
        <f t="shared" ref="S82:S90" si="76">MONTH(C82)&amp;"-"&amp;YEAR(C82)</f>
        <v>11-2019</v>
      </c>
      <c r="T82" t="str">
        <f t="shared" ref="T82:T90" si="77">IF(WEEKDAY(C82)=1,"Sunday",IF(WEEKDAY(C82)=2,"Monday",IF(WEEKDAY(C82)=3,"Tuesday",IF(WEEKDAY(C82)=4,"Wednesday",IF(WEEKDAY(C82)=5,"Thursday",IF(WEEKDAY(C82)=6,"Friday","Saturday"))))))</f>
        <v>Monday</v>
      </c>
      <c r="U82">
        <f t="shared" si="75"/>
        <v>1</v>
      </c>
      <c r="V82" s="8">
        <f>IFERROR(Table1[[#This Row],[ClassLength]]/Table1[[#This Row],[Splat]],0)</f>
        <v>2.952777777764326</v>
      </c>
      <c r="W82" s="10">
        <f t="shared" ref="W82:W90" si="78">IF(ROUND($E82,1)-ROUND($L82+$M82,0)=0,1,0)</f>
        <v>1</v>
      </c>
      <c r="X82" s="10">
        <f t="shared" ref="X82:X90" si="79">IF(ROUND($E82,1)-ROUND($L82+$M82,0)=1,1,0)</f>
        <v>0</v>
      </c>
      <c r="Y82" s="10">
        <f t="shared" ref="Y82:Y90" si="80">IF(ROUND($E82,1)-ROUND($L82+$M82,0)=-1,1,0)</f>
        <v>0</v>
      </c>
      <c r="Z82" s="5">
        <f t="shared" ref="Z82:AD84" si="81">IFERROR(I82/$D82,"")</f>
        <v>0.30981498902477261</v>
      </c>
      <c r="AA82" s="5">
        <f t="shared" si="81"/>
        <v>0.1925368454060834</v>
      </c>
      <c r="AB82" s="5">
        <f t="shared" si="81"/>
        <v>0.16431483223581059</v>
      </c>
      <c r="AC82" s="5">
        <f t="shared" si="81"/>
        <v>0.28222013170272814</v>
      </c>
      <c r="AD82" s="5">
        <f t="shared" si="81"/>
        <v>5.1113201630605211E-2</v>
      </c>
      <c r="AE82" s="7">
        <f>232.14+SUMIFS(Table1[ExtraExpenses],Table1[Mon_Yr],Table1[[#This Row],[Mon_Yr]])</f>
        <v>237.14</v>
      </c>
      <c r="AF82" s="7">
        <f t="shared" si="73"/>
        <v>15.809333333333333</v>
      </c>
      <c r="AG82" s="8">
        <f t="shared" si="56"/>
        <v>602.06666667272054</v>
      </c>
      <c r="AH82" s="8">
        <f t="shared" si="57"/>
        <v>15.133333334238683</v>
      </c>
      <c r="AI82">
        <f>YEAR(Table1[[#This Row],[Date]])</f>
        <v>2019</v>
      </c>
      <c r="AK82">
        <v>12</v>
      </c>
      <c r="AL82" s="8">
        <f>Table1[[#This Row],[Calories]]/Table1[[#This Row],[ClassLength]]</f>
        <v>10.705550329256836</v>
      </c>
      <c r="AM82" s="10" t="str">
        <f>RIGHT(Table1[[#This Row],[Time]],2)</f>
        <v>AM</v>
      </c>
      <c r="AN82" s="10" t="str">
        <f>Table1[[#This Row],[Mon_Yr]]&amp;"-"&amp;WEEKNUM(Table1[[#This Row],[Date]],1)-WEEKNUM(DATE(YEAR(Table1[[#This Row],[Date]]),MONTH(Table1[[#This Row],[Date]]),1),1)+1</f>
        <v>11-2019-3</v>
      </c>
      <c r="AO82">
        <f>MONTH(Table1[[#This Row],[Date]])</f>
        <v>11</v>
      </c>
      <c r="AP82" s="8">
        <f>IFERROR(Table1[[#This Row],[Calories]]/Table1[[#This Row],[Splat]],0)</f>
        <v>31.611111110967148</v>
      </c>
      <c r="AQ82" s="10">
        <f>COUNTIF(Table1[Location],Table1[[#This Row],[Location]])</f>
        <v>48</v>
      </c>
      <c r="AR82" s="10">
        <f>IF(AND(Table1[[#This Row],[Calories]]&gt;=600,Table1[[#This Row],[Splat]]&gt;=12),1,0)</f>
        <v>0</v>
      </c>
      <c r="AS82" s="10">
        <f>IF(AND(Table1[[#This Row],[Calories]]&gt;=500,Table1[[#This Row],[Splat]]&gt;=12),1,0)</f>
        <v>1</v>
      </c>
      <c r="AT82" s="8">
        <f>Table1[[#This Row],[ClassLength]]/Table1[[#This Row],[Calories]]</f>
        <v>9.3409490333919029E-2</v>
      </c>
      <c r="AU8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82" s="10">
        <f>COUNTIF(Table1[Trainer],Table1[[#This Row],[Trainer]])</f>
        <v>29</v>
      </c>
      <c r="AW82" s="10" t="str">
        <f>UPPER(LEFT(TEXT(Table1[Date],"mmmm"),3))&amp;" "&amp;TEXT(Table1[Date],"yyyy")</f>
        <v>NOV 2019</v>
      </c>
      <c r="AX82" s="10">
        <f>VLOOKUP(Table1[[#This Row],[Location]],'Tab for Charts'!$A$93:$B$103,2,FALSE)</f>
        <v>38.916486999999996</v>
      </c>
      <c r="AY82" s="10">
        <f>VLOOKUP(Table1[[#This Row],[Location]],'Tab for Charts'!$A$93:$C$103,3,FALSE)</f>
        <v>-77.031514000000001</v>
      </c>
    </row>
    <row r="83" spans="1:51">
      <c r="A83">
        <f t="shared" si="60"/>
        <v>82</v>
      </c>
      <c r="B83">
        <f t="shared" si="44"/>
        <v>15</v>
      </c>
      <c r="C83" s="1">
        <v>43782</v>
      </c>
      <c r="D83" s="8">
        <f>56+13/60</f>
        <v>56.216666666666669</v>
      </c>
      <c r="E83">
        <f>10+ROW()/1000000000000</f>
        <v>10.000000000083</v>
      </c>
      <c r="F83">
        <f>626+ROW()/10000000000000</f>
        <v>626.0000000000083</v>
      </c>
      <c r="G83">
        <v>128</v>
      </c>
      <c r="H83">
        <v>170</v>
      </c>
      <c r="I83">
        <f>9+55/60</f>
        <v>9.9166666666666661</v>
      </c>
      <c r="J83">
        <f>12+48/60</f>
        <v>12.8</v>
      </c>
      <c r="K83">
        <f>23</f>
        <v>23</v>
      </c>
      <c r="L83">
        <f>7+9/60</f>
        <v>7.15</v>
      </c>
      <c r="M83">
        <f>3+21/60</f>
        <v>3.35</v>
      </c>
      <c r="N83" t="s">
        <v>15</v>
      </c>
      <c r="O83" t="s">
        <v>20</v>
      </c>
      <c r="P83" t="s">
        <v>19</v>
      </c>
      <c r="Q83" s="34">
        <f t="shared" si="61"/>
        <v>2</v>
      </c>
      <c r="R83" s="10" t="str">
        <f t="shared" si="74"/>
        <v>Loss</v>
      </c>
      <c r="S83" t="str">
        <f t="shared" si="76"/>
        <v>11-2019</v>
      </c>
      <c r="T83" t="str">
        <f t="shared" si="77"/>
        <v>Wednesday</v>
      </c>
      <c r="U83">
        <f t="shared" si="75"/>
        <v>0</v>
      </c>
      <c r="V83" s="8">
        <f>IFERROR(Table1[[#This Row],[ClassLength]]/Table1[[#This Row],[Splat]],0)</f>
        <v>5.6216666666200066</v>
      </c>
      <c r="W83" s="10">
        <f t="shared" si="78"/>
        <v>0</v>
      </c>
      <c r="X83" s="10">
        <f t="shared" si="79"/>
        <v>0</v>
      </c>
      <c r="Y83" s="10">
        <f t="shared" si="80"/>
        <v>1</v>
      </c>
      <c r="Z83" s="5">
        <f t="shared" si="81"/>
        <v>0.1764008301215535</v>
      </c>
      <c r="AA83" s="5">
        <f t="shared" si="81"/>
        <v>0.22769048324933294</v>
      </c>
      <c r="AB83" s="5">
        <f t="shared" si="81"/>
        <v>0.40913133708864513</v>
      </c>
      <c r="AC83" s="5">
        <f t="shared" si="81"/>
        <v>0.12718648087755707</v>
      </c>
      <c r="AD83" s="5">
        <f t="shared" si="81"/>
        <v>5.9590868662911356E-2</v>
      </c>
      <c r="AE83" s="7">
        <f>232.14+SUMIFS(Table1[ExtraExpenses],Table1[Mon_Yr],Table1[[#This Row],[Mon_Yr]])</f>
        <v>237.14</v>
      </c>
      <c r="AF83" s="7">
        <f t="shared" si="73"/>
        <v>15.809333333333333</v>
      </c>
      <c r="AG83" s="8">
        <f t="shared" si="56"/>
        <v>602.06666667272054</v>
      </c>
      <c r="AH83" s="8">
        <f t="shared" si="57"/>
        <v>15.133333334238683</v>
      </c>
      <c r="AI83">
        <f>YEAR(Table1[[#This Row],[Date]])</f>
        <v>2019</v>
      </c>
      <c r="AK83">
        <v>12</v>
      </c>
      <c r="AL83" s="8">
        <f>Table1[[#This Row],[Calories]]/Table1[[#This Row],[ClassLength]]</f>
        <v>11.135487696412836</v>
      </c>
      <c r="AM83" s="10" t="str">
        <f>RIGHT(Table1[[#This Row],[Time]],2)</f>
        <v>PM</v>
      </c>
      <c r="AN83" s="10" t="str">
        <f>Table1[[#This Row],[Mon_Yr]]&amp;"-"&amp;WEEKNUM(Table1[[#This Row],[Date]],1)-WEEKNUM(DATE(YEAR(Table1[[#This Row],[Date]]),MONTH(Table1[[#This Row],[Date]]),1),1)+1</f>
        <v>11-2019-3</v>
      </c>
      <c r="AO83">
        <f>MONTH(Table1[[#This Row],[Date]])</f>
        <v>11</v>
      </c>
      <c r="AP83" s="8">
        <f>IFERROR(Table1[[#This Row],[Calories]]/Table1[[#This Row],[Splat]],0)</f>
        <v>62.599999999481248</v>
      </c>
      <c r="AQ83" s="10">
        <f>COUNTIF(Table1[Location],Table1[[#This Row],[Location]])</f>
        <v>48</v>
      </c>
      <c r="AR83" s="10">
        <f>IF(AND(Table1[[#This Row],[Calories]]&gt;=600,Table1[[#This Row],[Splat]]&gt;=12),1,0)</f>
        <v>0</v>
      </c>
      <c r="AS83" s="10">
        <f>IF(AND(Table1[[#This Row],[Calories]]&gt;=500,Table1[[#This Row],[Splat]]&gt;=12),1,0)</f>
        <v>0</v>
      </c>
      <c r="AT83" s="8">
        <f>Table1[[#This Row],[ClassLength]]/Table1[[#This Row],[Calories]]</f>
        <v>8.9802981895632461E-2</v>
      </c>
      <c r="AU8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83" s="10">
        <f>COUNTIF(Table1[Trainer],Table1[[#This Row],[Trainer]])</f>
        <v>12</v>
      </c>
      <c r="AW83" s="10" t="str">
        <f>UPPER(LEFT(TEXT(Table1[Date],"mmmm"),3))&amp;" "&amp;TEXT(Table1[Date],"yyyy")</f>
        <v>NOV 2019</v>
      </c>
      <c r="AX83" s="10">
        <f>VLOOKUP(Table1[[#This Row],[Location]],'Tab for Charts'!$A$93:$B$103,2,FALSE)</f>
        <v>38.916486999999996</v>
      </c>
      <c r="AY83" s="10">
        <f>VLOOKUP(Table1[[#This Row],[Location]],'Tab for Charts'!$A$93:$C$103,3,FALSE)</f>
        <v>-77.031514000000001</v>
      </c>
    </row>
    <row r="84" spans="1:51">
      <c r="A84">
        <f t="shared" si="60"/>
        <v>83</v>
      </c>
      <c r="B84">
        <f t="shared" si="44"/>
        <v>15</v>
      </c>
      <c r="C84" s="1">
        <v>43784</v>
      </c>
      <c r="D84" s="8">
        <f>54+53/60</f>
        <v>54.883333333333333</v>
      </c>
      <c r="E84">
        <f>16+ROW()/10000000000000</f>
        <v>16.000000000008399</v>
      </c>
      <c r="F84">
        <f>544+ROW()/1000000000000000</f>
        <v>544.00000000000011</v>
      </c>
      <c r="G84">
        <v>120</v>
      </c>
      <c r="H84">
        <v>174</v>
      </c>
      <c r="I84">
        <f>22</f>
        <v>22</v>
      </c>
      <c r="J84">
        <f>8+46/60</f>
        <v>8.7666666666666675</v>
      </c>
      <c r="K84">
        <f>8+20/60</f>
        <v>8.3333333333333339</v>
      </c>
      <c r="L84">
        <f>9+3/60</f>
        <v>9.0500000000000007</v>
      </c>
      <c r="M84">
        <f>6+44/60</f>
        <v>6.7333333333333334</v>
      </c>
      <c r="N84" t="s">
        <v>49</v>
      </c>
      <c r="O84" t="s">
        <v>20</v>
      </c>
      <c r="P84" t="s">
        <v>50</v>
      </c>
      <c r="Q84" s="34">
        <f t="shared" si="61"/>
        <v>2</v>
      </c>
      <c r="R84" s="10" t="str">
        <f t="shared" si="74"/>
        <v>Correct</v>
      </c>
      <c r="S84" t="str">
        <f t="shared" si="76"/>
        <v>11-2019</v>
      </c>
      <c r="T84" t="str">
        <f t="shared" si="77"/>
        <v>Friday</v>
      </c>
      <c r="U84">
        <f t="shared" si="75"/>
        <v>1</v>
      </c>
      <c r="V84" s="8">
        <f>IFERROR(Table1[[#This Row],[ClassLength]]/Table1[[#This Row],[Splat]],0)</f>
        <v>3.4302083333315325</v>
      </c>
      <c r="W84" s="10">
        <f t="shared" si="78"/>
        <v>1</v>
      </c>
      <c r="X84" s="10">
        <f t="shared" si="79"/>
        <v>0</v>
      </c>
      <c r="Y84" s="10">
        <f t="shared" si="80"/>
        <v>0</v>
      </c>
      <c r="Z84" s="5">
        <f t="shared" si="81"/>
        <v>0.40085028849073795</v>
      </c>
      <c r="AA84" s="5">
        <f t="shared" si="81"/>
        <v>0.15973276647433954</v>
      </c>
      <c r="AB84" s="5">
        <f t="shared" si="81"/>
        <v>0.1518372304889159</v>
      </c>
      <c r="AC84" s="5">
        <f t="shared" si="81"/>
        <v>0.16489523231096267</v>
      </c>
      <c r="AD84" s="5">
        <f t="shared" si="81"/>
        <v>0.12268448223504404</v>
      </c>
      <c r="AE84" s="7">
        <f>232.14+SUMIFS(Table1[ExtraExpenses],Table1[Mon_Yr],Table1[[#This Row],[Mon_Yr]])</f>
        <v>237.14</v>
      </c>
      <c r="AF84" s="7">
        <f t="shared" si="73"/>
        <v>15.809333333333333</v>
      </c>
      <c r="AG84" s="8">
        <f t="shared" si="56"/>
        <v>602.06666667272054</v>
      </c>
      <c r="AH84" s="8">
        <f t="shared" si="57"/>
        <v>15.133333334238683</v>
      </c>
      <c r="AI84">
        <f>YEAR(Table1[[#This Row],[Date]])</f>
        <v>2019</v>
      </c>
      <c r="AK84">
        <v>12</v>
      </c>
      <c r="AL84" s="8">
        <f>Table1[[#This Row],[Calories]]/Table1[[#This Row],[ClassLength]]</f>
        <v>9.9119344063164316</v>
      </c>
      <c r="AM84" s="10" t="str">
        <f>RIGHT(Table1[[#This Row],[Time]],2)</f>
        <v>PM</v>
      </c>
      <c r="AN84" s="10" t="str">
        <f>Table1[[#This Row],[Mon_Yr]]&amp;"-"&amp;WEEKNUM(Table1[[#This Row],[Date]],1)-WEEKNUM(DATE(YEAR(Table1[[#This Row],[Date]]),MONTH(Table1[[#This Row],[Date]]),1),1)+1</f>
        <v>11-2019-3</v>
      </c>
      <c r="AO84">
        <f>MONTH(Table1[[#This Row],[Date]])</f>
        <v>11</v>
      </c>
      <c r="AP84" s="8">
        <f>IFERROR(Table1[[#This Row],[Calories]]/Table1[[#This Row],[Splat]],0)</f>
        <v>33.999999999982158</v>
      </c>
      <c r="AQ84" s="10">
        <f>COUNTIF(Table1[Location],Table1[[#This Row],[Location]])</f>
        <v>10</v>
      </c>
      <c r="AR84" s="10">
        <f>IF(AND(Table1[[#This Row],[Calories]]&gt;=600,Table1[[#This Row],[Splat]]&gt;=12),1,0)</f>
        <v>0</v>
      </c>
      <c r="AS84" s="10">
        <f>IF(AND(Table1[[#This Row],[Calories]]&gt;=500,Table1[[#This Row],[Splat]]&gt;=12),1,0)</f>
        <v>1</v>
      </c>
      <c r="AT84" s="8">
        <f>Table1[[#This Row],[ClassLength]]/Table1[[#This Row],[Calories]]</f>
        <v>0.10088848039215684</v>
      </c>
      <c r="AU8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84" s="10">
        <f>COUNTIF(Table1[Trainer],Table1[[#This Row],[Trainer]])</f>
        <v>9</v>
      </c>
      <c r="AW84" s="10" t="str">
        <f>UPPER(LEFT(TEXT(Table1[Date],"mmmm"),3))&amp;" "&amp;TEXT(Table1[Date],"yyyy")</f>
        <v>NOV 2019</v>
      </c>
      <c r="AX84" s="10">
        <f>VLOOKUP(Table1[[#This Row],[Location]],'Tab for Charts'!$A$93:$B$103,2,FALSE)</f>
        <v>38.879828000000003</v>
      </c>
      <c r="AY84" s="10">
        <f>VLOOKUP(Table1[[#This Row],[Location]],'Tab for Charts'!$A$93:$C$103,3,FALSE)</f>
        <v>-77.005566000000002</v>
      </c>
    </row>
    <row r="85" spans="1:51">
      <c r="A85">
        <f t="shared" si="60"/>
        <v>84</v>
      </c>
      <c r="B85">
        <f t="shared" si="44"/>
        <v>15</v>
      </c>
      <c r="C85" s="1">
        <v>43785</v>
      </c>
      <c r="D85" s="8">
        <f>55+44/60</f>
        <v>55.733333333333334</v>
      </c>
      <c r="E85">
        <f>15+ROW()/100000000000000</f>
        <v>15.000000000000851</v>
      </c>
      <c r="F85">
        <f>631+ROW()/100000000000000</f>
        <v>631.0000000000008</v>
      </c>
      <c r="G85">
        <v>130</v>
      </c>
      <c r="H85">
        <v>168</v>
      </c>
      <c r="I85">
        <f>10+33/60</f>
        <v>10.55</v>
      </c>
      <c r="J85">
        <f>9+17/60</f>
        <v>9.2833333333333332</v>
      </c>
      <c r="K85">
        <f>21+26/60</f>
        <v>21.433333333333334</v>
      </c>
      <c r="L85">
        <f>13+33/60</f>
        <v>13.55</v>
      </c>
      <c r="M85">
        <f>0+55/60</f>
        <v>0.91666666666666663</v>
      </c>
      <c r="N85" t="s">
        <v>15</v>
      </c>
      <c r="O85" t="s">
        <v>24</v>
      </c>
      <c r="P85" t="s">
        <v>111</v>
      </c>
      <c r="Q85" s="34">
        <f t="shared" si="61"/>
        <v>1</v>
      </c>
      <c r="R85" s="10" t="str">
        <f t="shared" si="74"/>
        <v>Gain</v>
      </c>
      <c r="S85" t="str">
        <f t="shared" si="76"/>
        <v>11-2019</v>
      </c>
      <c r="T85" t="str">
        <f t="shared" si="77"/>
        <v>Saturday</v>
      </c>
      <c r="U85">
        <f t="shared" si="75"/>
        <v>1</v>
      </c>
      <c r="V85" s="8">
        <f>IFERROR(Table1[[#This Row],[ClassLength]]/Table1[[#This Row],[Splat]],0)</f>
        <v>3.715555555555345</v>
      </c>
      <c r="W85" s="10">
        <f t="shared" si="78"/>
        <v>0</v>
      </c>
      <c r="X85" s="10">
        <f t="shared" si="79"/>
        <v>1</v>
      </c>
      <c r="Y85" s="10">
        <f t="shared" si="80"/>
        <v>0</v>
      </c>
      <c r="Z85" s="5">
        <f t="shared" ref="Z85:AD86" si="82">IFERROR(I85/$D85,"")</f>
        <v>0.18929425837320576</v>
      </c>
      <c r="AA85" s="5">
        <f t="shared" si="82"/>
        <v>0.166566985645933</v>
      </c>
      <c r="AB85" s="5">
        <f t="shared" si="82"/>
        <v>0.38456937799043062</v>
      </c>
      <c r="AC85" s="5">
        <f t="shared" si="82"/>
        <v>0.24312200956937799</v>
      </c>
      <c r="AD85" s="5">
        <f t="shared" si="82"/>
        <v>1.6447368421052631E-2</v>
      </c>
      <c r="AE85" s="7">
        <f>232.14+SUMIFS(Table1[ExtraExpenses],Table1[Mon_Yr],Table1[[#This Row],[Mon_Yr]])</f>
        <v>237.14</v>
      </c>
      <c r="AF85" s="7">
        <f t="shared" si="73"/>
        <v>15.809333333333333</v>
      </c>
      <c r="AG85" s="8">
        <f t="shared" si="56"/>
        <v>602.06666667272054</v>
      </c>
      <c r="AH85" s="8">
        <f t="shared" si="57"/>
        <v>15.133333334238683</v>
      </c>
      <c r="AI85">
        <f>YEAR(Table1[[#This Row],[Date]])</f>
        <v>2019</v>
      </c>
      <c r="AK85">
        <v>12</v>
      </c>
      <c r="AL85" s="8">
        <f>Table1[[#This Row],[Calories]]/Table1[[#This Row],[ClassLength]]</f>
        <v>11.321770334928244</v>
      </c>
      <c r="AM85" s="10" t="str">
        <f>RIGHT(Table1[[#This Row],[Time]],2)</f>
        <v>AM</v>
      </c>
      <c r="AN85" s="10" t="str">
        <f>Table1[[#This Row],[Mon_Yr]]&amp;"-"&amp;WEEKNUM(Table1[[#This Row],[Date]],1)-WEEKNUM(DATE(YEAR(Table1[[#This Row],[Date]]),MONTH(Table1[[#This Row],[Date]]),1),1)+1</f>
        <v>11-2019-3</v>
      </c>
      <c r="AO85">
        <f>MONTH(Table1[[#This Row],[Date]])</f>
        <v>11</v>
      </c>
      <c r="AP85" s="8">
        <f>IFERROR(Table1[[#This Row],[Calories]]/Table1[[#This Row],[Splat]],0)</f>
        <v>42.066666666664332</v>
      </c>
      <c r="AQ85" s="10">
        <f>COUNTIF(Table1[Location],Table1[[#This Row],[Location]])</f>
        <v>48</v>
      </c>
      <c r="AR85" s="10">
        <f>IF(AND(Table1[[#This Row],[Calories]]&gt;=600,Table1[[#This Row],[Splat]]&gt;=12),1,0)</f>
        <v>1</v>
      </c>
      <c r="AS85" s="10">
        <f>IF(AND(Table1[[#This Row],[Calories]]&gt;=500,Table1[[#This Row],[Splat]]&gt;=12),1,0)</f>
        <v>1</v>
      </c>
      <c r="AT85" s="8">
        <f>Table1[[#This Row],[ClassLength]]/Table1[[#This Row],[Calories]]</f>
        <v>8.8325409403063812E-2</v>
      </c>
      <c r="AU8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85" s="10">
        <f>COUNTIF(Table1[Trainer],Table1[[#This Row],[Trainer]])</f>
        <v>5</v>
      </c>
      <c r="AW85" s="10" t="str">
        <f>UPPER(LEFT(TEXT(Table1[Date],"mmmm"),3))&amp;" "&amp;TEXT(Table1[Date],"yyyy")</f>
        <v>NOV 2019</v>
      </c>
      <c r="AX85" s="10">
        <f>VLOOKUP(Table1[[#This Row],[Location]],'Tab for Charts'!$A$93:$B$103,2,FALSE)</f>
        <v>38.916486999999996</v>
      </c>
      <c r="AY85" s="10">
        <f>VLOOKUP(Table1[[#This Row],[Location]],'Tab for Charts'!$A$93:$C$103,3,FALSE)</f>
        <v>-77.031514000000001</v>
      </c>
    </row>
    <row r="86" spans="1:51">
      <c r="A86">
        <f t="shared" si="60"/>
        <v>85</v>
      </c>
      <c r="B86">
        <f t="shared" si="44"/>
        <v>15</v>
      </c>
      <c r="C86" s="1">
        <v>43786</v>
      </c>
      <c r="D86" s="8">
        <f>SUM(Table1[[#This Row],[GrayMin]:[RedMin]])</f>
        <v>56.433333333333337</v>
      </c>
      <c r="E86">
        <f>15+ROW()/100000000000</f>
        <v>15.00000000086</v>
      </c>
      <c r="F86">
        <f>625+ROW()/10000000000000000</f>
        <v>625</v>
      </c>
      <c r="G86">
        <v>128</v>
      </c>
      <c r="H86">
        <v>168</v>
      </c>
      <c r="I86">
        <f>7+54/60</f>
        <v>7.9</v>
      </c>
      <c r="J86">
        <f>18+33/60</f>
        <v>18.55</v>
      </c>
      <c r="K86">
        <f>14+31/60</f>
        <v>14.516666666666667</v>
      </c>
      <c r="L86">
        <f>13+28/60</f>
        <v>13.466666666666667</v>
      </c>
      <c r="M86">
        <f>2</f>
        <v>2</v>
      </c>
      <c r="N86" t="s">
        <v>15</v>
      </c>
      <c r="O86" t="s">
        <v>24</v>
      </c>
      <c r="P86" t="s">
        <v>17</v>
      </c>
      <c r="Q86" s="34">
        <f t="shared" si="61"/>
        <v>1</v>
      </c>
      <c r="R86" s="10" t="str">
        <f t="shared" si="74"/>
        <v>Correct</v>
      </c>
      <c r="S86" t="str">
        <f t="shared" si="76"/>
        <v>11-2019</v>
      </c>
      <c r="T86" t="str">
        <f t="shared" si="77"/>
        <v>Sunday</v>
      </c>
      <c r="U86">
        <f t="shared" si="75"/>
        <v>1</v>
      </c>
      <c r="V86" s="8">
        <f>IFERROR(Table1[[#This Row],[ClassLength]]/Table1[[#This Row],[Splat]],0)</f>
        <v>3.7622222220065216</v>
      </c>
      <c r="W86" s="10">
        <f t="shared" si="78"/>
        <v>1</v>
      </c>
      <c r="X86" s="10">
        <f t="shared" si="79"/>
        <v>0</v>
      </c>
      <c r="Y86" s="10">
        <f t="shared" si="80"/>
        <v>0</v>
      </c>
      <c r="Z86" s="5">
        <f t="shared" si="82"/>
        <v>0.13998818665091553</v>
      </c>
      <c r="AA86" s="5">
        <f t="shared" si="82"/>
        <v>0.32870643827525103</v>
      </c>
      <c r="AB86" s="5">
        <f t="shared" si="82"/>
        <v>0.25723567631423511</v>
      </c>
      <c r="AC86" s="5">
        <f t="shared" si="82"/>
        <v>0.238629651506202</v>
      </c>
      <c r="AD86" s="5">
        <f t="shared" si="82"/>
        <v>3.5440047253396334E-2</v>
      </c>
      <c r="AE86" s="7">
        <f>232.14+SUMIFS(Table1[ExtraExpenses],Table1[Mon_Yr],Table1[[#This Row],[Mon_Yr]])</f>
        <v>237.14</v>
      </c>
      <c r="AF86" s="7">
        <f t="shared" ref="AF86:AF96" si="83">AE86/B86</f>
        <v>15.809333333333333</v>
      </c>
      <c r="AG86" s="8">
        <f t="shared" si="56"/>
        <v>602.06666667272054</v>
      </c>
      <c r="AH86" s="8">
        <f t="shared" si="57"/>
        <v>15.133333334238683</v>
      </c>
      <c r="AI86">
        <f>YEAR(Table1[[#This Row],[Date]])</f>
        <v>2019</v>
      </c>
      <c r="AK86">
        <v>12</v>
      </c>
      <c r="AL86" s="8">
        <f>Table1[[#This Row],[Calories]]/Table1[[#This Row],[ClassLength]]</f>
        <v>11.075014766686355</v>
      </c>
      <c r="AM86" s="10" t="str">
        <f>RIGHT(Table1[[#This Row],[Time]],2)</f>
        <v>AM</v>
      </c>
      <c r="AN86" s="10" t="str">
        <f>Table1[[#This Row],[Mon_Yr]]&amp;"-"&amp;WEEKNUM(Table1[[#This Row],[Date]],1)-WEEKNUM(DATE(YEAR(Table1[[#This Row],[Date]]),MONTH(Table1[[#This Row],[Date]]),1),1)+1</f>
        <v>11-2019-4</v>
      </c>
      <c r="AO86">
        <f>MONTH(Table1[[#This Row],[Date]])</f>
        <v>11</v>
      </c>
      <c r="AP86" s="8">
        <f>IFERROR(Table1[[#This Row],[Calories]]/Table1[[#This Row],[Splat]],0)</f>
        <v>41.666666664277777</v>
      </c>
      <c r="AQ86" s="10">
        <f>COUNTIF(Table1[Location],Table1[[#This Row],[Location]])</f>
        <v>48</v>
      </c>
      <c r="AR86" s="10">
        <f>IF(AND(Table1[[#This Row],[Calories]]&gt;=600,Table1[[#This Row],[Splat]]&gt;=12),1,0)</f>
        <v>1</v>
      </c>
      <c r="AS86" s="10">
        <f>IF(AND(Table1[[#This Row],[Calories]]&gt;=500,Table1[[#This Row],[Splat]]&gt;=12),1,0)</f>
        <v>1</v>
      </c>
      <c r="AT86" s="8">
        <f>Table1[[#This Row],[ClassLength]]/Table1[[#This Row],[Calories]]</f>
        <v>9.0293333333333337E-2</v>
      </c>
      <c r="AU8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86" s="10">
        <f>COUNTIF(Table1[Trainer],Table1[[#This Row],[Trainer]])</f>
        <v>29</v>
      </c>
      <c r="AW86" s="10" t="str">
        <f>UPPER(LEFT(TEXT(Table1[Date],"mmmm"),3))&amp;" "&amp;TEXT(Table1[Date],"yyyy")</f>
        <v>NOV 2019</v>
      </c>
      <c r="AX86" s="10">
        <f>VLOOKUP(Table1[[#This Row],[Location]],'Tab for Charts'!$A$93:$B$103,2,FALSE)</f>
        <v>38.916486999999996</v>
      </c>
      <c r="AY86" s="10">
        <f>VLOOKUP(Table1[[#This Row],[Location]],'Tab for Charts'!$A$93:$C$103,3,FALSE)</f>
        <v>-77.031514000000001</v>
      </c>
    </row>
    <row r="87" spans="1:51">
      <c r="A87">
        <f t="shared" si="60"/>
        <v>86</v>
      </c>
      <c r="B87">
        <f t="shared" si="44"/>
        <v>15</v>
      </c>
      <c r="C87" s="1">
        <v>43788</v>
      </c>
      <c r="D87" s="8">
        <f>58</f>
        <v>58</v>
      </c>
      <c r="E87">
        <f>14+ROW()/100000000000</f>
        <v>14.000000000869999</v>
      </c>
      <c r="F87">
        <f>595+ROW()/10000000000000</f>
        <v>595.00000000000875</v>
      </c>
      <c r="G87">
        <f>122</f>
        <v>122</v>
      </c>
      <c r="H87">
        <v>170</v>
      </c>
      <c r="I87">
        <f>21+48/60</f>
        <v>21.8</v>
      </c>
      <c r="J87">
        <f>6+51/60</f>
        <v>6.85</v>
      </c>
      <c r="K87">
        <f>15+37/60</f>
        <v>15.616666666666667</v>
      </c>
      <c r="L87">
        <f>9+50/60</f>
        <v>9.8333333333333339</v>
      </c>
      <c r="M87">
        <f>3+54/60</f>
        <v>3.9</v>
      </c>
      <c r="N87" t="s">
        <v>6</v>
      </c>
      <c r="O87" t="s">
        <v>7</v>
      </c>
      <c r="P87" t="s">
        <v>9</v>
      </c>
      <c r="Q87" s="34">
        <f t="shared" si="61"/>
        <v>2</v>
      </c>
      <c r="R87" s="10" t="str">
        <f t="shared" ref="R87:R96" si="84">IF(ROUND(E87,1)-ROUND(L87+M87,0)=0,"Correct",IF(ROUND(E87,1)-ROUND(L87+M87,0)=1,"Gain","Loss"))</f>
        <v>Correct</v>
      </c>
      <c r="S87" t="str">
        <f t="shared" si="76"/>
        <v>11-2019</v>
      </c>
      <c r="T87" t="str">
        <f t="shared" si="77"/>
        <v>Tuesday</v>
      </c>
      <c r="U87">
        <f t="shared" ref="U87:U96" si="85">IF(E87&gt;=12,1,0)</f>
        <v>1</v>
      </c>
      <c r="V87" s="8">
        <f>IFERROR(Table1[[#This Row],[ClassLength]]/Table1[[#This Row],[Splat]],0)</f>
        <v>4.1428571425996941</v>
      </c>
      <c r="W87" s="10">
        <f t="shared" si="78"/>
        <v>1</v>
      </c>
      <c r="X87" s="10">
        <f t="shared" si="79"/>
        <v>0</v>
      </c>
      <c r="Y87" s="10">
        <f t="shared" si="80"/>
        <v>0</v>
      </c>
      <c r="Z87" s="5">
        <f t="shared" ref="Z87:AD90" si="86">IFERROR(I87/$D87,"")</f>
        <v>0.37586206896551727</v>
      </c>
      <c r="AA87" s="5">
        <f t="shared" si="86"/>
        <v>0.11810344827586207</v>
      </c>
      <c r="AB87" s="5">
        <f t="shared" si="86"/>
        <v>0.26925287356321842</v>
      </c>
      <c r="AC87" s="5">
        <f t="shared" si="86"/>
        <v>0.16954022988505749</v>
      </c>
      <c r="AD87" s="5">
        <f t="shared" si="86"/>
        <v>6.7241379310344823E-2</v>
      </c>
      <c r="AE87" s="7">
        <f>232.14+SUMIFS(Table1[ExtraExpenses],Table1[Mon_Yr],Table1[[#This Row],[Mon_Yr]])</f>
        <v>237.14</v>
      </c>
      <c r="AF87" s="7">
        <f t="shared" si="83"/>
        <v>15.809333333333333</v>
      </c>
      <c r="AG87" s="8">
        <f t="shared" si="56"/>
        <v>602.06666667272054</v>
      </c>
      <c r="AH87" s="8">
        <f t="shared" si="57"/>
        <v>15.133333334238683</v>
      </c>
      <c r="AI87">
        <f>YEAR(Table1[[#This Row],[Date]])</f>
        <v>2019</v>
      </c>
      <c r="AK87">
        <v>12</v>
      </c>
      <c r="AL87" s="8">
        <f>Table1[[#This Row],[Calories]]/Table1[[#This Row],[ClassLength]]</f>
        <v>10.258620689655324</v>
      </c>
      <c r="AM87" s="10" t="str">
        <f>RIGHT(Table1[[#This Row],[Time]],2)</f>
        <v>PM</v>
      </c>
      <c r="AN87" s="10" t="str">
        <f>Table1[[#This Row],[Mon_Yr]]&amp;"-"&amp;WEEKNUM(Table1[[#This Row],[Date]],1)-WEEKNUM(DATE(YEAR(Table1[[#This Row],[Date]]),MONTH(Table1[[#This Row],[Date]]),1),1)+1</f>
        <v>11-2019-4</v>
      </c>
      <c r="AO87">
        <f>MONTH(Table1[[#This Row],[Date]])</f>
        <v>11</v>
      </c>
      <c r="AP87" s="8">
        <f>IFERROR(Table1[[#This Row],[Calories]]/Table1[[#This Row],[Splat]],0)</f>
        <v>42.499999997359559</v>
      </c>
      <c r="AQ87" s="10">
        <f>COUNTIF(Table1[Location],Table1[[#This Row],[Location]])</f>
        <v>35</v>
      </c>
      <c r="AR87" s="10">
        <f>IF(AND(Table1[[#This Row],[Calories]]&gt;=600,Table1[[#This Row],[Splat]]&gt;=12),1,0)</f>
        <v>0</v>
      </c>
      <c r="AS87" s="10">
        <f>IF(AND(Table1[[#This Row],[Calories]]&gt;=500,Table1[[#This Row],[Splat]]&gt;=12),1,0)</f>
        <v>1</v>
      </c>
      <c r="AT87" s="8">
        <f>Table1[[#This Row],[ClassLength]]/Table1[[#This Row],[Calories]]</f>
        <v>9.7478991596637227E-2</v>
      </c>
      <c r="AU8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87" s="10">
        <f>COUNTIF(Table1[Trainer],Table1[[#This Row],[Trainer]])</f>
        <v>10</v>
      </c>
      <c r="AW87" s="10" t="str">
        <f>UPPER(LEFT(TEXT(Table1[Date],"mmmm"),3))&amp;" "&amp;TEXT(Table1[Date],"yyyy")</f>
        <v>NOV 2019</v>
      </c>
      <c r="AX87" s="10">
        <f>VLOOKUP(Table1[[#This Row],[Location]],'Tab for Charts'!$A$93:$B$103,2,FALSE)</f>
        <v>38.881884999999997</v>
      </c>
      <c r="AY87" s="10">
        <f>VLOOKUP(Table1[[#This Row],[Location]],'Tab for Charts'!$A$93:$C$103,3,FALSE)</f>
        <v>-77.229702000000003</v>
      </c>
    </row>
    <row r="88" spans="1:51">
      <c r="A88">
        <f t="shared" si="60"/>
        <v>87</v>
      </c>
      <c r="B88">
        <f t="shared" si="44"/>
        <v>15</v>
      </c>
      <c r="C88" s="1">
        <v>43790</v>
      </c>
      <c r="D88" s="8">
        <f>58</f>
        <v>58</v>
      </c>
      <c r="E88">
        <f>11+ROW()/100000000000</f>
        <v>11.00000000088</v>
      </c>
      <c r="F88">
        <f>585+ROW()/10000000000</f>
        <v>585.00000000880004</v>
      </c>
      <c r="G88">
        <v>121</v>
      </c>
      <c r="H88">
        <v>169</v>
      </c>
      <c r="I88">
        <f>18+45/60</f>
        <v>18.75</v>
      </c>
      <c r="J88">
        <f>13+1/60</f>
        <v>13.016666666666667</v>
      </c>
      <c r="K88">
        <f>15+48/60</f>
        <v>15.8</v>
      </c>
      <c r="L88">
        <f>8+53/60</f>
        <v>8.8833333333333329</v>
      </c>
      <c r="M88">
        <f>1+33/60</f>
        <v>1.55</v>
      </c>
      <c r="N88" t="s">
        <v>6</v>
      </c>
      <c r="O88" t="s">
        <v>7</v>
      </c>
      <c r="P88" t="s">
        <v>110</v>
      </c>
      <c r="Q88" s="34">
        <f t="shared" si="61"/>
        <v>2</v>
      </c>
      <c r="R88" s="10" t="str">
        <f t="shared" si="84"/>
        <v>Gain</v>
      </c>
      <c r="S88" t="str">
        <f t="shared" si="76"/>
        <v>11-2019</v>
      </c>
      <c r="T88" t="str">
        <f t="shared" si="77"/>
        <v>Thursday</v>
      </c>
      <c r="U88">
        <f t="shared" si="85"/>
        <v>0</v>
      </c>
      <c r="V88" s="8">
        <f>IFERROR(Table1[[#This Row],[ClassLength]]/Table1[[#This Row],[Splat]],0)</f>
        <v>5.2727272723054543</v>
      </c>
      <c r="W88" s="10">
        <f t="shared" si="78"/>
        <v>0</v>
      </c>
      <c r="X88" s="10">
        <f t="shared" si="79"/>
        <v>1</v>
      </c>
      <c r="Y88" s="10">
        <f t="shared" si="80"/>
        <v>0</v>
      </c>
      <c r="Z88" s="5">
        <f t="shared" si="86"/>
        <v>0.32327586206896552</v>
      </c>
      <c r="AA88" s="5">
        <f t="shared" si="86"/>
        <v>0.22442528735632186</v>
      </c>
      <c r="AB88" s="5">
        <f t="shared" si="86"/>
        <v>0.27241379310344827</v>
      </c>
      <c r="AC88" s="5">
        <f t="shared" si="86"/>
        <v>0.15316091954022987</v>
      </c>
      <c r="AD88" s="5">
        <f t="shared" si="86"/>
        <v>2.6724137931034484E-2</v>
      </c>
      <c r="AE88" s="7">
        <f>232.14+SUMIFS(Table1[ExtraExpenses],Table1[Mon_Yr],Table1[[#This Row],[Mon_Yr]])</f>
        <v>237.14</v>
      </c>
      <c r="AF88" s="7">
        <f t="shared" si="83"/>
        <v>15.809333333333333</v>
      </c>
      <c r="AG88" s="8">
        <f t="shared" si="56"/>
        <v>602.06666667272054</v>
      </c>
      <c r="AH88" s="8">
        <f t="shared" si="57"/>
        <v>15.133333334238683</v>
      </c>
      <c r="AI88">
        <f>YEAR(Table1[[#This Row],[Date]])</f>
        <v>2019</v>
      </c>
      <c r="AK88">
        <v>12</v>
      </c>
      <c r="AL88" s="8">
        <f>Table1[[#This Row],[Calories]]/Table1[[#This Row],[ClassLength]]</f>
        <v>10.086206896703448</v>
      </c>
      <c r="AM88" s="10" t="str">
        <f>RIGHT(Table1[[#This Row],[Time]],2)</f>
        <v>PM</v>
      </c>
      <c r="AN88" s="10" t="str">
        <f>Table1[[#This Row],[Mon_Yr]]&amp;"-"&amp;WEEKNUM(Table1[[#This Row],[Date]],1)-WEEKNUM(DATE(YEAR(Table1[[#This Row],[Date]]),MONTH(Table1[[#This Row],[Date]]),1),1)+1</f>
        <v>11-2019-4</v>
      </c>
      <c r="AO88">
        <f>MONTH(Table1[[#This Row],[Date]])</f>
        <v>11</v>
      </c>
      <c r="AP88" s="8">
        <f>IFERROR(Table1[[#This Row],[Calories]]/Table1[[#This Row],[Splat]],0)</f>
        <v>53.181818178363642</v>
      </c>
      <c r="AQ88" s="10">
        <f>COUNTIF(Table1[Location],Table1[[#This Row],[Location]])</f>
        <v>35</v>
      </c>
      <c r="AR88" s="10">
        <f>IF(AND(Table1[[#This Row],[Calories]]&gt;=600,Table1[[#This Row],[Splat]]&gt;=12),1,0)</f>
        <v>0</v>
      </c>
      <c r="AS88" s="10">
        <f>IF(AND(Table1[[#This Row],[Calories]]&gt;=500,Table1[[#This Row],[Splat]]&gt;=12),1,0)</f>
        <v>0</v>
      </c>
      <c r="AT88" s="8">
        <f>Table1[[#This Row],[ClassLength]]/Table1[[#This Row],[Calories]]</f>
        <v>9.9145299143807722E-2</v>
      </c>
      <c r="AU8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88" s="10">
        <f>COUNTIF(Table1[Trainer],Table1[[#This Row],[Trainer]])</f>
        <v>2</v>
      </c>
      <c r="AW88" s="10" t="str">
        <f>UPPER(LEFT(TEXT(Table1[Date],"mmmm"),3))&amp;" "&amp;TEXT(Table1[Date],"yyyy")</f>
        <v>NOV 2019</v>
      </c>
      <c r="AX88" s="10">
        <f>VLOOKUP(Table1[[#This Row],[Location]],'Tab for Charts'!$A$93:$B$103,2,FALSE)</f>
        <v>38.881884999999997</v>
      </c>
      <c r="AY88" s="10">
        <f>VLOOKUP(Table1[[#This Row],[Location]],'Tab for Charts'!$A$93:$C$103,3,FALSE)</f>
        <v>-77.229702000000003</v>
      </c>
    </row>
    <row r="89" spans="1:51">
      <c r="A89">
        <f t="shared" si="60"/>
        <v>88</v>
      </c>
      <c r="B89">
        <f t="shared" si="44"/>
        <v>15</v>
      </c>
      <c r="C89" s="1">
        <v>43791</v>
      </c>
      <c r="D89" s="8">
        <f>57+2/60</f>
        <v>57.033333333333331</v>
      </c>
      <c r="E89">
        <f>16+ROW()/10000000000</f>
        <v>16.000000008899999</v>
      </c>
      <c r="F89">
        <f>550+ROW()/100000000000</f>
        <v>550.00000000089005</v>
      </c>
      <c r="G89">
        <f>118</f>
        <v>118</v>
      </c>
      <c r="H89">
        <v>175</v>
      </c>
      <c r="I89">
        <f>26+36/60</f>
        <v>26.6</v>
      </c>
      <c r="J89">
        <f>5+32/60</f>
        <v>5.5333333333333332</v>
      </c>
      <c r="K89">
        <f>9+9/60</f>
        <v>9.15</v>
      </c>
      <c r="L89">
        <f>12+36/60</f>
        <v>12.6</v>
      </c>
      <c r="M89">
        <f>3+8/60</f>
        <v>3.1333333333333333</v>
      </c>
      <c r="N89" t="s">
        <v>15</v>
      </c>
      <c r="O89" t="s">
        <v>20</v>
      </c>
      <c r="P89" t="s">
        <v>111</v>
      </c>
      <c r="Q89" s="34">
        <f t="shared" si="61"/>
        <v>1</v>
      </c>
      <c r="R89" s="10" t="str">
        <f t="shared" si="84"/>
        <v>Correct</v>
      </c>
      <c r="S89" t="str">
        <f t="shared" si="76"/>
        <v>11-2019</v>
      </c>
      <c r="T89" t="str">
        <f t="shared" si="77"/>
        <v>Friday</v>
      </c>
      <c r="U89">
        <f t="shared" si="85"/>
        <v>1</v>
      </c>
      <c r="V89" s="8">
        <f>IFERROR(Table1[[#This Row],[ClassLength]]/Table1[[#This Row],[Splat]],0)</f>
        <v>3.564583331350534</v>
      </c>
      <c r="W89" s="10">
        <f t="shared" si="78"/>
        <v>1</v>
      </c>
      <c r="X89" s="10">
        <f t="shared" si="79"/>
        <v>0</v>
      </c>
      <c r="Y89" s="10">
        <f t="shared" si="80"/>
        <v>0</v>
      </c>
      <c r="Z89" s="5">
        <f t="shared" si="86"/>
        <v>0.46639392168322624</v>
      </c>
      <c r="AA89" s="5">
        <f t="shared" si="86"/>
        <v>9.7019286966686144E-2</v>
      </c>
      <c r="AB89" s="5">
        <f t="shared" si="86"/>
        <v>0.1604324956165985</v>
      </c>
      <c r="AC89" s="5">
        <f t="shared" si="86"/>
        <v>0.22092343658679134</v>
      </c>
      <c r="AD89" s="5">
        <f t="shared" si="86"/>
        <v>5.4938632378725892E-2</v>
      </c>
      <c r="AE89" s="7">
        <f>232.14+SUMIFS(Table1[ExtraExpenses],Table1[Mon_Yr],Table1[[#This Row],[Mon_Yr]])</f>
        <v>237.14</v>
      </c>
      <c r="AF89" s="7">
        <f t="shared" si="83"/>
        <v>15.809333333333333</v>
      </c>
      <c r="AG89" s="8">
        <f t="shared" si="56"/>
        <v>602.06666667272054</v>
      </c>
      <c r="AH89" s="8">
        <f t="shared" si="57"/>
        <v>15.133333334238683</v>
      </c>
      <c r="AI89">
        <f>YEAR(Table1[[#This Row],[Date]])</f>
        <v>2019</v>
      </c>
      <c r="AK89">
        <v>12</v>
      </c>
      <c r="AL89" s="8">
        <f>Table1[[#This Row],[Calories]]/Table1[[#This Row],[ClassLength]]</f>
        <v>9.6434833430898319</v>
      </c>
      <c r="AM89" s="10" t="str">
        <f>RIGHT(Table1[[#This Row],[Time]],2)</f>
        <v>PM</v>
      </c>
      <c r="AN89" s="10" t="s">
        <v>203</v>
      </c>
      <c r="AO89">
        <f>MONTH(Table1[[#This Row],[Date]])</f>
        <v>11</v>
      </c>
      <c r="AP89" s="8">
        <f>IFERROR(Table1[[#This Row],[Calories]]/Table1[[#This Row],[Splat]],0)</f>
        <v>34.37499998093454</v>
      </c>
      <c r="AQ89" s="10">
        <f>COUNTIF(Table1[Location],Table1[[#This Row],[Location]])</f>
        <v>48</v>
      </c>
      <c r="AR89" s="10">
        <f>IF(AND(Table1[[#This Row],[Calories]]&gt;=600,Table1[[#This Row],[Splat]]&gt;=12),1,0)</f>
        <v>0</v>
      </c>
      <c r="AS89" s="10">
        <f>IF(AND(Table1[[#This Row],[Calories]]&gt;=500,Table1[[#This Row],[Splat]]&gt;=12),1,0)</f>
        <v>1</v>
      </c>
      <c r="AT89" s="8">
        <f>Table1[[#This Row],[ClassLength]]/Table1[[#This Row],[Calories]]</f>
        <v>0.10369696969680188</v>
      </c>
      <c r="AU8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89" s="10">
        <f>COUNTIF(Table1[Trainer],Table1[[#This Row],[Trainer]])</f>
        <v>5</v>
      </c>
      <c r="AW89" s="10" t="str">
        <f>UPPER(LEFT(TEXT(Table1[Date],"mmmm"),3))&amp;" "&amp;TEXT(Table1[Date],"yyyy")</f>
        <v>NOV 2019</v>
      </c>
      <c r="AX89" s="10">
        <f>VLOOKUP(Table1[[#This Row],[Location]],'Tab for Charts'!$A$93:$B$103,2,FALSE)</f>
        <v>38.916486999999996</v>
      </c>
      <c r="AY89" s="10">
        <f>VLOOKUP(Table1[[#This Row],[Location]],'Tab for Charts'!$A$93:$C$103,3,FALSE)</f>
        <v>-77.031514000000001</v>
      </c>
    </row>
    <row r="90" spans="1:51">
      <c r="A90">
        <f t="shared" si="60"/>
        <v>89</v>
      </c>
      <c r="B90">
        <f t="shared" si="44"/>
        <v>15</v>
      </c>
      <c r="C90" s="1">
        <v>43792</v>
      </c>
      <c r="D90" s="8">
        <f>54+26/60</f>
        <v>54.43333333333333</v>
      </c>
      <c r="E90">
        <f>15+ROW()/10000000000000</f>
        <v>15.000000000009001</v>
      </c>
      <c r="F90">
        <f>612+ROW()/10000000000000000</f>
        <v>612</v>
      </c>
      <c r="G90">
        <f>129</f>
        <v>129</v>
      </c>
      <c r="H90">
        <v>174</v>
      </c>
      <c r="I90">
        <f>7+25/60</f>
        <v>7.416666666666667</v>
      </c>
      <c r="J90">
        <f>17+40/60</f>
        <v>17.666666666666668</v>
      </c>
      <c r="K90">
        <f>15+7/60</f>
        <v>15.116666666666667</v>
      </c>
      <c r="L90">
        <f>10+36/60</f>
        <v>10.6</v>
      </c>
      <c r="M90">
        <f>3+32/60</f>
        <v>3.5333333333333332</v>
      </c>
      <c r="N90" t="s">
        <v>15</v>
      </c>
      <c r="O90" t="s">
        <v>24</v>
      </c>
      <c r="P90" t="s">
        <v>17</v>
      </c>
      <c r="Q90" s="34">
        <f t="shared" ref="Q90:Q96" si="87">C90-C89</f>
        <v>1</v>
      </c>
      <c r="R90" s="10" t="str">
        <f t="shared" si="84"/>
        <v>Gain</v>
      </c>
      <c r="S90" t="str">
        <f t="shared" si="76"/>
        <v>11-2019</v>
      </c>
      <c r="T90" t="str">
        <f t="shared" si="77"/>
        <v>Saturday</v>
      </c>
      <c r="U90">
        <f t="shared" si="85"/>
        <v>1</v>
      </c>
      <c r="V90" s="8">
        <f>IFERROR(Table1[[#This Row],[ClassLength]]/Table1[[#This Row],[Splat]],0)</f>
        <v>3.6288888888867112</v>
      </c>
      <c r="W90" s="10">
        <f t="shared" si="78"/>
        <v>0</v>
      </c>
      <c r="X90" s="10">
        <f t="shared" si="79"/>
        <v>1</v>
      </c>
      <c r="Y90" s="10">
        <f t="shared" si="80"/>
        <v>0</v>
      </c>
      <c r="Z90" s="5">
        <f t="shared" si="86"/>
        <v>0.13625229638701777</v>
      </c>
      <c r="AA90" s="5">
        <f t="shared" si="86"/>
        <v>0.32455603184323334</v>
      </c>
      <c r="AB90" s="5">
        <f t="shared" si="86"/>
        <v>0.27770973668095533</v>
      </c>
      <c r="AC90" s="5">
        <f t="shared" si="86"/>
        <v>0.19473361910594</v>
      </c>
      <c r="AD90" s="5">
        <f t="shared" si="86"/>
        <v>6.4911206368646668E-2</v>
      </c>
      <c r="AE90" s="7">
        <f>232.14+SUMIFS(Table1[ExtraExpenses],Table1[Mon_Yr],Table1[[#This Row],[Mon_Yr]])</f>
        <v>237.14</v>
      </c>
      <c r="AF90" s="7">
        <f t="shared" si="83"/>
        <v>15.809333333333333</v>
      </c>
      <c r="AG90" s="8">
        <f t="shared" si="56"/>
        <v>602.06666667272054</v>
      </c>
      <c r="AH90" s="8">
        <f t="shared" si="57"/>
        <v>15.133333334238683</v>
      </c>
      <c r="AI90">
        <f>YEAR(Table1[[#This Row],[Date]])</f>
        <v>2019</v>
      </c>
      <c r="AK90">
        <v>12</v>
      </c>
      <c r="AL90" s="8">
        <f>Table1[[#This Row],[Calories]]/Table1[[#This Row],[ClassLength]]</f>
        <v>11.243110838946725</v>
      </c>
      <c r="AM90" s="10" t="str">
        <f>RIGHT(Table1[[#This Row],[Time]],2)</f>
        <v>AM</v>
      </c>
      <c r="AN90" s="10" t="str">
        <f>Table1[[#This Row],[Mon_Yr]]&amp;"-"&amp;WEEKNUM(Table1[[#This Row],[Date]],1)-WEEKNUM(DATE(YEAR(Table1[[#This Row],[Date]]),MONTH(Table1[[#This Row],[Date]]),1),1)+1</f>
        <v>11-2019-4</v>
      </c>
      <c r="AO90">
        <f>MONTH(Table1[[#This Row],[Date]])</f>
        <v>11</v>
      </c>
      <c r="AP90" s="8">
        <f>IFERROR(Table1[[#This Row],[Calories]]/Table1[[#This Row],[Splat]],0)</f>
        <v>40.799999999975519</v>
      </c>
      <c r="AQ90" s="10">
        <f>COUNTIF(Table1[Location],Table1[[#This Row],[Location]])</f>
        <v>48</v>
      </c>
      <c r="AR90" s="10">
        <f>IF(AND(Table1[[#This Row],[Calories]]&gt;=600,Table1[[#This Row],[Splat]]&gt;=12),1,0)</f>
        <v>1</v>
      </c>
      <c r="AS90" s="10">
        <f>IF(AND(Table1[[#This Row],[Calories]]&gt;=500,Table1[[#This Row],[Splat]]&gt;=12),1,0)</f>
        <v>1</v>
      </c>
      <c r="AT90" s="8">
        <f>Table1[[#This Row],[ClassLength]]/Table1[[#This Row],[Calories]]</f>
        <v>8.8943355119825707E-2</v>
      </c>
      <c r="AU9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90" s="10">
        <f>COUNTIF(Table1[Trainer],Table1[[#This Row],[Trainer]])</f>
        <v>29</v>
      </c>
      <c r="AW90" s="10" t="str">
        <f>UPPER(LEFT(TEXT(Table1[Date],"mmmm"),3))&amp;" "&amp;TEXT(Table1[Date],"yyyy")</f>
        <v>NOV 2019</v>
      </c>
      <c r="AX90" s="10">
        <f>VLOOKUP(Table1[[#This Row],[Location]],'Tab for Charts'!$A$93:$B$103,2,FALSE)</f>
        <v>38.916486999999996</v>
      </c>
      <c r="AY90" s="10">
        <f>VLOOKUP(Table1[[#This Row],[Location]],'Tab for Charts'!$A$93:$C$103,3,FALSE)</f>
        <v>-77.031514000000001</v>
      </c>
    </row>
    <row r="91" spans="1:51">
      <c r="A91">
        <f t="shared" si="60"/>
        <v>90</v>
      </c>
      <c r="B91">
        <f t="shared" si="44"/>
        <v>15</v>
      </c>
      <c r="C91" s="1">
        <v>43796</v>
      </c>
      <c r="D91" s="8">
        <f>56+39/60</f>
        <v>56.65</v>
      </c>
      <c r="E91">
        <f>12+ROW()/1000000000000</f>
        <v>12.000000000090999</v>
      </c>
      <c r="F91">
        <f>613+ROW()/1000000000000</f>
        <v>613.00000000009095</v>
      </c>
      <c r="G91">
        <f>126</f>
        <v>126</v>
      </c>
      <c r="H91">
        <v>172</v>
      </c>
      <c r="I91">
        <f>9+56/60</f>
        <v>9.9333333333333336</v>
      </c>
      <c r="J91">
        <f>18+24/60</f>
        <v>18.399999999999999</v>
      </c>
      <c r="K91">
        <f>16+12/60</f>
        <v>16.2</v>
      </c>
      <c r="L91">
        <f>6+52/60</f>
        <v>6.8666666666666671</v>
      </c>
      <c r="M91">
        <f>5+15/60</f>
        <v>5.25</v>
      </c>
      <c r="N91" t="s">
        <v>170</v>
      </c>
      <c r="O91" t="s">
        <v>171</v>
      </c>
      <c r="P91" t="s">
        <v>173</v>
      </c>
      <c r="Q91" s="34">
        <f t="shared" si="87"/>
        <v>4</v>
      </c>
      <c r="R91" s="10" t="str">
        <f t="shared" si="84"/>
        <v>Correct</v>
      </c>
      <c r="S91" t="str">
        <f t="shared" ref="S91:S96" si="88">MONTH(C91)&amp;"-"&amp;YEAR(C91)</f>
        <v>11-2019</v>
      </c>
      <c r="T91" t="str">
        <f t="shared" ref="T91:T96" si="89">IF(WEEKDAY(C91)=1,"Sunday",IF(WEEKDAY(C91)=2,"Monday",IF(WEEKDAY(C91)=3,"Tuesday",IF(WEEKDAY(C91)=4,"Wednesday",IF(WEEKDAY(C91)=5,"Thursday",IF(WEEKDAY(C91)=6,"Friday","Saturday"))))))</f>
        <v>Wednesday</v>
      </c>
      <c r="U91">
        <f t="shared" si="85"/>
        <v>1</v>
      </c>
      <c r="V91" s="8">
        <f>IFERROR(Table1[[#This Row],[ClassLength]]/Table1[[#This Row],[Splat]],0)</f>
        <v>4.7208333332975343</v>
      </c>
      <c r="W91" s="10">
        <f t="shared" ref="W91:W96" si="90">IF(ROUND($E91,1)-ROUND($L91+$M91,0)=0,1,0)</f>
        <v>1</v>
      </c>
      <c r="X91" s="10">
        <f t="shared" ref="X91:X96" si="91">IF(ROUND($E91,1)-ROUND($L91+$M91,0)=1,1,0)</f>
        <v>0</v>
      </c>
      <c r="Y91" s="10">
        <f t="shared" ref="Y91:Y96" si="92">IF(ROUND($E91,1)-ROUND($L91+$M91,0)=-1,1,0)</f>
        <v>0</v>
      </c>
      <c r="Z91" s="5">
        <f t="shared" ref="Z91:AD96" si="93">IFERROR(I91/$D91,"")</f>
        <v>0.1753456899087967</v>
      </c>
      <c r="AA91" s="5">
        <f t="shared" si="93"/>
        <v>0.32480141218005293</v>
      </c>
      <c r="AB91" s="5">
        <f t="shared" si="93"/>
        <v>0.28596646072374227</v>
      </c>
      <c r="AC91" s="5">
        <f t="shared" si="93"/>
        <v>0.12121212121212123</v>
      </c>
      <c r="AD91" s="5">
        <f t="shared" si="93"/>
        <v>9.2674315975286845E-2</v>
      </c>
      <c r="AE91" s="7">
        <f>232.14+SUMIFS(Table1[ExtraExpenses],Table1[Mon_Yr],Table1[[#This Row],[Mon_Yr]])</f>
        <v>237.14</v>
      </c>
      <c r="AF91" s="7">
        <f t="shared" si="83"/>
        <v>15.809333333333333</v>
      </c>
      <c r="AG91" s="8">
        <f t="shared" si="56"/>
        <v>602.06666667272054</v>
      </c>
      <c r="AH91" s="8">
        <f t="shared" si="57"/>
        <v>15.133333334238683</v>
      </c>
      <c r="AI91">
        <f>YEAR(Table1[[#This Row],[Date]])</f>
        <v>2019</v>
      </c>
      <c r="AK91">
        <v>12</v>
      </c>
      <c r="AL91" s="8">
        <f>Table1[[#This Row],[Calories]]/Table1[[#This Row],[ClassLength]]</f>
        <v>10.820829655782719</v>
      </c>
      <c r="AM91" s="10" t="str">
        <f>RIGHT(Table1[[#This Row],[Time]],2)</f>
        <v>AM</v>
      </c>
      <c r="AN91" s="10" t="str">
        <f>Table1[[#This Row],[Mon_Yr]]&amp;"-"&amp;WEEKNUM(Table1[[#This Row],[Date]],1)-WEEKNUM(DATE(YEAR(Table1[[#This Row],[Date]]),MONTH(Table1[[#This Row],[Date]]),1),1)+1</f>
        <v>11-2019-5</v>
      </c>
      <c r="AO91">
        <f>MONTH(Table1[[#This Row],[Date]])</f>
        <v>11</v>
      </c>
      <c r="AP91" s="8">
        <f>IFERROR(Table1[[#This Row],[Calories]]/Table1[[#This Row],[Splat]],0)</f>
        <v>51.083333332953536</v>
      </c>
      <c r="AQ91" s="10">
        <f>COUNTIF(Table1[Location],Table1[[#This Row],[Location]])</f>
        <v>2</v>
      </c>
      <c r="AR91" s="10">
        <f>IF(AND(Table1[[#This Row],[Calories]]&gt;=600,Table1[[#This Row],[Splat]]&gt;=12),1,0)</f>
        <v>1</v>
      </c>
      <c r="AS91" s="10">
        <f>IF(AND(Table1[[#This Row],[Calories]]&gt;=500,Table1[[#This Row],[Splat]]&gt;=12),1,0)</f>
        <v>1</v>
      </c>
      <c r="AT91" s="8">
        <f>Table1[[#This Row],[ClassLength]]/Table1[[#This Row],[Calories]]</f>
        <v>9.2414355628045008E-2</v>
      </c>
      <c r="AU9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91" s="10">
        <f>COUNTIF(Table1[Trainer],Table1[[#This Row],[Trainer]])</f>
        <v>2</v>
      </c>
      <c r="AW91" s="10" t="str">
        <f>UPPER(LEFT(TEXT(Table1[Date],"mmmm"),3))&amp;" "&amp;TEXT(Table1[Date],"yyyy")</f>
        <v>NOV 2019</v>
      </c>
      <c r="AX91" s="10">
        <f>VLOOKUP(Table1[[#This Row],[Location]],'Tab for Charts'!$A$93:$B$103,2,FALSE)</f>
        <v>40.724210999999997</v>
      </c>
      <c r="AY91" s="10">
        <f>VLOOKUP(Table1[[#This Row],[Location]],'Tab for Charts'!$A$93:$C$103,3,FALSE)</f>
        <v>-74.036191000000002</v>
      </c>
    </row>
    <row r="92" spans="1:51">
      <c r="A92">
        <f t="shared" si="60"/>
        <v>91</v>
      </c>
      <c r="B92">
        <f t="shared" si="44"/>
        <v>15</v>
      </c>
      <c r="C92" s="1">
        <v>43797</v>
      </c>
      <c r="D92" s="8">
        <f>56+38/60</f>
        <v>56.633333333333333</v>
      </c>
      <c r="E92">
        <f>16+ROW()/100000000000</f>
        <v>16.00000000092</v>
      </c>
      <c r="F92">
        <f>646+ROW()/100000000000</f>
        <v>646.00000000091995</v>
      </c>
      <c r="G92">
        <v>130</v>
      </c>
      <c r="H92">
        <v>168</v>
      </c>
      <c r="I92">
        <f>7+17/60</f>
        <v>7.2833333333333332</v>
      </c>
      <c r="J92">
        <f>15+6/60</f>
        <v>15.1</v>
      </c>
      <c r="K92">
        <f>18+30/60</f>
        <v>18.5</v>
      </c>
      <c r="L92">
        <f>11+43/60</f>
        <v>11.716666666666667</v>
      </c>
      <c r="M92">
        <f>4+2/60</f>
        <v>4.0333333333333332</v>
      </c>
      <c r="N92" t="s">
        <v>170</v>
      </c>
      <c r="O92" t="s">
        <v>172</v>
      </c>
      <c r="P92" t="s">
        <v>173</v>
      </c>
      <c r="Q92" s="34">
        <f t="shared" si="87"/>
        <v>1</v>
      </c>
      <c r="R92" s="10" t="str">
        <f t="shared" si="84"/>
        <v>Correct</v>
      </c>
      <c r="S92" t="str">
        <f t="shared" si="88"/>
        <v>11-2019</v>
      </c>
      <c r="T92" t="str">
        <f t="shared" si="89"/>
        <v>Thursday</v>
      </c>
      <c r="U92">
        <f t="shared" si="85"/>
        <v>1</v>
      </c>
      <c r="V92" s="8">
        <f>IFERROR(Table1[[#This Row],[ClassLength]]/Table1[[#This Row],[Splat]],0)</f>
        <v>3.5395833331298072</v>
      </c>
      <c r="W92" s="10">
        <f t="shared" si="90"/>
        <v>1</v>
      </c>
      <c r="X92" s="10">
        <f t="shared" si="91"/>
        <v>0</v>
      </c>
      <c r="Y92" s="10">
        <f t="shared" si="92"/>
        <v>0</v>
      </c>
      <c r="Z92" s="5">
        <f t="shared" si="93"/>
        <v>0.12860506180105943</v>
      </c>
      <c r="AA92" s="5">
        <f t="shared" si="93"/>
        <v>0.26662742789876398</v>
      </c>
      <c r="AB92" s="5">
        <f t="shared" si="93"/>
        <v>0.32666274278987639</v>
      </c>
      <c r="AC92" s="5">
        <f t="shared" si="93"/>
        <v>0.20688640376692172</v>
      </c>
      <c r="AD92" s="5">
        <f t="shared" si="93"/>
        <v>7.1218363743378463E-2</v>
      </c>
      <c r="AE92" s="7">
        <f>232.14+SUMIFS(Table1[ExtraExpenses],Table1[Mon_Yr],Table1[[#This Row],[Mon_Yr]])</f>
        <v>237.14</v>
      </c>
      <c r="AF92" s="7">
        <f t="shared" si="83"/>
        <v>15.809333333333333</v>
      </c>
      <c r="AG92" s="8">
        <f t="shared" si="56"/>
        <v>602.06666667272054</v>
      </c>
      <c r="AH92" s="8">
        <f t="shared" si="57"/>
        <v>15.133333334238683</v>
      </c>
      <c r="AI92">
        <f>YEAR(Table1[[#This Row],[Date]])</f>
        <v>2019</v>
      </c>
      <c r="AJ92" s="7">
        <v>5</v>
      </c>
      <c r="AK92">
        <v>12</v>
      </c>
      <c r="AL92" s="8">
        <f>Table1[[#This Row],[Calories]]/Table1[[#This Row],[ClassLength]]</f>
        <v>11.406709829327603</v>
      </c>
      <c r="AM92" s="10" t="str">
        <f>RIGHT(Table1[[#This Row],[Time]],2)</f>
        <v>AM</v>
      </c>
      <c r="AN92" s="10" t="str">
        <f>Table1[[#This Row],[Mon_Yr]]&amp;"-"&amp;WEEKNUM(Table1[[#This Row],[Date]],1)-WEEKNUM(DATE(YEAR(Table1[[#This Row],[Date]]),MONTH(Table1[[#This Row],[Date]]),1),1)+1</f>
        <v>11-2019-5</v>
      </c>
      <c r="AO92">
        <f>MONTH(Table1[[#This Row],[Date]])</f>
        <v>11</v>
      </c>
      <c r="AP92" s="8">
        <f>IFERROR(Table1[[#This Row],[Calories]]/Table1[[#This Row],[Splat]],0)</f>
        <v>40.374999997735934</v>
      </c>
      <c r="AQ92" s="10">
        <f>COUNTIF(Table1[Location],Table1[[#This Row],[Location]])</f>
        <v>2</v>
      </c>
      <c r="AR92" s="10">
        <f>IF(AND(Table1[[#This Row],[Calories]]&gt;=600,Table1[[#This Row],[Splat]]&gt;=12),1,0)</f>
        <v>1</v>
      </c>
      <c r="AS92" s="10">
        <f>IF(AND(Table1[[#This Row],[Calories]]&gt;=500,Table1[[#This Row],[Splat]]&gt;=12),1,0)</f>
        <v>1</v>
      </c>
      <c r="AT92" s="8">
        <f>Table1[[#This Row],[ClassLength]]/Table1[[#This Row],[Calories]]</f>
        <v>8.7667698658285886E-2</v>
      </c>
      <c r="AU9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92" s="10">
        <f>COUNTIF(Table1[Trainer],Table1[[#This Row],[Trainer]])</f>
        <v>2</v>
      </c>
      <c r="AW92" s="10" t="str">
        <f>UPPER(LEFT(TEXT(Table1[Date],"mmmm"),3))&amp;" "&amp;TEXT(Table1[Date],"yyyy")</f>
        <v>NOV 2019</v>
      </c>
      <c r="AX92" s="10">
        <f>VLOOKUP(Table1[[#This Row],[Location]],'Tab for Charts'!$A$93:$B$103,2,FALSE)</f>
        <v>40.724210999999997</v>
      </c>
      <c r="AY92" s="10">
        <f>VLOOKUP(Table1[[#This Row],[Location]],'Tab for Charts'!$A$93:$C$103,3,FALSE)</f>
        <v>-74.036191000000002</v>
      </c>
    </row>
    <row r="93" spans="1:51">
      <c r="A93">
        <f t="shared" si="60"/>
        <v>92</v>
      </c>
      <c r="B93">
        <f t="shared" si="44"/>
        <v>14</v>
      </c>
      <c r="C93" s="1">
        <v>43800</v>
      </c>
      <c r="D93" s="8">
        <f>56+10/60</f>
        <v>56.166666666666664</v>
      </c>
      <c r="E93">
        <f>15+ROW()/10000000000</f>
        <v>15.000000009300001</v>
      </c>
      <c r="F93">
        <f>601+ROW()/10000000000</f>
        <v>601.00000000930004</v>
      </c>
      <c r="G93">
        <f>125</f>
        <v>125</v>
      </c>
      <c r="H93">
        <v>170</v>
      </c>
      <c r="I93">
        <f>13+44/60</f>
        <v>13.733333333333333</v>
      </c>
      <c r="J93">
        <f>15+52/60</f>
        <v>15.866666666666667</v>
      </c>
      <c r="K93">
        <f>11+38/60</f>
        <v>11.633333333333333</v>
      </c>
      <c r="L93">
        <f>12+25/60</f>
        <v>12.416666666666666</v>
      </c>
      <c r="M93">
        <f>2+32/60</f>
        <v>2.5333333333333332</v>
      </c>
      <c r="N93" t="s">
        <v>15</v>
      </c>
      <c r="O93" t="s">
        <v>22</v>
      </c>
      <c r="P93" t="s">
        <v>17</v>
      </c>
      <c r="Q93" s="34">
        <f t="shared" si="87"/>
        <v>3</v>
      </c>
      <c r="R93" s="10" t="str">
        <f t="shared" si="84"/>
        <v>Correct</v>
      </c>
      <c r="S93" t="str">
        <f t="shared" si="88"/>
        <v>12-2019</v>
      </c>
      <c r="T93" t="str">
        <f t="shared" si="89"/>
        <v>Sunday</v>
      </c>
      <c r="U93">
        <f t="shared" si="85"/>
        <v>1</v>
      </c>
      <c r="V93" s="8">
        <f>IFERROR(Table1[[#This Row],[ClassLength]]/Table1[[#This Row],[Splat]],0)</f>
        <v>3.7444444421228886</v>
      </c>
      <c r="W93" s="10">
        <f t="shared" si="90"/>
        <v>1</v>
      </c>
      <c r="X93" s="10">
        <f t="shared" si="91"/>
        <v>0</v>
      </c>
      <c r="Y93" s="10">
        <f t="shared" si="92"/>
        <v>0</v>
      </c>
      <c r="Z93" s="5">
        <f t="shared" si="93"/>
        <v>0.24451038575667655</v>
      </c>
      <c r="AA93" s="5">
        <f t="shared" si="93"/>
        <v>0.28249258160237389</v>
      </c>
      <c r="AB93" s="5">
        <f t="shared" si="93"/>
        <v>0.20712166172106825</v>
      </c>
      <c r="AC93" s="5">
        <f t="shared" si="93"/>
        <v>0.22106824925816024</v>
      </c>
      <c r="AD93" s="5">
        <f t="shared" si="93"/>
        <v>4.5103857566765576E-2</v>
      </c>
      <c r="AE93" s="7">
        <f>232.14+SUMIFS(Table1[ExtraExpenses],Table1[Mon_Yr],Table1[[#This Row],[Mon_Yr]])</f>
        <v>232.14</v>
      </c>
      <c r="AF93" s="7">
        <f t="shared" si="83"/>
        <v>16.581428571428571</v>
      </c>
      <c r="AG93" s="8">
        <f t="shared" si="56"/>
        <v>626.71428571581123</v>
      </c>
      <c r="AH93" s="8">
        <f t="shared" si="57"/>
        <v>15.071428574307784</v>
      </c>
      <c r="AI93">
        <f>YEAR(Table1[[#This Row],[Date]])</f>
        <v>2019</v>
      </c>
      <c r="AK93">
        <v>12</v>
      </c>
      <c r="AL93" s="8">
        <f>Table1[[#This Row],[Calories]]/Table1[[#This Row],[ClassLength]]</f>
        <v>10.700296736070625</v>
      </c>
      <c r="AM93" s="10" t="str">
        <f>RIGHT(Table1[[#This Row],[Time]],2)</f>
        <v>AM</v>
      </c>
      <c r="AN93" s="10" t="str">
        <f>Table1[[#This Row],[Mon_Yr]]&amp;"-"&amp;WEEKNUM(Table1[[#This Row],[Date]],1)-WEEKNUM(DATE(YEAR(Table1[[#This Row],[Date]]),MONTH(Table1[[#This Row],[Date]]),1),1)+1</f>
        <v>12-2019-1</v>
      </c>
      <c r="AO93">
        <f>MONTH(Table1[[#This Row],[Date]])</f>
        <v>12</v>
      </c>
      <c r="AP93" s="8">
        <f>IFERROR(Table1[[#This Row],[Calories]]/Table1[[#This Row],[Splat]],0)</f>
        <v>40.066666642445334</v>
      </c>
      <c r="AQ93" s="10">
        <f>COUNTIF(Table1[Location],Table1[[#This Row],[Location]])</f>
        <v>48</v>
      </c>
      <c r="AR93" s="10">
        <f>IF(AND(Table1[[#This Row],[Calories]]&gt;=600,Table1[[#This Row],[Splat]]&gt;=12),1,0)</f>
        <v>1</v>
      </c>
      <c r="AS93" s="10">
        <f>IF(AND(Table1[[#This Row],[Calories]]&gt;=500,Table1[[#This Row],[Splat]]&gt;=12),1,0)</f>
        <v>1</v>
      </c>
      <c r="AT93" s="8">
        <f>Table1[[#This Row],[ClassLength]]/Table1[[#This Row],[Calories]]</f>
        <v>9.345535218934696E-2</v>
      </c>
      <c r="AU9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93" s="10">
        <f>COUNTIF(Table1[Trainer],Table1[[#This Row],[Trainer]])</f>
        <v>29</v>
      </c>
      <c r="AW93" s="10" t="str">
        <f>UPPER(LEFT(TEXT(Table1[Date],"mmmm"),3))&amp;" "&amp;TEXT(Table1[Date],"yyyy")</f>
        <v>DEC 2019</v>
      </c>
      <c r="AX93" s="10">
        <f>VLOOKUP(Table1[[#This Row],[Location]],'Tab for Charts'!$A$93:$B$103,2,FALSE)</f>
        <v>38.916486999999996</v>
      </c>
      <c r="AY93" s="10">
        <f>VLOOKUP(Table1[[#This Row],[Location]],'Tab for Charts'!$A$93:$C$103,3,FALSE)</f>
        <v>-77.031514000000001</v>
      </c>
    </row>
    <row r="94" spans="1:51">
      <c r="A94">
        <v>93</v>
      </c>
      <c r="B94">
        <f t="shared" si="44"/>
        <v>14</v>
      </c>
      <c r="C94" s="1">
        <v>43801</v>
      </c>
      <c r="D94" s="8">
        <f>58+38/60</f>
        <v>58.633333333333333</v>
      </c>
      <c r="E94">
        <f>10+ROW()/10000000000</f>
        <v>10.000000009400001</v>
      </c>
      <c r="F94">
        <f>676+ROW()/1000000000000</f>
        <v>676.00000000009402</v>
      </c>
      <c r="G94">
        <v>131</v>
      </c>
      <c r="H94">
        <v>165</v>
      </c>
      <c r="I94">
        <f>7+36/60</f>
        <v>7.6</v>
      </c>
      <c r="J94">
        <f>11+18/60</f>
        <v>11.3</v>
      </c>
      <c r="K94">
        <f>29+11/60</f>
        <v>29.183333333333334</v>
      </c>
      <c r="L94">
        <f>9+28/60</f>
        <v>9.4666666666666668</v>
      </c>
      <c r="M94">
        <f>1+5/60</f>
        <v>1.0833333333333333</v>
      </c>
      <c r="N94" t="s">
        <v>21</v>
      </c>
      <c r="O94" t="s">
        <v>7</v>
      </c>
      <c r="P94" t="s">
        <v>103</v>
      </c>
      <c r="Q94" s="34">
        <f t="shared" si="87"/>
        <v>1</v>
      </c>
      <c r="R94" s="10" t="str">
        <f t="shared" si="84"/>
        <v>Loss</v>
      </c>
      <c r="S94" t="str">
        <f t="shared" si="88"/>
        <v>12-2019</v>
      </c>
      <c r="T94" t="str">
        <f t="shared" si="89"/>
        <v>Monday</v>
      </c>
      <c r="U94">
        <f t="shared" si="85"/>
        <v>0</v>
      </c>
      <c r="V94" s="8">
        <f>IFERROR(Table1[[#This Row],[ClassLength]]/Table1[[#This Row],[Splat]],0)</f>
        <v>5.8633333278217998</v>
      </c>
      <c r="W94" s="10">
        <f t="shared" si="90"/>
        <v>0</v>
      </c>
      <c r="X94" s="10">
        <f t="shared" si="91"/>
        <v>0</v>
      </c>
      <c r="Y94" s="10">
        <f t="shared" si="92"/>
        <v>1</v>
      </c>
      <c r="Z94" s="5">
        <f t="shared" si="93"/>
        <v>0.12961910176236496</v>
      </c>
      <c r="AA94" s="5">
        <f t="shared" si="93"/>
        <v>0.19272313814667427</v>
      </c>
      <c r="AB94" s="5">
        <f t="shared" si="93"/>
        <v>0.49772598067083573</v>
      </c>
      <c r="AC94" s="5">
        <f t="shared" si="93"/>
        <v>0.16145537237066515</v>
      </c>
      <c r="AD94" s="5">
        <f t="shared" si="93"/>
        <v>1.8476407049459919E-2</v>
      </c>
      <c r="AE94" s="7">
        <f t="shared" ref="AE94:AE99" si="94">232.14+AJ94</f>
        <v>232.14</v>
      </c>
      <c r="AF94" s="7">
        <f t="shared" si="83"/>
        <v>16.581428571428571</v>
      </c>
      <c r="AG94" s="8">
        <f t="shared" si="56"/>
        <v>626.71428571581123</v>
      </c>
      <c r="AH94" s="8">
        <f t="shared" si="57"/>
        <v>15.071428574307784</v>
      </c>
      <c r="AI94">
        <f>YEAR(Table1[[#This Row],[Date]])</f>
        <v>2019</v>
      </c>
      <c r="AK94">
        <v>12</v>
      </c>
      <c r="AL94" s="8">
        <f>Table1[[#This Row],[Calories]]/Table1[[#This Row],[ClassLength]]</f>
        <v>11.529277998864593</v>
      </c>
      <c r="AM94" s="10" t="str">
        <f>RIGHT(Table1[[#This Row],[Time]],2)</f>
        <v>PM</v>
      </c>
      <c r="AN94" s="10" t="str">
        <f>Table1[[#This Row],[Mon_Yr]]&amp;"-"&amp;WEEKNUM(Table1[[#This Row],[Date]],1)-WEEKNUM(DATE(YEAR(Table1[[#This Row],[Date]]),MONTH(Table1[[#This Row],[Date]]),1),1)+1</f>
        <v>12-2019-1</v>
      </c>
      <c r="AO94">
        <f>MONTH(Table1[[#This Row],[Date]])</f>
        <v>12</v>
      </c>
      <c r="AP94" s="8">
        <f>IFERROR(Table1[[#This Row],[Calories]]/Table1[[#This Row],[Splat]],0)</f>
        <v>67.599999936465395</v>
      </c>
      <c r="AQ94" s="10">
        <f>COUNTIF(Table1[Location],Table1[[#This Row],[Location]])</f>
        <v>37</v>
      </c>
      <c r="AR94" s="10">
        <f>IF(AND(Table1[[#This Row],[Calories]]&gt;=600,Table1[[#This Row],[Splat]]&gt;=12),1,0)</f>
        <v>0</v>
      </c>
      <c r="AS94" s="10">
        <f>IF(AND(Table1[[#This Row],[Calories]]&gt;=500,Table1[[#This Row],[Splat]]&gt;=12),1,0)</f>
        <v>0</v>
      </c>
      <c r="AT94" s="8">
        <f>Table1[[#This Row],[ClassLength]]/Table1[[#This Row],[Calories]]</f>
        <v>8.6735700197226595E-2</v>
      </c>
      <c r="AU9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94" s="10">
        <f>COUNTIF(Table1[Trainer],Table1[[#This Row],[Trainer]])</f>
        <v>8</v>
      </c>
      <c r="AW94" s="10" t="str">
        <f>UPPER(LEFT(TEXT(Table1[Date],"mmmm"),3))&amp;" "&amp;TEXT(Table1[Date],"yyyy")</f>
        <v>DEC 2019</v>
      </c>
      <c r="AX94" s="10">
        <f>VLOOKUP(Table1[[#This Row],[Location]],'Tab for Charts'!$A$93:$B$103,2,FALSE)</f>
        <v>38.903509999999997</v>
      </c>
      <c r="AY94" s="10">
        <f>VLOOKUP(Table1[[#This Row],[Location]],'Tab for Charts'!$A$93:$C$103,3,FALSE)</f>
        <v>-77.051809000000006</v>
      </c>
    </row>
    <row r="95" spans="1:51">
      <c r="A95">
        <v>94</v>
      </c>
      <c r="B95">
        <f t="shared" si="44"/>
        <v>14</v>
      </c>
      <c r="C95" s="1">
        <v>43803</v>
      </c>
      <c r="D95" s="8">
        <f>56+18/60</f>
        <v>56.3</v>
      </c>
      <c r="E95">
        <f>23+ROW()/10000000000</f>
        <v>23.000000009499999</v>
      </c>
      <c r="F95">
        <f>610+ROW()/10000000000</f>
        <v>610.00000000950001</v>
      </c>
      <c r="G95">
        <f>126</f>
        <v>126</v>
      </c>
      <c r="H95">
        <v>173</v>
      </c>
      <c r="I95">
        <f>20+50/60</f>
        <v>20.833333333333332</v>
      </c>
      <c r="J95">
        <f>6+15/60</f>
        <v>6.25</v>
      </c>
      <c r="K95">
        <f>6+25/60</f>
        <v>6.416666666666667</v>
      </c>
      <c r="L95">
        <f>17+14/60</f>
        <v>17.233333333333334</v>
      </c>
      <c r="M95">
        <f>5+34/60</f>
        <v>5.5666666666666664</v>
      </c>
      <c r="N95" t="s">
        <v>21</v>
      </c>
      <c r="O95" t="s">
        <v>7</v>
      </c>
      <c r="P95" t="s">
        <v>23</v>
      </c>
      <c r="Q95" s="34">
        <f t="shared" si="87"/>
        <v>2</v>
      </c>
      <c r="R95" s="10" t="str">
        <f t="shared" si="84"/>
        <v>Correct</v>
      </c>
      <c r="S95" t="str">
        <f t="shared" si="88"/>
        <v>12-2019</v>
      </c>
      <c r="T95" t="str">
        <f t="shared" si="89"/>
        <v>Wednesday</v>
      </c>
      <c r="U95">
        <f t="shared" si="85"/>
        <v>1</v>
      </c>
      <c r="V95" s="8">
        <f>IFERROR(Table1[[#This Row],[ClassLength]]/Table1[[#This Row],[Splat]],0)</f>
        <v>2.4478260859454632</v>
      </c>
      <c r="W95" s="10">
        <f t="shared" si="90"/>
        <v>1</v>
      </c>
      <c r="X95" s="10">
        <f t="shared" si="91"/>
        <v>0</v>
      </c>
      <c r="Y95" s="10">
        <f t="shared" si="92"/>
        <v>0</v>
      </c>
      <c r="Z95" s="5">
        <f t="shared" si="93"/>
        <v>0.37004144464179989</v>
      </c>
      <c r="AA95" s="5">
        <f t="shared" si="93"/>
        <v>0.11101243339253997</v>
      </c>
      <c r="AB95" s="5">
        <f t="shared" si="93"/>
        <v>0.11397276494967437</v>
      </c>
      <c r="AC95" s="5">
        <f t="shared" si="93"/>
        <v>0.30609828300769687</v>
      </c>
      <c r="AD95" s="5">
        <f t="shared" si="93"/>
        <v>9.8875074008288932E-2</v>
      </c>
      <c r="AE95" s="7">
        <f t="shared" si="94"/>
        <v>232.14</v>
      </c>
      <c r="AF95" s="7">
        <f t="shared" si="83"/>
        <v>16.581428571428571</v>
      </c>
      <c r="AG95" s="8">
        <f t="shared" si="56"/>
        <v>626.71428571581123</v>
      </c>
      <c r="AH95" s="8">
        <f t="shared" si="57"/>
        <v>15.071428574307784</v>
      </c>
      <c r="AI95">
        <f>YEAR(Table1[[#This Row],[Date]])</f>
        <v>2019</v>
      </c>
      <c r="AK95">
        <v>12</v>
      </c>
      <c r="AL95" s="8">
        <f>Table1[[#This Row],[Calories]]/Table1[[#This Row],[ClassLength]]</f>
        <v>10.83481349928064</v>
      </c>
      <c r="AM95" s="10" t="str">
        <f>RIGHT(Table1[[#This Row],[Time]],2)</f>
        <v>PM</v>
      </c>
      <c r="AN95" s="10" t="str">
        <f>Table1[[#This Row],[Mon_Yr]]&amp;"-"&amp;WEEKNUM(Table1[[#This Row],[Date]],1)-WEEKNUM(DATE(YEAR(Table1[[#This Row],[Date]]),MONTH(Table1[[#This Row],[Date]]),1),1)+1</f>
        <v>12-2019-1</v>
      </c>
      <c r="AO95">
        <f>MONTH(Table1[[#This Row],[Date]])</f>
        <v>12</v>
      </c>
      <c r="AP95" s="8">
        <f>IFERROR(Table1[[#This Row],[Calories]]/Table1[[#This Row],[Splat]],0)</f>
        <v>26.521739119893198</v>
      </c>
      <c r="AQ95" s="10">
        <f>COUNTIF(Table1[Location],Table1[[#This Row],[Location]])</f>
        <v>37</v>
      </c>
      <c r="AR95" s="10">
        <f>IF(AND(Table1[[#This Row],[Calories]]&gt;=600,Table1[[#This Row],[Splat]]&gt;=12),1,0)</f>
        <v>1</v>
      </c>
      <c r="AS95" s="10">
        <f>IF(AND(Table1[[#This Row],[Calories]]&gt;=500,Table1[[#This Row],[Splat]]&gt;=12),1,0)</f>
        <v>1</v>
      </c>
      <c r="AT95" s="8">
        <f>Table1[[#This Row],[ClassLength]]/Table1[[#This Row],[Calories]]</f>
        <v>9.2295081965775724E-2</v>
      </c>
      <c r="AU9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95" s="10">
        <f>COUNTIF(Table1[Trainer],Table1[[#This Row],[Trainer]])</f>
        <v>20</v>
      </c>
      <c r="AW95" s="10" t="str">
        <f>UPPER(LEFT(TEXT(Table1[Date],"mmmm"),3))&amp;" "&amp;TEXT(Table1[Date],"yyyy")</f>
        <v>DEC 2019</v>
      </c>
      <c r="AX95" s="10">
        <f>VLOOKUP(Table1[[#This Row],[Location]],'Tab for Charts'!$A$93:$B$103,2,FALSE)</f>
        <v>38.903509999999997</v>
      </c>
      <c r="AY95" s="10">
        <f>VLOOKUP(Table1[[#This Row],[Location]],'Tab for Charts'!$A$93:$C$103,3,FALSE)</f>
        <v>-77.051809000000006</v>
      </c>
    </row>
    <row r="96" spans="1:51">
      <c r="A96">
        <v>95</v>
      </c>
      <c r="B96">
        <f t="shared" si="44"/>
        <v>14</v>
      </c>
      <c r="C96" s="1">
        <v>43804</v>
      </c>
      <c r="D96" s="8">
        <f>56+54/60</f>
        <v>56.9</v>
      </c>
      <c r="E96">
        <f>16+ROW()/10000000000</f>
        <v>16.000000009600001</v>
      </c>
      <c r="F96">
        <f>678+ROW()/1000000000000</f>
        <v>678.00000000009595</v>
      </c>
      <c r="G96">
        <f>134</f>
        <v>134</v>
      </c>
      <c r="H96">
        <v>167</v>
      </c>
      <c r="I96">
        <f>6+12/60</f>
        <v>6.2</v>
      </c>
      <c r="J96">
        <f>5+41/60</f>
        <v>5.6833333333333336</v>
      </c>
      <c r="K96">
        <f>29+1/60</f>
        <v>29.016666666666666</v>
      </c>
      <c r="L96">
        <f>13+54/60</f>
        <v>13.9</v>
      </c>
      <c r="M96">
        <f>2+6/60</f>
        <v>2.1</v>
      </c>
      <c r="N96" t="s">
        <v>37</v>
      </c>
      <c r="O96" t="s">
        <v>20</v>
      </c>
      <c r="P96" t="s">
        <v>175</v>
      </c>
      <c r="Q96" s="34">
        <f t="shared" si="87"/>
        <v>1</v>
      </c>
      <c r="R96" s="10" t="str">
        <f t="shared" si="84"/>
        <v>Correct</v>
      </c>
      <c r="S96" t="str">
        <f t="shared" si="88"/>
        <v>12-2019</v>
      </c>
      <c r="T96" t="str">
        <f t="shared" si="89"/>
        <v>Thursday</v>
      </c>
      <c r="U96">
        <f t="shared" si="85"/>
        <v>1</v>
      </c>
      <c r="V96" s="8">
        <f>IFERROR(Table1[[#This Row],[ClassLength]]/Table1[[#This Row],[Splat]],0)</f>
        <v>3.5562499978662498</v>
      </c>
      <c r="W96" s="10">
        <f t="shared" si="90"/>
        <v>1</v>
      </c>
      <c r="X96" s="10">
        <f t="shared" si="91"/>
        <v>0</v>
      </c>
      <c r="Y96" s="10">
        <f t="shared" si="92"/>
        <v>0</v>
      </c>
      <c r="Z96" s="5">
        <f t="shared" si="93"/>
        <v>0.10896309314586995</v>
      </c>
      <c r="AA96" s="5">
        <f t="shared" si="93"/>
        <v>9.9882835383714119E-2</v>
      </c>
      <c r="AB96" s="5">
        <f t="shared" si="93"/>
        <v>0.50995899238429998</v>
      </c>
      <c r="AC96" s="5">
        <f t="shared" si="93"/>
        <v>0.24428822495606328</v>
      </c>
      <c r="AD96" s="5">
        <f t="shared" si="93"/>
        <v>3.6906854130052728E-2</v>
      </c>
      <c r="AE96" s="7">
        <f t="shared" si="94"/>
        <v>232.14</v>
      </c>
      <c r="AF96" s="7">
        <f t="shared" si="83"/>
        <v>16.581428571428571</v>
      </c>
      <c r="AG96" s="8">
        <f t="shared" si="56"/>
        <v>626.71428571581123</v>
      </c>
      <c r="AH96" s="8">
        <f t="shared" si="57"/>
        <v>15.071428574307784</v>
      </c>
      <c r="AI96">
        <f>YEAR(Table1[[#This Row],[Date]])</f>
        <v>2019</v>
      </c>
      <c r="AK96">
        <v>12</v>
      </c>
      <c r="AL96" s="8">
        <f>Table1[[#This Row],[Calories]]/Table1[[#This Row],[ClassLength]]</f>
        <v>11.915641476275852</v>
      </c>
      <c r="AM96" s="10" t="str">
        <f>RIGHT(Table1[[#This Row],[Time]],2)</f>
        <v>PM</v>
      </c>
      <c r="AN96" s="10" t="str">
        <f>Table1[[#This Row],[Mon_Yr]]&amp;"-"&amp;WEEKNUM(Table1[[#This Row],[Date]],1)-WEEKNUM(DATE(YEAR(Table1[[#This Row],[Date]]),MONTH(Table1[[#This Row],[Date]]),1),1)+1</f>
        <v>12-2019-1</v>
      </c>
      <c r="AO96">
        <f>MONTH(Table1[[#This Row],[Date]])</f>
        <v>12</v>
      </c>
      <c r="AP96" s="8">
        <f>IFERROR(Table1[[#This Row],[Calories]]/Table1[[#This Row],[Splat]],0)</f>
        <v>42.374999974580994</v>
      </c>
      <c r="AQ96" s="10">
        <f>COUNTIF(Table1[Location],Table1[[#This Row],[Location]])</f>
        <v>3</v>
      </c>
      <c r="AR96" s="10">
        <f>IF(AND(Table1[[#This Row],[Calories]]&gt;=600,Table1[[#This Row],[Splat]]&gt;=12),1,0)</f>
        <v>1</v>
      </c>
      <c r="AS96" s="10">
        <f>IF(AND(Table1[[#This Row],[Calories]]&gt;=500,Table1[[#This Row],[Splat]]&gt;=12),1,0)</f>
        <v>1</v>
      </c>
      <c r="AT96" s="8">
        <f>Table1[[#This Row],[ClassLength]]/Table1[[#This Row],[Calories]]</f>
        <v>8.3923303834796376E-2</v>
      </c>
      <c r="AU9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96" s="10">
        <f>COUNTIF(Table1[Trainer],Table1[[#This Row],[Trainer]])</f>
        <v>1</v>
      </c>
      <c r="AW96" s="10" t="str">
        <f>UPPER(LEFT(TEXT(Table1[Date],"mmmm"),3))&amp;" "&amp;TEXT(Table1[Date],"yyyy")</f>
        <v>DEC 2019</v>
      </c>
      <c r="AX96" s="10">
        <f>VLOOKUP(Table1[[#This Row],[Location]],'Tab for Charts'!$A$93:$B$103,2,FALSE)</f>
        <v>38.904280999999997</v>
      </c>
      <c r="AY96" s="10">
        <f>VLOOKUP(Table1[[#This Row],[Location]],'Tab for Charts'!$A$93:$C$103,3,FALSE)</f>
        <v>-77.031495000000007</v>
      </c>
    </row>
    <row r="97" spans="1:51">
      <c r="A97">
        <v>96</v>
      </c>
      <c r="B97">
        <f t="shared" si="44"/>
        <v>14</v>
      </c>
      <c r="C97" s="1">
        <v>43806</v>
      </c>
      <c r="D97" s="8">
        <f>55+16/60</f>
        <v>55.266666666666666</v>
      </c>
      <c r="E97">
        <f>13+ROW()/1000000000000</f>
        <v>13.000000000097</v>
      </c>
      <c r="F97">
        <f>605+ROW()/10000000000000</f>
        <v>605.00000000000966</v>
      </c>
      <c r="G97">
        <v>127</v>
      </c>
      <c r="H97">
        <v>166</v>
      </c>
      <c r="I97">
        <f>7+55/60</f>
        <v>7.916666666666667</v>
      </c>
      <c r="J97">
        <f>18+51/60</f>
        <v>18.850000000000001</v>
      </c>
      <c r="K97">
        <f>15+47/60</f>
        <v>15.783333333333333</v>
      </c>
      <c r="L97">
        <f>10+49/60</f>
        <v>10.816666666666666</v>
      </c>
      <c r="M97">
        <f>1+54/60</f>
        <v>1.9</v>
      </c>
      <c r="N97" t="s">
        <v>15</v>
      </c>
      <c r="O97" t="s">
        <v>22</v>
      </c>
      <c r="P97" t="s">
        <v>17</v>
      </c>
      <c r="Q97" s="34">
        <f t="shared" ref="Q97:Q106" si="95">C97-C96</f>
        <v>2</v>
      </c>
      <c r="R97" s="10" t="str">
        <f t="shared" ref="R97:R106" si="96">IF(ROUND(E97,1)-ROUND(L97+M97,0)=0,"Correct",IF(ROUND(E97,1)-ROUND(L97+M97,0)=1,"Gain","Loss"))</f>
        <v>Correct</v>
      </c>
      <c r="S97" t="str">
        <f t="shared" ref="S97:S106" si="97">MONTH(C97)&amp;"-"&amp;YEAR(C97)</f>
        <v>12-2019</v>
      </c>
      <c r="T97" t="str">
        <f t="shared" ref="T97:T106" si="98">IF(WEEKDAY(C97)=1,"Sunday",IF(WEEKDAY(C97)=2,"Monday",IF(WEEKDAY(C97)=3,"Tuesday",IF(WEEKDAY(C97)=4,"Wednesday",IF(WEEKDAY(C97)=5,"Thursday",IF(WEEKDAY(C97)=6,"Friday","Saturday"))))))</f>
        <v>Saturday</v>
      </c>
      <c r="U97">
        <f t="shared" ref="U97:U106" si="99">IF(E97&gt;=12,1,0)</f>
        <v>1</v>
      </c>
      <c r="V97" s="8">
        <f>IFERROR(Table1[[#This Row],[ClassLength]]/Table1[[#This Row],[Splat]],0)</f>
        <v>4.25128205125033</v>
      </c>
      <c r="W97" s="10">
        <f t="shared" ref="W97:W106" si="100">IF(ROUND($E97,1)-ROUND($L97+$M97,0)=0,1,0)</f>
        <v>1</v>
      </c>
      <c r="X97" s="10">
        <f t="shared" ref="X97:X106" si="101">IF(ROUND($E97,1)-ROUND($L97+$M97,0)=1,1,0)</f>
        <v>0</v>
      </c>
      <c r="Y97" s="10">
        <f t="shared" ref="Y97:Y106" si="102">IF(ROUND($E97,1)-ROUND($L97+$M97,0)=-1,1,0)</f>
        <v>0</v>
      </c>
      <c r="Z97" s="5">
        <f t="shared" ref="Z97:AD98" si="103">IFERROR(I97/$D97,"")</f>
        <v>0.14324487334137515</v>
      </c>
      <c r="AA97" s="5">
        <f t="shared" si="103"/>
        <v>0.34107358262967435</v>
      </c>
      <c r="AB97" s="5">
        <f t="shared" si="103"/>
        <v>0.28558504221954162</v>
      </c>
      <c r="AC97" s="5">
        <f t="shared" si="103"/>
        <v>0.1957177322074789</v>
      </c>
      <c r="AD97" s="5">
        <f t="shared" si="103"/>
        <v>3.4378769601930037E-2</v>
      </c>
      <c r="AE97" s="7">
        <f t="shared" si="94"/>
        <v>232.14</v>
      </c>
      <c r="AF97" s="7">
        <f t="shared" ref="AF97:AF106" si="104">AE97/B97</f>
        <v>16.581428571428571</v>
      </c>
      <c r="AG97" s="8">
        <f t="shared" si="56"/>
        <v>626.71428571581123</v>
      </c>
      <c r="AH97" s="8">
        <f t="shared" si="57"/>
        <v>15.071428574307784</v>
      </c>
      <c r="AI97">
        <f>YEAR(Table1[[#This Row],[Date]])</f>
        <v>2019</v>
      </c>
      <c r="AK97">
        <v>12</v>
      </c>
      <c r="AL97" s="8">
        <f>Table1[[#This Row],[Calories]]/Table1[[#This Row],[ClassLength]]</f>
        <v>10.946924004825265</v>
      </c>
      <c r="AM97" s="10" t="str">
        <f>RIGHT(Table1[[#This Row],[Time]],2)</f>
        <v>AM</v>
      </c>
      <c r="AN97" s="10" t="str">
        <f>Table1[[#This Row],[Mon_Yr]]&amp;"-"&amp;WEEKNUM(Table1[[#This Row],[Date]],1)-WEEKNUM(DATE(YEAR(Table1[[#This Row],[Date]]),MONTH(Table1[[#This Row],[Date]]),1),1)+1</f>
        <v>12-2019-1</v>
      </c>
      <c r="AO97">
        <f>MONTH(Table1[[#This Row],[Date]])</f>
        <v>12</v>
      </c>
      <c r="AP97" s="8">
        <f>IFERROR(Table1[[#This Row],[Calories]]/Table1[[#This Row],[Splat]],0)</f>
        <v>46.538461538115037</v>
      </c>
      <c r="AQ97" s="10">
        <f>COUNTIF(Table1[Location],Table1[[#This Row],[Location]])</f>
        <v>48</v>
      </c>
      <c r="AR97" s="10">
        <f>IF(AND(Table1[[#This Row],[Calories]]&gt;=600,Table1[[#This Row],[Splat]]&gt;=12),1,0)</f>
        <v>1</v>
      </c>
      <c r="AS97" s="10">
        <f>IF(AND(Table1[[#This Row],[Calories]]&gt;=500,Table1[[#This Row],[Splat]]&gt;=12),1,0)</f>
        <v>1</v>
      </c>
      <c r="AT97" s="8">
        <f>Table1[[#This Row],[ClassLength]]/Table1[[#This Row],[Calories]]</f>
        <v>9.1349862258951711E-2</v>
      </c>
      <c r="AU9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97" s="10">
        <f>COUNTIF(Table1[Trainer],Table1[[#This Row],[Trainer]])</f>
        <v>29</v>
      </c>
      <c r="AW97" s="10" t="str">
        <f>UPPER(LEFT(TEXT(Table1[Date],"mmmm"),3))&amp;" "&amp;TEXT(Table1[Date],"yyyy")</f>
        <v>DEC 2019</v>
      </c>
      <c r="AX97" s="10">
        <f>VLOOKUP(Table1[[#This Row],[Location]],'Tab for Charts'!$A$93:$B$103,2,FALSE)</f>
        <v>38.916486999999996</v>
      </c>
      <c r="AY97" s="10">
        <f>VLOOKUP(Table1[[#This Row],[Location]],'Tab for Charts'!$A$93:$C$103,3,FALSE)</f>
        <v>-77.031514000000001</v>
      </c>
    </row>
    <row r="98" spans="1:51">
      <c r="A98">
        <v>97</v>
      </c>
      <c r="B98">
        <f t="shared" ref="B98:B129" si="105">COUNTIF(S:S,S98)</f>
        <v>14</v>
      </c>
      <c r="C98" s="1">
        <v>43808</v>
      </c>
      <c r="D98" s="8">
        <f>59+21/60</f>
        <v>59.35</v>
      </c>
      <c r="E98">
        <f>13+ROW()/100000000000</f>
        <v>13.00000000098</v>
      </c>
      <c r="F98">
        <f>553+ROW()/10000000000000000</f>
        <v>553</v>
      </c>
      <c r="G98">
        <f>116</f>
        <v>116</v>
      </c>
      <c r="H98">
        <v>162</v>
      </c>
      <c r="I98">
        <f>31+5/60</f>
        <v>31.083333333333332</v>
      </c>
      <c r="J98">
        <f>3+23/60</f>
        <v>3.3833333333333333</v>
      </c>
      <c r="K98">
        <f>11+57/60</f>
        <v>11.95</v>
      </c>
      <c r="L98">
        <f>12+53/60</f>
        <v>12.883333333333333</v>
      </c>
      <c r="M98">
        <f>0+3/60</f>
        <v>0.05</v>
      </c>
      <c r="N98" t="s">
        <v>21</v>
      </c>
      <c r="O98" t="s">
        <v>7</v>
      </c>
      <c r="P98" t="s">
        <v>103</v>
      </c>
      <c r="Q98" s="34">
        <f t="shared" si="95"/>
        <v>2</v>
      </c>
      <c r="R98" s="10" t="str">
        <f t="shared" si="96"/>
        <v>Correct</v>
      </c>
      <c r="S98" t="str">
        <f t="shared" si="97"/>
        <v>12-2019</v>
      </c>
      <c r="T98" t="str">
        <f t="shared" si="98"/>
        <v>Monday</v>
      </c>
      <c r="U98">
        <f t="shared" si="99"/>
        <v>1</v>
      </c>
      <c r="V98" s="8">
        <f>IFERROR(Table1[[#This Row],[ClassLength]]/Table1[[#This Row],[Splat]],0)</f>
        <v>4.5653846150404558</v>
      </c>
      <c r="W98" s="10">
        <f t="shared" si="100"/>
        <v>1</v>
      </c>
      <c r="X98" s="10">
        <f t="shared" si="101"/>
        <v>0</v>
      </c>
      <c r="Y98" s="10">
        <f t="shared" si="102"/>
        <v>0</v>
      </c>
      <c r="Z98" s="5">
        <f t="shared" si="103"/>
        <v>0.5237292895254142</v>
      </c>
      <c r="AA98" s="5">
        <f t="shared" si="103"/>
        <v>5.7006458859870823E-2</v>
      </c>
      <c r="AB98" s="5">
        <f t="shared" si="103"/>
        <v>0.20134793597304126</v>
      </c>
      <c r="AC98" s="5">
        <f t="shared" si="103"/>
        <v>0.21707385565852289</v>
      </c>
      <c r="AD98" s="5">
        <f t="shared" si="103"/>
        <v>8.424599831508004E-4</v>
      </c>
      <c r="AE98" s="7">
        <f t="shared" si="94"/>
        <v>232.14</v>
      </c>
      <c r="AF98" s="7">
        <f t="shared" si="104"/>
        <v>16.581428571428571</v>
      </c>
      <c r="AG98" s="8">
        <f t="shared" ref="AG98:AG129" si="106">AVERAGEIF(S:S,S98,F:F)</f>
        <v>626.71428571581123</v>
      </c>
      <c r="AH98" s="8">
        <f t="shared" ref="AH98:AH129" si="107">AVERAGEIF(S:S,S98,E:E)</f>
        <v>15.071428574307784</v>
      </c>
      <c r="AI98">
        <f>YEAR(Table1[[#This Row],[Date]])</f>
        <v>2019</v>
      </c>
      <c r="AK98">
        <v>12</v>
      </c>
      <c r="AL98" s="8">
        <f>Table1[[#This Row],[Calories]]/Table1[[#This Row],[ClassLength]]</f>
        <v>9.3176074136478508</v>
      </c>
      <c r="AM98" s="10" t="str">
        <f>RIGHT(Table1[[#This Row],[Time]],2)</f>
        <v>PM</v>
      </c>
      <c r="AN98" s="10" t="str">
        <f>Table1[[#This Row],[Mon_Yr]]&amp;"-"&amp;WEEKNUM(Table1[[#This Row],[Date]],1)-WEEKNUM(DATE(YEAR(Table1[[#This Row],[Date]]),MONTH(Table1[[#This Row],[Date]]),1),1)+1</f>
        <v>12-2019-2</v>
      </c>
      <c r="AO98">
        <f>MONTH(Table1[[#This Row],[Date]])</f>
        <v>12</v>
      </c>
      <c r="AP98" s="8">
        <f>IFERROR(Table1[[#This Row],[Calories]]/Table1[[#This Row],[Splat]],0)</f>
        <v>42.53846153525479</v>
      </c>
      <c r="AQ98" s="10">
        <f>COUNTIF(Table1[Location],Table1[[#This Row],[Location]])</f>
        <v>37</v>
      </c>
      <c r="AR98" s="10">
        <f>IF(AND(Table1[[#This Row],[Calories]]&gt;=600,Table1[[#This Row],[Splat]]&gt;=12),1,0)</f>
        <v>0</v>
      </c>
      <c r="AS98" s="10">
        <f>IF(AND(Table1[[#This Row],[Calories]]&gt;=500,Table1[[#This Row],[Splat]]&gt;=12),1,0)</f>
        <v>1</v>
      </c>
      <c r="AT98" s="8">
        <f>Table1[[#This Row],[ClassLength]]/Table1[[#This Row],[Calories]]</f>
        <v>0.10732368896925859</v>
      </c>
      <c r="AU9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98" s="10">
        <f>COUNTIF(Table1[Trainer],Table1[[#This Row],[Trainer]])</f>
        <v>8</v>
      </c>
      <c r="AW98" s="10" t="str">
        <f>UPPER(LEFT(TEXT(Table1[Date],"mmmm"),3))&amp;" "&amp;TEXT(Table1[Date],"yyyy")</f>
        <v>DEC 2019</v>
      </c>
      <c r="AX98" s="10">
        <f>VLOOKUP(Table1[[#This Row],[Location]],'Tab for Charts'!$A$93:$B$103,2,FALSE)</f>
        <v>38.903509999999997</v>
      </c>
      <c r="AY98" s="10">
        <f>VLOOKUP(Table1[[#This Row],[Location]],'Tab for Charts'!$A$93:$C$103,3,FALSE)</f>
        <v>-77.051809000000006</v>
      </c>
    </row>
    <row r="99" spans="1:51">
      <c r="A99">
        <v>98</v>
      </c>
      <c r="B99">
        <f t="shared" si="105"/>
        <v>14</v>
      </c>
      <c r="C99" s="1">
        <v>43809</v>
      </c>
      <c r="D99" s="8">
        <f>57</f>
        <v>57</v>
      </c>
      <c r="E99">
        <f>7+ROW()/100000000000</f>
        <v>7.0000000009900001</v>
      </c>
      <c r="F99">
        <f>606+ROW()/100000000000</f>
        <v>606.00000000098998</v>
      </c>
      <c r="G99">
        <v>125</v>
      </c>
      <c r="H99">
        <v>165</v>
      </c>
      <c r="I99">
        <f>10+43/60</f>
        <v>10.716666666666667</v>
      </c>
      <c r="J99">
        <f>18+47/60</f>
        <v>18.783333333333335</v>
      </c>
      <c r="K99">
        <f>20+28/60</f>
        <v>20.466666666666665</v>
      </c>
      <c r="L99">
        <f>6+34/60</f>
        <v>6.5666666666666664</v>
      </c>
      <c r="M99">
        <f>0+26/60</f>
        <v>0.43333333333333335</v>
      </c>
      <c r="N99" t="s">
        <v>6</v>
      </c>
      <c r="O99" t="s">
        <v>7</v>
      </c>
      <c r="P99" t="s">
        <v>9</v>
      </c>
      <c r="Q99" s="34">
        <f t="shared" si="95"/>
        <v>1</v>
      </c>
      <c r="R99" s="10" t="str">
        <f t="shared" si="96"/>
        <v>Correct</v>
      </c>
      <c r="S99" t="str">
        <f t="shared" si="97"/>
        <v>12-2019</v>
      </c>
      <c r="T99" t="str">
        <f t="shared" si="98"/>
        <v>Tuesday</v>
      </c>
      <c r="U99">
        <f t="shared" si="99"/>
        <v>0</v>
      </c>
      <c r="V99" s="8">
        <f>IFERROR(Table1[[#This Row],[ClassLength]]/Table1[[#This Row],[Splat]],0)</f>
        <v>8.1428571417055107</v>
      </c>
      <c r="W99" s="10">
        <f t="shared" si="100"/>
        <v>1</v>
      </c>
      <c r="X99" s="10">
        <f t="shared" si="101"/>
        <v>0</v>
      </c>
      <c r="Y99" s="10">
        <f t="shared" si="102"/>
        <v>0</v>
      </c>
      <c r="Z99" s="5">
        <f t="shared" ref="Z99:AD101" si="108">IFERROR(I99/$D99,"")</f>
        <v>0.18801169590643274</v>
      </c>
      <c r="AA99" s="5">
        <f t="shared" si="108"/>
        <v>0.32953216374269007</v>
      </c>
      <c r="AB99" s="5">
        <f t="shared" si="108"/>
        <v>0.35906432748538009</v>
      </c>
      <c r="AC99" s="5">
        <f t="shared" si="108"/>
        <v>0.1152046783625731</v>
      </c>
      <c r="AD99" s="5">
        <f t="shared" si="108"/>
        <v>7.6023391812865496E-3</v>
      </c>
      <c r="AE99" s="7">
        <f t="shared" si="94"/>
        <v>232.14</v>
      </c>
      <c r="AF99" s="7">
        <f t="shared" si="104"/>
        <v>16.581428571428571</v>
      </c>
      <c r="AG99" s="8">
        <f t="shared" si="106"/>
        <v>626.71428571581123</v>
      </c>
      <c r="AH99" s="8">
        <f t="shared" si="107"/>
        <v>15.071428574307784</v>
      </c>
      <c r="AI99">
        <f>YEAR(Table1[[#This Row],[Date]])</f>
        <v>2019</v>
      </c>
      <c r="AK99">
        <v>12</v>
      </c>
      <c r="AL99" s="8">
        <f>Table1[[#This Row],[Calories]]/Table1[[#This Row],[ClassLength]]</f>
        <v>10.631578947385789</v>
      </c>
      <c r="AM99" s="10" t="str">
        <f>RIGHT(Table1[[#This Row],[Time]],2)</f>
        <v>PM</v>
      </c>
      <c r="AN99" s="10" t="str">
        <f>Table1[[#This Row],[Mon_Yr]]&amp;"-"&amp;WEEKNUM(Table1[[#This Row],[Date]],1)-WEEKNUM(DATE(YEAR(Table1[[#This Row],[Date]]),MONTH(Table1[[#This Row],[Date]]),1),1)+1</f>
        <v>12-2019-2</v>
      </c>
      <c r="AO99">
        <f>MONTH(Table1[[#This Row],[Date]])</f>
        <v>12</v>
      </c>
      <c r="AP99" s="8">
        <f>IFERROR(Table1[[#This Row],[Calories]]/Table1[[#This Row],[Splat]],0)</f>
        <v>86.571428559326321</v>
      </c>
      <c r="AQ99" s="10">
        <f>COUNTIF(Table1[Location],Table1[[#This Row],[Location]])</f>
        <v>35</v>
      </c>
      <c r="AR99" s="10">
        <f>IF(AND(Table1[[#This Row],[Calories]]&gt;=600,Table1[[#This Row],[Splat]]&gt;=12),1,0)</f>
        <v>0</v>
      </c>
      <c r="AS99" s="10">
        <f>IF(AND(Table1[[#This Row],[Calories]]&gt;=500,Table1[[#This Row],[Splat]]&gt;=12),1,0)</f>
        <v>0</v>
      </c>
      <c r="AT99" s="8">
        <f>Table1[[#This Row],[ClassLength]]/Table1[[#This Row],[Calories]]</f>
        <v>9.4059405940440405E-2</v>
      </c>
      <c r="AU9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99" s="10">
        <f>COUNTIF(Table1[Trainer],Table1[[#This Row],[Trainer]])</f>
        <v>10</v>
      </c>
      <c r="AW99" s="10" t="str">
        <f>UPPER(LEFT(TEXT(Table1[Date],"mmmm"),3))&amp;" "&amp;TEXT(Table1[Date],"yyyy")</f>
        <v>DEC 2019</v>
      </c>
      <c r="AX99" s="10">
        <f>VLOOKUP(Table1[[#This Row],[Location]],'Tab for Charts'!$A$93:$B$103,2,FALSE)</f>
        <v>38.881884999999997</v>
      </c>
      <c r="AY99" s="10">
        <f>VLOOKUP(Table1[[#This Row],[Location]],'Tab for Charts'!$A$93:$C$103,3,FALSE)</f>
        <v>-77.229702000000003</v>
      </c>
    </row>
    <row r="100" spans="1:51">
      <c r="A100">
        <v>99</v>
      </c>
      <c r="B100">
        <f t="shared" si="105"/>
        <v>14</v>
      </c>
      <c r="C100" s="1">
        <v>43811</v>
      </c>
      <c r="D100" s="8">
        <f>53+17/60</f>
        <v>53.283333333333331</v>
      </c>
      <c r="E100">
        <f>12+ROW()/1000000000000</f>
        <v>12.0000000001</v>
      </c>
      <c r="F100">
        <f>595+ROW()/1000000000000</f>
        <v>595.00000000010004</v>
      </c>
      <c r="G100">
        <f>129</f>
        <v>129</v>
      </c>
      <c r="H100">
        <v>167</v>
      </c>
      <c r="I100">
        <f>7+47/60</f>
        <v>7.7833333333333332</v>
      </c>
      <c r="J100">
        <f>13+50/60</f>
        <v>13.833333333333334</v>
      </c>
      <c r="K100">
        <f>20+2/60</f>
        <v>20.033333333333335</v>
      </c>
      <c r="L100">
        <f>10+31/60</f>
        <v>10.516666666666667</v>
      </c>
      <c r="M100">
        <f>1+27/60</f>
        <v>1.45</v>
      </c>
      <c r="N100" t="s">
        <v>15</v>
      </c>
      <c r="O100" t="s">
        <v>35</v>
      </c>
      <c r="P100" t="s">
        <v>124</v>
      </c>
      <c r="Q100" s="34">
        <f t="shared" si="95"/>
        <v>2</v>
      </c>
      <c r="R100" s="10" t="str">
        <f t="shared" si="96"/>
        <v>Correct</v>
      </c>
      <c r="S100" t="str">
        <f t="shared" si="97"/>
        <v>12-2019</v>
      </c>
      <c r="T100" t="str">
        <f t="shared" si="98"/>
        <v>Thursday</v>
      </c>
      <c r="U100">
        <f t="shared" si="99"/>
        <v>1</v>
      </c>
      <c r="V100" s="8">
        <f>IFERROR(Table1[[#This Row],[ClassLength]]/Table1[[#This Row],[Splat]],0)</f>
        <v>4.4402777777407749</v>
      </c>
      <c r="W100" s="10">
        <f t="shared" si="100"/>
        <v>1</v>
      </c>
      <c r="X100" s="10">
        <f t="shared" si="101"/>
        <v>0</v>
      </c>
      <c r="Y100" s="10">
        <f t="shared" si="102"/>
        <v>0</v>
      </c>
      <c r="Z100" s="5">
        <f t="shared" si="108"/>
        <v>0.1460744447919925</v>
      </c>
      <c r="AA100" s="5">
        <f t="shared" si="108"/>
        <v>0.25961839224272759</v>
      </c>
      <c r="AB100" s="5">
        <f t="shared" si="108"/>
        <v>0.37597747888645611</v>
      </c>
      <c r="AC100" s="5">
        <f t="shared" si="108"/>
        <v>0.19737253675320615</v>
      </c>
      <c r="AD100" s="5">
        <f t="shared" si="108"/>
        <v>2.7213012198936504E-2</v>
      </c>
      <c r="AE100" s="7">
        <f t="shared" ref="AE100:AE106" si="109">232.14+AJ100</f>
        <v>232.14</v>
      </c>
      <c r="AF100" s="7">
        <f t="shared" si="104"/>
        <v>16.581428571428571</v>
      </c>
      <c r="AG100" s="8">
        <f t="shared" si="106"/>
        <v>626.71428571581123</v>
      </c>
      <c r="AH100" s="8">
        <f t="shared" si="107"/>
        <v>15.071428574307784</v>
      </c>
      <c r="AI100">
        <f>YEAR(Table1[[#This Row],[Date]])</f>
        <v>2019</v>
      </c>
      <c r="AK100">
        <v>12</v>
      </c>
      <c r="AL100" s="8">
        <f>Table1[[#This Row],[Calories]]/Table1[[#This Row],[ClassLength]]</f>
        <v>11.166718798875822</v>
      </c>
      <c r="AM100" s="10" t="str">
        <f>RIGHT(Table1[[#This Row],[Time]],2)</f>
        <v>PM</v>
      </c>
      <c r="AN100" s="10" t="str">
        <f>Table1[[#This Row],[Mon_Yr]]&amp;"-"&amp;WEEKNUM(Table1[[#This Row],[Date]],1)-WEEKNUM(DATE(YEAR(Table1[[#This Row],[Date]]),MONTH(Table1[[#This Row],[Date]]),1),1)+1</f>
        <v>12-2019-2</v>
      </c>
      <c r="AO100">
        <f>MONTH(Table1[[#This Row],[Date]])</f>
        <v>12</v>
      </c>
      <c r="AP100" s="8">
        <f>IFERROR(Table1[[#This Row],[Calories]]/Table1[[#This Row],[Splat]],0)</f>
        <v>49.583333332928476</v>
      </c>
      <c r="AQ100" s="10">
        <f>COUNTIF(Table1[Location],Table1[[#This Row],[Location]])</f>
        <v>48</v>
      </c>
      <c r="AR100" s="10">
        <f>IF(AND(Table1[[#This Row],[Calories]]&gt;=600,Table1[[#This Row],[Splat]]&gt;=12),1,0)</f>
        <v>0</v>
      </c>
      <c r="AS100" s="10">
        <f>IF(AND(Table1[[#This Row],[Calories]]&gt;=500,Table1[[#This Row],[Splat]]&gt;=12),1,0)</f>
        <v>1</v>
      </c>
      <c r="AT100" s="8">
        <f>Table1[[#This Row],[ClassLength]]/Table1[[#This Row],[Calories]]</f>
        <v>8.9551820728276249E-2</v>
      </c>
      <c r="AU10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00" s="10">
        <f>COUNTIF(Table1[Trainer],Table1[[#This Row],[Trainer]])</f>
        <v>3</v>
      </c>
      <c r="AW100" s="10" t="str">
        <f>UPPER(LEFT(TEXT(Table1[Date],"mmmm"),3))&amp;" "&amp;TEXT(Table1[Date],"yyyy")</f>
        <v>DEC 2019</v>
      </c>
      <c r="AX100" s="10">
        <f>VLOOKUP(Table1[[#This Row],[Location]],'Tab for Charts'!$A$93:$B$103,2,FALSE)</f>
        <v>38.916486999999996</v>
      </c>
      <c r="AY100" s="10">
        <f>VLOOKUP(Table1[[#This Row],[Location]],'Tab for Charts'!$A$93:$C$103,3,FALSE)</f>
        <v>-77.031514000000001</v>
      </c>
    </row>
    <row r="101" spans="1:51">
      <c r="A101">
        <v>100</v>
      </c>
      <c r="B101">
        <f t="shared" si="105"/>
        <v>14</v>
      </c>
      <c r="C101" s="1">
        <v>43812</v>
      </c>
      <c r="D101" s="8">
        <f>58+12/60</f>
        <v>58.2</v>
      </c>
      <c r="E101">
        <f>21+ROW()/10000000000000</f>
        <v>21.0000000000101</v>
      </c>
      <c r="F101">
        <f>662+ROW()/1000000000000000</f>
        <v>662.00000000000011</v>
      </c>
      <c r="G101">
        <f>130</f>
        <v>130</v>
      </c>
      <c r="H101">
        <v>163</v>
      </c>
      <c r="I101">
        <f>8+43/60</f>
        <v>8.7166666666666668</v>
      </c>
      <c r="J101">
        <f>14+23/60</f>
        <v>14.383333333333333</v>
      </c>
      <c r="K101">
        <f>14+18/60</f>
        <v>14.3</v>
      </c>
      <c r="L101">
        <f>19+37/60</f>
        <v>19.616666666666667</v>
      </c>
      <c r="M101">
        <f>1+11/60</f>
        <v>1.1833333333333333</v>
      </c>
      <c r="N101" t="s">
        <v>15</v>
      </c>
      <c r="O101" t="s">
        <v>7</v>
      </c>
      <c r="P101" t="s">
        <v>160</v>
      </c>
      <c r="Q101" s="34">
        <f t="shared" si="95"/>
        <v>1</v>
      </c>
      <c r="R101" s="10" t="str">
        <f t="shared" si="96"/>
        <v>Correct</v>
      </c>
      <c r="S101" t="str">
        <f t="shared" si="97"/>
        <v>12-2019</v>
      </c>
      <c r="T101" t="str">
        <f t="shared" si="98"/>
        <v>Friday</v>
      </c>
      <c r="U101">
        <f t="shared" si="99"/>
        <v>1</v>
      </c>
      <c r="V101" s="8">
        <f>IFERROR(Table1[[#This Row],[ClassLength]]/Table1[[#This Row],[Splat]],0)</f>
        <v>2.7714285714272386</v>
      </c>
      <c r="W101" s="10">
        <f t="shared" si="100"/>
        <v>1</v>
      </c>
      <c r="X101" s="10">
        <f t="shared" si="101"/>
        <v>0</v>
      </c>
      <c r="Y101" s="10">
        <f t="shared" si="102"/>
        <v>0</v>
      </c>
      <c r="Z101" s="5">
        <f t="shared" si="108"/>
        <v>0.1497709049255441</v>
      </c>
      <c r="AA101" s="5">
        <f t="shared" si="108"/>
        <v>0.24713631156930124</v>
      </c>
      <c r="AB101" s="5">
        <f t="shared" si="108"/>
        <v>0.24570446735395188</v>
      </c>
      <c r="AC101" s="5">
        <f t="shared" si="108"/>
        <v>0.33705612829324166</v>
      </c>
      <c r="AD101" s="5">
        <f t="shared" si="108"/>
        <v>2.0332187857961054E-2</v>
      </c>
      <c r="AE101" s="7">
        <f t="shared" si="109"/>
        <v>232.14</v>
      </c>
      <c r="AF101" s="7">
        <f t="shared" si="104"/>
        <v>16.581428571428571</v>
      </c>
      <c r="AG101" s="8">
        <f t="shared" si="106"/>
        <v>626.71428571581123</v>
      </c>
      <c r="AH101" s="8">
        <f t="shared" si="107"/>
        <v>15.071428574307784</v>
      </c>
      <c r="AI101">
        <f>YEAR(Table1[[#This Row],[Date]])</f>
        <v>2019</v>
      </c>
      <c r="AK101">
        <v>12</v>
      </c>
      <c r="AL101" s="8">
        <f>Table1[[#This Row],[Calories]]/Table1[[#This Row],[ClassLength]]</f>
        <v>11.374570446735397</v>
      </c>
      <c r="AM101" s="10" t="str">
        <f>RIGHT(Table1[[#This Row],[Time]],2)</f>
        <v>PM</v>
      </c>
      <c r="AN101" s="10" t="str">
        <f>Table1[[#This Row],[Mon_Yr]]&amp;"-"&amp;WEEKNUM(Table1[[#This Row],[Date]],1)-WEEKNUM(DATE(YEAR(Table1[[#This Row],[Date]]),MONTH(Table1[[#This Row],[Date]]),1),1)+1</f>
        <v>12-2019-2</v>
      </c>
      <c r="AO101">
        <f>MONTH(Table1[[#This Row],[Date]])</f>
        <v>12</v>
      </c>
      <c r="AP101" s="8">
        <f>IFERROR(Table1[[#This Row],[Calories]]/Table1[[#This Row],[Splat]],0)</f>
        <v>31.523809523794366</v>
      </c>
      <c r="AQ101" s="10">
        <f>COUNTIF(Table1[Location],Table1[[#This Row],[Location]])</f>
        <v>48</v>
      </c>
      <c r="AR101" s="10">
        <f>IF(AND(Table1[[#This Row],[Calories]]&gt;=600,Table1[[#This Row],[Splat]]&gt;=12),1,0)</f>
        <v>1</v>
      </c>
      <c r="AS101" s="10">
        <f>IF(AND(Table1[[#This Row],[Calories]]&gt;=500,Table1[[#This Row],[Splat]]&gt;=12),1,0)</f>
        <v>1</v>
      </c>
      <c r="AT101" s="8">
        <f>Table1[[#This Row],[ClassLength]]/Table1[[#This Row],[Calories]]</f>
        <v>8.7915407854984889E-2</v>
      </c>
      <c r="AU10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01" s="10">
        <f>COUNTIF(Table1[Trainer],Table1[[#This Row],[Trainer]])</f>
        <v>2</v>
      </c>
      <c r="AW101" s="10" t="str">
        <f>UPPER(LEFT(TEXT(Table1[Date],"mmmm"),3))&amp;" "&amp;TEXT(Table1[Date],"yyyy")</f>
        <v>DEC 2019</v>
      </c>
      <c r="AX101" s="10">
        <f>VLOOKUP(Table1[[#This Row],[Location]],'Tab for Charts'!$A$93:$B$103,2,FALSE)</f>
        <v>38.916486999999996</v>
      </c>
      <c r="AY101" s="10">
        <f>VLOOKUP(Table1[[#This Row],[Location]],'Tab for Charts'!$A$93:$C$103,3,FALSE)</f>
        <v>-77.031514000000001</v>
      </c>
    </row>
    <row r="102" spans="1:51">
      <c r="A102">
        <v>101</v>
      </c>
      <c r="B102">
        <f t="shared" si="105"/>
        <v>14</v>
      </c>
      <c r="C102" s="1">
        <v>43814</v>
      </c>
      <c r="D102" s="8">
        <f>58+56/60</f>
        <v>58.93333333333333</v>
      </c>
      <c r="E102">
        <f>18+ROW()/1000000000000</f>
        <v>18.000000000101998</v>
      </c>
      <c r="F102">
        <f>715+ROW()/1000000000000</f>
        <v>715.00000000010198</v>
      </c>
      <c r="G102">
        <f>135</f>
        <v>135</v>
      </c>
      <c r="H102">
        <v>164</v>
      </c>
      <c r="I102">
        <f>3+59/60</f>
        <v>3.9833333333333334</v>
      </c>
      <c r="J102">
        <f>8+38/60</f>
        <v>8.6333333333333329</v>
      </c>
      <c r="K102">
        <f>28+43/60</f>
        <v>28.716666666666665</v>
      </c>
      <c r="L102">
        <f>16+38/60</f>
        <v>16.633333333333333</v>
      </c>
      <c r="M102">
        <f>0+40/60</f>
        <v>0.66666666666666663</v>
      </c>
      <c r="N102" t="s">
        <v>15</v>
      </c>
      <c r="O102" t="s">
        <v>186</v>
      </c>
      <c r="P102" t="s">
        <v>111</v>
      </c>
      <c r="Q102" s="34">
        <f t="shared" si="95"/>
        <v>2</v>
      </c>
      <c r="R102" s="10" t="str">
        <f t="shared" si="96"/>
        <v>Gain</v>
      </c>
      <c r="S102" t="str">
        <f t="shared" si="97"/>
        <v>12-2019</v>
      </c>
      <c r="T102" t="str">
        <f t="shared" si="98"/>
        <v>Sunday</v>
      </c>
      <c r="U102">
        <f t="shared" si="99"/>
        <v>1</v>
      </c>
      <c r="V102" s="8">
        <f>IFERROR(Table1[[#This Row],[ClassLength]]/Table1[[#This Row],[Splat]],0)</f>
        <v>3.274074074055521</v>
      </c>
      <c r="W102" s="10">
        <f t="shared" si="100"/>
        <v>0</v>
      </c>
      <c r="X102" s="10">
        <f t="shared" si="101"/>
        <v>1</v>
      </c>
      <c r="Y102" s="10">
        <f t="shared" si="102"/>
        <v>0</v>
      </c>
      <c r="Z102" s="5">
        <f t="shared" ref="Z102:AD106" si="110">IFERROR(I102/$D102,"")</f>
        <v>6.7590497737556571E-2</v>
      </c>
      <c r="AA102" s="5">
        <f t="shared" si="110"/>
        <v>0.14649321266968326</v>
      </c>
      <c r="AB102" s="5">
        <f t="shared" si="110"/>
        <v>0.48727375565610859</v>
      </c>
      <c r="AC102" s="5">
        <f t="shared" si="110"/>
        <v>0.28223981900452488</v>
      </c>
      <c r="AD102" s="5">
        <f t="shared" si="110"/>
        <v>1.1312217194570135E-2</v>
      </c>
      <c r="AE102" s="7">
        <f t="shared" si="109"/>
        <v>232.14</v>
      </c>
      <c r="AF102" s="7">
        <f t="shared" si="104"/>
        <v>16.581428571428571</v>
      </c>
      <c r="AG102" s="8">
        <f t="shared" si="106"/>
        <v>626.71428571581123</v>
      </c>
      <c r="AH102" s="8">
        <f t="shared" si="107"/>
        <v>15.071428574307784</v>
      </c>
      <c r="AI102">
        <f>YEAR(Table1[[#This Row],[Date]])</f>
        <v>2019</v>
      </c>
      <c r="AK102">
        <v>12</v>
      </c>
      <c r="AL102" s="8">
        <f>Table1[[#This Row],[Calories]]/Table1[[#This Row],[ClassLength]]</f>
        <v>12.132352941178201</v>
      </c>
      <c r="AM102" s="10" t="str">
        <f>RIGHT(Table1[[#This Row],[Time]],2)</f>
        <v>PM</v>
      </c>
      <c r="AN102" s="10" t="str">
        <f>Table1[[#This Row],[Mon_Yr]]&amp;"-"&amp;WEEKNUM(Table1[[#This Row],[Date]],1)-WEEKNUM(DATE(YEAR(Table1[[#This Row],[Date]]),MONTH(Table1[[#This Row],[Date]]),1),1)+1</f>
        <v>12-2019-3</v>
      </c>
      <c r="AO102">
        <f>MONTH(Table1[[#This Row],[Date]])</f>
        <v>12</v>
      </c>
      <c r="AP102" s="8">
        <f>IFERROR(Table1[[#This Row],[Calories]]/Table1[[#This Row],[Splat]],0)</f>
        <v>39.722222222002799</v>
      </c>
      <c r="AQ102" s="10">
        <f>COUNTIF(Table1[Location],Table1[[#This Row],[Location]])</f>
        <v>48</v>
      </c>
      <c r="AR102" s="10">
        <f>IF(AND(Table1[[#This Row],[Calories]]&gt;=600,Table1[[#This Row],[Splat]]&gt;=12),1,0)</f>
        <v>1</v>
      </c>
      <c r="AS102" s="10">
        <f>IF(AND(Table1[[#This Row],[Calories]]&gt;=500,Table1[[#This Row],[Splat]]&gt;=12),1,0)</f>
        <v>1</v>
      </c>
      <c r="AT102" s="8">
        <f>Table1[[#This Row],[ClassLength]]/Table1[[#This Row],[Calories]]</f>
        <v>8.2424242424230659E-2</v>
      </c>
      <c r="AU10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02" s="10">
        <f>COUNTIF(Table1[Trainer],Table1[[#This Row],[Trainer]])</f>
        <v>5</v>
      </c>
      <c r="AW102" s="10" t="str">
        <f>UPPER(LEFT(TEXT(Table1[Date],"mmmm"),3))&amp;" "&amp;TEXT(Table1[Date],"yyyy")</f>
        <v>DEC 2019</v>
      </c>
      <c r="AX102" s="10">
        <f>VLOOKUP(Table1[[#This Row],[Location]],'Tab for Charts'!$A$93:$B$103,2,FALSE)</f>
        <v>38.916486999999996</v>
      </c>
      <c r="AY102" s="10">
        <f>VLOOKUP(Table1[[#This Row],[Location]],'Tab for Charts'!$A$93:$C$103,3,FALSE)</f>
        <v>-77.031514000000001</v>
      </c>
    </row>
    <row r="103" spans="1:51">
      <c r="A103">
        <v>102</v>
      </c>
      <c r="B103">
        <f t="shared" si="105"/>
        <v>14</v>
      </c>
      <c r="C103" s="1">
        <v>43815</v>
      </c>
      <c r="D103" s="8">
        <f>61+9/60</f>
        <v>61.15</v>
      </c>
      <c r="E103">
        <f>19+ROW()/1000000000000</f>
        <v>19.000000000103</v>
      </c>
      <c r="F103">
        <f>674+ROW()/10000000000000</f>
        <v>674.00000000001035</v>
      </c>
      <c r="G103">
        <f>128</f>
        <v>128</v>
      </c>
      <c r="H103">
        <v>165</v>
      </c>
      <c r="I103">
        <f>16+38/60</f>
        <v>16.633333333333333</v>
      </c>
      <c r="J103">
        <f>12+20/60</f>
        <v>12.333333333333334</v>
      </c>
      <c r="K103">
        <f>13+15/60</f>
        <v>13.25</v>
      </c>
      <c r="L103">
        <f>17+43/60</f>
        <v>17.716666666666665</v>
      </c>
      <c r="M103">
        <f>1+13/60</f>
        <v>1.2166666666666668</v>
      </c>
      <c r="N103" t="s">
        <v>21</v>
      </c>
      <c r="O103" t="s">
        <v>7</v>
      </c>
      <c r="P103" t="s">
        <v>103</v>
      </c>
      <c r="Q103" s="34">
        <f t="shared" si="95"/>
        <v>1</v>
      </c>
      <c r="R103" s="10" t="str">
        <f t="shared" si="96"/>
        <v>Correct</v>
      </c>
      <c r="S103" t="str">
        <f t="shared" si="97"/>
        <v>12-2019</v>
      </c>
      <c r="T103" t="str">
        <f t="shared" si="98"/>
        <v>Monday</v>
      </c>
      <c r="U103">
        <f t="shared" si="99"/>
        <v>1</v>
      </c>
      <c r="V103" s="8">
        <f>IFERROR(Table1[[#This Row],[ClassLength]]/Table1[[#This Row],[Splat]],0)</f>
        <v>3.2184210526141315</v>
      </c>
      <c r="W103" s="10">
        <f t="shared" si="100"/>
        <v>1</v>
      </c>
      <c r="X103" s="10">
        <f t="shared" si="101"/>
        <v>0</v>
      </c>
      <c r="Y103" s="10">
        <f t="shared" si="102"/>
        <v>0</v>
      </c>
      <c r="Z103" s="5">
        <f t="shared" si="110"/>
        <v>0.2720087217225402</v>
      </c>
      <c r="AA103" s="5">
        <f t="shared" si="110"/>
        <v>0.20168983374216409</v>
      </c>
      <c r="AB103" s="5">
        <f t="shared" si="110"/>
        <v>0.21668029435813574</v>
      </c>
      <c r="AC103" s="5">
        <f t="shared" si="110"/>
        <v>0.28972472063232485</v>
      </c>
      <c r="AD103" s="5">
        <f t="shared" si="110"/>
        <v>1.9896429544835108E-2</v>
      </c>
      <c r="AE103" s="7">
        <f t="shared" si="109"/>
        <v>232.14</v>
      </c>
      <c r="AF103" s="7">
        <f t="shared" si="104"/>
        <v>16.581428571428571</v>
      </c>
      <c r="AG103" s="8">
        <f t="shared" si="106"/>
        <v>626.71428571581123</v>
      </c>
      <c r="AH103" s="8">
        <f t="shared" si="107"/>
        <v>15.071428574307784</v>
      </c>
      <c r="AI103">
        <f>YEAR(Table1[[#This Row],[Date]])</f>
        <v>2019</v>
      </c>
      <c r="AK103">
        <v>12</v>
      </c>
      <c r="AL103" s="8">
        <f>Table1[[#This Row],[Calories]]/Table1[[#This Row],[ClassLength]]</f>
        <v>11.022076860180055</v>
      </c>
      <c r="AM103" s="10" t="str">
        <f>RIGHT(Table1[[#This Row],[Time]],2)</f>
        <v>PM</v>
      </c>
      <c r="AN103" s="10" t="str">
        <f>Table1[[#This Row],[Mon_Yr]]&amp;"-"&amp;WEEKNUM(Table1[[#This Row],[Date]],1)-WEEKNUM(DATE(YEAR(Table1[[#This Row],[Date]]),MONTH(Table1[[#This Row],[Date]]),1),1)+1</f>
        <v>12-2019-3</v>
      </c>
      <c r="AO103">
        <f>MONTH(Table1[[#This Row],[Date]])</f>
        <v>12</v>
      </c>
      <c r="AP103" s="8">
        <f>IFERROR(Table1[[#This Row],[Calories]]/Table1[[#This Row],[Splat]],0)</f>
        <v>35.473684210334554</v>
      </c>
      <c r="AQ103" s="10">
        <f>COUNTIF(Table1[Location],Table1[[#This Row],[Location]])</f>
        <v>37</v>
      </c>
      <c r="AR103" s="10">
        <f>IF(AND(Table1[[#This Row],[Calories]]&gt;=600,Table1[[#This Row],[Splat]]&gt;=12),1,0)</f>
        <v>1</v>
      </c>
      <c r="AS103" s="10">
        <f>IF(AND(Table1[[#This Row],[Calories]]&gt;=500,Table1[[#This Row],[Splat]]&gt;=12),1,0)</f>
        <v>1</v>
      </c>
      <c r="AT103" s="8">
        <f>Table1[[#This Row],[ClassLength]]/Table1[[#This Row],[Calories]]</f>
        <v>9.0727002967357653E-2</v>
      </c>
      <c r="AU10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03" s="10">
        <f>COUNTIF(Table1[Trainer],Table1[[#This Row],[Trainer]])</f>
        <v>8</v>
      </c>
      <c r="AW103" s="10" t="str">
        <f>UPPER(LEFT(TEXT(Table1[Date],"mmmm"),3))&amp;" "&amp;TEXT(Table1[Date],"yyyy")</f>
        <v>DEC 2019</v>
      </c>
      <c r="AX103" s="10">
        <f>VLOOKUP(Table1[[#This Row],[Location]],'Tab for Charts'!$A$93:$B$103,2,FALSE)</f>
        <v>38.903509999999997</v>
      </c>
      <c r="AY103" s="10">
        <f>VLOOKUP(Table1[[#This Row],[Location]],'Tab for Charts'!$A$93:$C$103,3,FALSE)</f>
        <v>-77.051809000000006</v>
      </c>
    </row>
    <row r="104" spans="1:51">
      <c r="A104">
        <v>103</v>
      </c>
      <c r="B104">
        <f t="shared" si="105"/>
        <v>14</v>
      </c>
      <c r="C104" s="1">
        <v>43816</v>
      </c>
      <c r="D104" s="8">
        <f>57</f>
        <v>57</v>
      </c>
      <c r="E104">
        <f>11+ROW()/10000000000000</f>
        <v>11.000000000010401</v>
      </c>
      <c r="F104">
        <f>594+ROW()/10000000000000000</f>
        <v>594</v>
      </c>
      <c r="G104">
        <f>124</f>
        <v>124</v>
      </c>
      <c r="H104">
        <v>163</v>
      </c>
      <c r="I104">
        <f>13+55/60</f>
        <v>13.916666666666666</v>
      </c>
      <c r="J104">
        <f>16+52/60</f>
        <v>16.866666666666667</v>
      </c>
      <c r="K104">
        <f>15+12/60</f>
        <v>15.2</v>
      </c>
      <c r="L104">
        <f>10+13/60</f>
        <v>10.216666666666667</v>
      </c>
      <c r="M104">
        <f>0+48/60</f>
        <v>0.8</v>
      </c>
      <c r="N104" t="s">
        <v>6</v>
      </c>
      <c r="O104" t="s">
        <v>7</v>
      </c>
      <c r="P104" t="s">
        <v>9</v>
      </c>
      <c r="Q104" s="34">
        <f t="shared" si="95"/>
        <v>1</v>
      </c>
      <c r="R104" s="10" t="str">
        <f t="shared" si="96"/>
        <v>Correct</v>
      </c>
      <c r="S104" t="str">
        <f t="shared" si="97"/>
        <v>12-2019</v>
      </c>
      <c r="T104" t="str">
        <f t="shared" si="98"/>
        <v>Tuesday</v>
      </c>
      <c r="U104">
        <f t="shared" si="99"/>
        <v>0</v>
      </c>
      <c r="V104" s="8">
        <f>IFERROR(Table1[[#This Row],[ClassLength]]/Table1[[#This Row],[Splat]],0)</f>
        <v>5.1818181818132825</v>
      </c>
      <c r="W104" s="10">
        <f t="shared" si="100"/>
        <v>1</v>
      </c>
      <c r="X104" s="10">
        <f t="shared" si="101"/>
        <v>0</v>
      </c>
      <c r="Y104" s="10">
        <f t="shared" si="102"/>
        <v>0</v>
      </c>
      <c r="Z104" s="5">
        <f t="shared" si="110"/>
        <v>0.24415204678362573</v>
      </c>
      <c r="AA104" s="5">
        <f t="shared" si="110"/>
        <v>0.29590643274853801</v>
      </c>
      <c r="AB104" s="5">
        <f t="shared" si="110"/>
        <v>0.26666666666666666</v>
      </c>
      <c r="AC104" s="5">
        <f t="shared" si="110"/>
        <v>0.17923976608187134</v>
      </c>
      <c r="AD104" s="5">
        <f t="shared" si="110"/>
        <v>1.4035087719298246E-2</v>
      </c>
      <c r="AE104" s="7">
        <f t="shared" si="109"/>
        <v>232.14</v>
      </c>
      <c r="AF104" s="7">
        <f t="shared" si="104"/>
        <v>16.581428571428571</v>
      </c>
      <c r="AG104" s="8">
        <f t="shared" si="106"/>
        <v>626.71428571581123</v>
      </c>
      <c r="AH104" s="8">
        <f t="shared" si="107"/>
        <v>15.071428574307784</v>
      </c>
      <c r="AI104">
        <f>YEAR(Table1[[#This Row],[Date]])</f>
        <v>2019</v>
      </c>
      <c r="AK104">
        <v>12</v>
      </c>
      <c r="AL104" s="8">
        <f>Table1[[#This Row],[Calories]]/Table1[[#This Row],[ClassLength]]</f>
        <v>10.421052631578947</v>
      </c>
      <c r="AM104" s="10" t="str">
        <f>RIGHT(Table1[[#This Row],[Time]],2)</f>
        <v>PM</v>
      </c>
      <c r="AN104" s="10" t="str">
        <f>Table1[[#This Row],[Mon_Yr]]&amp;"-"&amp;WEEKNUM(Table1[[#This Row],[Date]],1)-WEEKNUM(DATE(YEAR(Table1[[#This Row],[Date]]),MONTH(Table1[[#This Row],[Date]]),1),1)+1</f>
        <v>12-2019-3</v>
      </c>
      <c r="AO104">
        <f>MONTH(Table1[[#This Row],[Date]])</f>
        <v>12</v>
      </c>
      <c r="AP104" s="8">
        <f>IFERROR(Table1[[#This Row],[Calories]]/Table1[[#This Row],[Splat]],0)</f>
        <v>53.99999999994894</v>
      </c>
      <c r="AQ104" s="10">
        <f>COUNTIF(Table1[Location],Table1[[#This Row],[Location]])</f>
        <v>35</v>
      </c>
      <c r="AR104" s="10">
        <f>IF(AND(Table1[[#This Row],[Calories]]&gt;=600,Table1[[#This Row],[Splat]]&gt;=12),1,0)</f>
        <v>0</v>
      </c>
      <c r="AS104" s="10">
        <f>IF(AND(Table1[[#This Row],[Calories]]&gt;=500,Table1[[#This Row],[Splat]]&gt;=12),1,0)</f>
        <v>0</v>
      </c>
      <c r="AT104" s="8">
        <f>Table1[[#This Row],[ClassLength]]/Table1[[#This Row],[Calories]]</f>
        <v>9.5959595959595953E-2</v>
      </c>
      <c r="AU10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04" s="10">
        <f>COUNTIF(Table1[Trainer],Table1[[#This Row],[Trainer]])</f>
        <v>10</v>
      </c>
      <c r="AW104" s="10" t="str">
        <f>UPPER(LEFT(TEXT(Table1[Date],"mmmm"),3))&amp;" "&amp;TEXT(Table1[Date],"yyyy")</f>
        <v>DEC 2019</v>
      </c>
      <c r="AX104" s="10">
        <f>VLOOKUP(Table1[[#This Row],[Location]],'Tab for Charts'!$A$93:$B$103,2,FALSE)</f>
        <v>38.881884999999997</v>
      </c>
      <c r="AY104" s="10">
        <f>VLOOKUP(Table1[[#This Row],[Location]],'Tab for Charts'!$A$93:$C$103,3,FALSE)</f>
        <v>-77.229702000000003</v>
      </c>
    </row>
    <row r="105" spans="1:51">
      <c r="A105">
        <v>104</v>
      </c>
      <c r="B105">
        <f t="shared" si="105"/>
        <v>14</v>
      </c>
      <c r="C105" s="1">
        <v>43817</v>
      </c>
      <c r="D105" s="8">
        <f>62+52/60</f>
        <v>62.866666666666667</v>
      </c>
      <c r="E105">
        <f>16+ROW()/10000000000000</f>
        <v>16.000000000010498</v>
      </c>
      <c r="F105">
        <f>621+ROW()/100000000000</f>
        <v>621.00000000105001</v>
      </c>
      <c r="G105">
        <f>120</f>
        <v>120</v>
      </c>
      <c r="H105">
        <v>168</v>
      </c>
      <c r="I105">
        <f>23+41/60</f>
        <v>23.683333333333334</v>
      </c>
      <c r="J105">
        <f>14+6/60</f>
        <v>14.1</v>
      </c>
      <c r="K105">
        <f>8+35/60</f>
        <v>8.5833333333333339</v>
      </c>
      <c r="L105">
        <f>14+6/60</f>
        <v>14.1</v>
      </c>
      <c r="M105">
        <f>2+24/60</f>
        <v>2.4</v>
      </c>
      <c r="N105" t="s">
        <v>21</v>
      </c>
      <c r="O105" t="s">
        <v>187</v>
      </c>
      <c r="P105" t="s">
        <v>103</v>
      </c>
      <c r="Q105" s="34">
        <f t="shared" si="95"/>
        <v>1</v>
      </c>
      <c r="R105" s="10" t="str">
        <f t="shared" si="96"/>
        <v>Loss</v>
      </c>
      <c r="S105" t="str">
        <f t="shared" si="97"/>
        <v>12-2019</v>
      </c>
      <c r="T105" t="str">
        <f t="shared" si="98"/>
        <v>Wednesday</v>
      </c>
      <c r="U105">
        <f t="shared" si="99"/>
        <v>1</v>
      </c>
      <c r="V105" s="8">
        <f>IFERROR(Table1[[#This Row],[ClassLength]]/Table1[[#This Row],[Splat]],0)</f>
        <v>3.9291666666640888</v>
      </c>
      <c r="W105" s="10">
        <f t="shared" si="100"/>
        <v>0</v>
      </c>
      <c r="X105" s="10">
        <f t="shared" si="101"/>
        <v>0</v>
      </c>
      <c r="Y105" s="10">
        <f t="shared" si="102"/>
        <v>1</v>
      </c>
      <c r="Z105" s="5">
        <f t="shared" si="110"/>
        <v>0.37672322375397665</v>
      </c>
      <c r="AA105" s="5">
        <f t="shared" si="110"/>
        <v>0.22428419936373276</v>
      </c>
      <c r="AB105" s="5">
        <f t="shared" si="110"/>
        <v>0.13653234358430541</v>
      </c>
      <c r="AC105" s="5">
        <f t="shared" si="110"/>
        <v>0.22428419936373276</v>
      </c>
      <c r="AD105" s="5">
        <f t="shared" si="110"/>
        <v>3.8176033934252382E-2</v>
      </c>
      <c r="AE105" s="7">
        <f t="shared" si="109"/>
        <v>232.14</v>
      </c>
      <c r="AF105" s="7">
        <f t="shared" si="104"/>
        <v>16.581428571428571</v>
      </c>
      <c r="AG105" s="8">
        <f t="shared" si="106"/>
        <v>626.71428571581123</v>
      </c>
      <c r="AH105" s="8">
        <f t="shared" si="107"/>
        <v>15.071428574307784</v>
      </c>
      <c r="AI105">
        <f>YEAR(Table1[[#This Row],[Date]])</f>
        <v>2019</v>
      </c>
      <c r="AK105">
        <v>12</v>
      </c>
      <c r="AL105" s="8">
        <f>Table1[[#This Row],[Calories]]/Table1[[#This Row],[ClassLength]]</f>
        <v>9.878048780504507</v>
      </c>
      <c r="AM105" s="10" t="str">
        <f>RIGHT(Table1[[#This Row],[Time]],2)</f>
        <v>AM</v>
      </c>
      <c r="AN105" s="10" t="str">
        <f>Table1[[#This Row],[Mon_Yr]]&amp;"-"&amp;WEEKNUM(Table1[[#This Row],[Date]],1)-WEEKNUM(DATE(YEAR(Table1[[#This Row],[Date]]),MONTH(Table1[[#This Row],[Date]]),1),1)+1</f>
        <v>12-2019-3</v>
      </c>
      <c r="AO105">
        <f>MONTH(Table1[[#This Row],[Date]])</f>
        <v>12</v>
      </c>
      <c r="AP105" s="8">
        <f>IFERROR(Table1[[#This Row],[Calories]]/Table1[[#This Row],[Splat]],0)</f>
        <v>38.81250000004016</v>
      </c>
      <c r="AQ105" s="10">
        <f>COUNTIF(Table1[Location],Table1[[#This Row],[Location]])</f>
        <v>37</v>
      </c>
      <c r="AR105" s="10">
        <f>IF(AND(Table1[[#This Row],[Calories]]&gt;=600,Table1[[#This Row],[Splat]]&gt;=12),1,0)</f>
        <v>1</v>
      </c>
      <c r="AS105" s="10">
        <f>IF(AND(Table1[[#This Row],[Calories]]&gt;=500,Table1[[#This Row],[Splat]]&gt;=12),1,0)</f>
        <v>1</v>
      </c>
      <c r="AT105" s="8">
        <f>Table1[[#This Row],[ClassLength]]/Table1[[#This Row],[Calories]]</f>
        <v>0.1012345679010634</v>
      </c>
      <c r="AU10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05" s="10">
        <f>COUNTIF(Table1[Trainer],Table1[[#This Row],[Trainer]])</f>
        <v>8</v>
      </c>
      <c r="AW105" s="10" t="str">
        <f>UPPER(LEFT(TEXT(Table1[Date],"mmmm"),3))&amp;" "&amp;TEXT(Table1[Date],"yyyy")</f>
        <v>DEC 2019</v>
      </c>
      <c r="AX105" s="10">
        <f>VLOOKUP(Table1[[#This Row],[Location]],'Tab for Charts'!$A$93:$B$103,2,FALSE)</f>
        <v>38.903509999999997</v>
      </c>
      <c r="AY105" s="10">
        <f>VLOOKUP(Table1[[#This Row],[Location]],'Tab for Charts'!$A$93:$C$103,3,FALSE)</f>
        <v>-77.051809000000006</v>
      </c>
    </row>
    <row r="106" spans="1:51">
      <c r="A106">
        <v>105</v>
      </c>
      <c r="B106">
        <f t="shared" si="105"/>
        <v>14</v>
      </c>
      <c r="C106" s="1">
        <v>43819</v>
      </c>
      <c r="D106" s="8">
        <f>56+29/60</f>
        <v>56.483333333333334</v>
      </c>
      <c r="E106">
        <f>17+ROW()/1000000000000</f>
        <v>17.000000000105999</v>
      </c>
      <c r="F106">
        <f>584+ROW()/1000000000000</f>
        <v>584.00000000010596</v>
      </c>
      <c r="G106">
        <f>123</f>
        <v>123</v>
      </c>
      <c r="H106">
        <v>169</v>
      </c>
      <c r="I106">
        <f>19+57/60</f>
        <v>19.95</v>
      </c>
      <c r="J106">
        <f>10+36/60</f>
        <v>10.6</v>
      </c>
      <c r="K106">
        <f>8+42/60</f>
        <v>8.6999999999999993</v>
      </c>
      <c r="L106">
        <f>14+51/60</f>
        <v>14.85</v>
      </c>
      <c r="M106">
        <f>2+23/60</f>
        <v>2.3833333333333333</v>
      </c>
      <c r="N106" t="s">
        <v>21</v>
      </c>
      <c r="O106" t="s">
        <v>7</v>
      </c>
      <c r="P106" t="s">
        <v>23</v>
      </c>
      <c r="Q106" s="34">
        <f t="shared" si="95"/>
        <v>2</v>
      </c>
      <c r="R106" s="10" t="str">
        <f t="shared" si="96"/>
        <v>Correct</v>
      </c>
      <c r="S106" t="str">
        <f t="shared" si="97"/>
        <v>12-2019</v>
      </c>
      <c r="T106" t="str">
        <f t="shared" si="98"/>
        <v>Friday</v>
      </c>
      <c r="U106">
        <f t="shared" si="99"/>
        <v>1</v>
      </c>
      <c r="V106" s="8">
        <f>IFERROR(Table1[[#This Row],[ClassLength]]/Table1[[#This Row],[Splat]],0)</f>
        <v>3.3225490195871266</v>
      </c>
      <c r="W106" s="10">
        <f t="shared" si="100"/>
        <v>1</v>
      </c>
      <c r="X106" s="10">
        <f t="shared" si="101"/>
        <v>0</v>
      </c>
      <c r="Y106" s="10">
        <f t="shared" si="102"/>
        <v>0</v>
      </c>
      <c r="Z106" s="5">
        <f t="shared" si="110"/>
        <v>0.35320153437592205</v>
      </c>
      <c r="AA106" s="5">
        <f t="shared" si="110"/>
        <v>0.18766597816465033</v>
      </c>
      <c r="AB106" s="5">
        <f t="shared" si="110"/>
        <v>0.15402773679551487</v>
      </c>
      <c r="AC106" s="5">
        <f t="shared" si="110"/>
        <v>0.2629094128061375</v>
      </c>
      <c r="AD106" s="5">
        <f t="shared" si="110"/>
        <v>4.2195337857775156E-2</v>
      </c>
      <c r="AE106" s="7">
        <f t="shared" si="109"/>
        <v>232.14</v>
      </c>
      <c r="AF106" s="7">
        <f t="shared" si="104"/>
        <v>16.581428571428571</v>
      </c>
      <c r="AG106" s="8">
        <f t="shared" si="106"/>
        <v>626.71428571581123</v>
      </c>
      <c r="AH106" s="8">
        <f t="shared" si="107"/>
        <v>15.071428574307784</v>
      </c>
      <c r="AI106">
        <f>YEAR(Table1[[#This Row],[Date]])</f>
        <v>2019</v>
      </c>
      <c r="AK106">
        <v>12</v>
      </c>
      <c r="AL106" s="8">
        <f>Table1[[#This Row],[Calories]]/Table1[[#This Row],[ClassLength]]</f>
        <v>10.339333136620347</v>
      </c>
      <c r="AM106" s="10" t="str">
        <f>RIGHT(Table1[[#This Row],[Time]],2)</f>
        <v>PM</v>
      </c>
      <c r="AN106" s="10" t="str">
        <f>Table1[[#This Row],[Mon_Yr]]&amp;"-"&amp;WEEKNUM(Table1[[#This Row],[Date]],1)-WEEKNUM(DATE(YEAR(Table1[[#This Row],[Date]]),MONTH(Table1[[#This Row],[Date]]),1),1)+1</f>
        <v>12-2019-3</v>
      </c>
      <c r="AO106">
        <f>MONTH(Table1[[#This Row],[Date]])</f>
        <v>12</v>
      </c>
      <c r="AP106" s="8">
        <f>IFERROR(Table1[[#This Row],[Calories]]/Table1[[#This Row],[Splat]],0)</f>
        <v>34.352941176262625</v>
      </c>
      <c r="AQ106" s="10">
        <f>COUNTIF(Table1[Location],Table1[[#This Row],[Location]])</f>
        <v>37</v>
      </c>
      <c r="AR106" s="10">
        <f>IF(AND(Table1[[#This Row],[Calories]]&gt;=600,Table1[[#This Row],[Splat]]&gt;=12),1,0)</f>
        <v>0</v>
      </c>
      <c r="AS106" s="10">
        <f>IF(AND(Table1[[#This Row],[Calories]]&gt;=500,Table1[[#This Row],[Splat]]&gt;=12),1,0)</f>
        <v>1</v>
      </c>
      <c r="AT106" s="8">
        <f>Table1[[#This Row],[ClassLength]]/Table1[[#This Row],[Calories]]</f>
        <v>9.6718036529662821E-2</v>
      </c>
      <c r="AU10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06" s="10">
        <f>COUNTIF(Table1[Trainer],Table1[[#This Row],[Trainer]])</f>
        <v>20</v>
      </c>
      <c r="AW106" s="10" t="str">
        <f>UPPER(LEFT(TEXT(Table1[Date],"mmmm"),3))&amp;" "&amp;TEXT(Table1[Date],"yyyy")</f>
        <v>DEC 2019</v>
      </c>
      <c r="AX106" s="10">
        <f>VLOOKUP(Table1[[#This Row],[Location]],'Tab for Charts'!$A$93:$B$103,2,FALSE)</f>
        <v>38.903509999999997</v>
      </c>
      <c r="AY106" s="10">
        <f>VLOOKUP(Table1[[#This Row],[Location]],'Tab for Charts'!$A$93:$C$103,3,FALSE)</f>
        <v>-77.051809000000006</v>
      </c>
    </row>
    <row r="107" spans="1:51">
      <c r="A107">
        <v>106</v>
      </c>
      <c r="B107">
        <f t="shared" si="105"/>
        <v>14</v>
      </c>
      <c r="C107" s="1">
        <v>43835</v>
      </c>
      <c r="D107" s="8">
        <f>57+16/60</f>
        <v>57.266666666666666</v>
      </c>
      <c r="E107">
        <f>21+ROW()/100000000000000</f>
        <v>21.000000000001069</v>
      </c>
      <c r="F107">
        <f>699+ROW()/10000000000000</f>
        <v>699.00000000001069</v>
      </c>
      <c r="G107">
        <v>135</v>
      </c>
      <c r="H107">
        <v>175</v>
      </c>
      <c r="I107">
        <f>4+47/60</f>
        <v>4.7833333333333332</v>
      </c>
      <c r="J107">
        <f>16+44/60</f>
        <v>16.733333333333334</v>
      </c>
      <c r="K107">
        <f>15+27/60</f>
        <v>15.45</v>
      </c>
      <c r="L107">
        <f>12+34/60</f>
        <v>12.566666666666666</v>
      </c>
      <c r="M107">
        <f>7+44/60</f>
        <v>7.7333333333333334</v>
      </c>
      <c r="N107" t="s">
        <v>15</v>
      </c>
      <c r="O107" t="s">
        <v>24</v>
      </c>
      <c r="P107" t="s">
        <v>17</v>
      </c>
      <c r="Q107" s="34">
        <f t="shared" ref="Q107:Q112" si="111">C107-C106</f>
        <v>16</v>
      </c>
      <c r="R107" s="10" t="str">
        <f t="shared" ref="R107:R112" si="112">IF(ROUND(E107,1)-ROUND(L107+M107,0)=0,"Correct",IF(ROUND(E107,1)-ROUND(L107+M107,0)=1,"Gain","Loss"))</f>
        <v>Gain</v>
      </c>
      <c r="S107" t="str">
        <f t="shared" ref="S107:S112" si="113">MONTH(C107)&amp;"-"&amp;YEAR(C107)</f>
        <v>1-2020</v>
      </c>
      <c r="T107" t="str">
        <f t="shared" ref="T107:T112" si="114">IF(WEEKDAY(C107)=1,"Sunday",IF(WEEKDAY(C107)=2,"Monday",IF(WEEKDAY(C107)=3,"Tuesday",IF(WEEKDAY(C107)=4,"Wednesday",IF(WEEKDAY(C107)=5,"Thursday",IF(WEEKDAY(C107)=6,"Friday","Saturday"))))))</f>
        <v>Sunday</v>
      </c>
      <c r="U107">
        <f t="shared" ref="U107:U112" si="115">IF(E107&gt;=12,1,0)</f>
        <v>1</v>
      </c>
      <c r="V107" s="8">
        <f>IFERROR(Table1[[#This Row],[ClassLength]]/Table1[[#This Row],[Splat]],0)</f>
        <v>2.7269841269839881</v>
      </c>
      <c r="W107" s="10">
        <f t="shared" ref="W107:W112" si="116">IF(ROUND($E107,1)-ROUND($L107+$M107,0)=0,1,0)</f>
        <v>0</v>
      </c>
      <c r="X107" s="10">
        <f t="shared" ref="X107:X112" si="117">IF(ROUND($E107,1)-ROUND($L107+$M107,0)=1,1,0)</f>
        <v>1</v>
      </c>
      <c r="Y107" s="10">
        <f t="shared" ref="Y107:Y112" si="118">IF(ROUND($E107,1)-ROUND($L107+$M107,0)=-1,1,0)</f>
        <v>0</v>
      </c>
      <c r="Z107" s="5">
        <f t="shared" ref="Z107:AD108" si="119">IFERROR(I107/$D107,"")</f>
        <v>8.3527357392316648E-2</v>
      </c>
      <c r="AA107" s="5">
        <f t="shared" si="119"/>
        <v>0.29220023282887081</v>
      </c>
      <c r="AB107" s="5">
        <f t="shared" si="119"/>
        <v>0.26979045401629803</v>
      </c>
      <c r="AC107" s="5">
        <f t="shared" si="119"/>
        <v>0.21944121071012807</v>
      </c>
      <c r="AD107" s="5">
        <f t="shared" si="119"/>
        <v>0.1350407450523865</v>
      </c>
      <c r="AE107" s="7">
        <f t="shared" ref="AE107:AE112" si="120">232.14+AJ107</f>
        <v>232.14</v>
      </c>
      <c r="AF107" s="7">
        <f t="shared" ref="AF107:AF112" si="121">AE107/B107</f>
        <v>16.581428571428571</v>
      </c>
      <c r="AG107" s="8">
        <f t="shared" si="106"/>
        <v>613.00000000173634</v>
      </c>
      <c r="AH107" s="8">
        <f t="shared" si="107"/>
        <v>14.500000000134339</v>
      </c>
      <c r="AI107">
        <f>YEAR(Table1[[#This Row],[Date]])</f>
        <v>2020</v>
      </c>
      <c r="AK107">
        <v>12</v>
      </c>
      <c r="AL107" s="8">
        <f>Table1[[#This Row],[Calories]]/Table1[[#This Row],[ClassLength]]</f>
        <v>12.206053550640465</v>
      </c>
      <c r="AM107" s="10" t="str">
        <f>RIGHT(Table1[[#This Row],[Time]],2)</f>
        <v>AM</v>
      </c>
      <c r="AN107" s="10" t="str">
        <f>Table1[[#This Row],[Mon_Yr]]&amp;"-"&amp;WEEKNUM(Table1[[#This Row],[Date]],1)-WEEKNUM(DATE(YEAR(Table1[[#This Row],[Date]]),MONTH(Table1[[#This Row],[Date]]),1),1)+1</f>
        <v>1-2020-2</v>
      </c>
      <c r="AO107" s="10">
        <f>MONTH(Table1[[#This Row],[Date]])</f>
        <v>1</v>
      </c>
      <c r="AP107" s="8">
        <f>IFERROR(Table1[[#This Row],[Calories]]/Table1[[#This Row],[Splat]],0)</f>
        <v>33.285714285713098</v>
      </c>
      <c r="AQ107" s="10">
        <f>COUNTIF(Table1[Location],Table1[[#This Row],[Location]])</f>
        <v>48</v>
      </c>
      <c r="AR107" s="10">
        <f>IF(AND(Table1[[#This Row],[Calories]]&gt;=600,Table1[[#This Row],[Splat]]&gt;=12),1,0)</f>
        <v>1</v>
      </c>
      <c r="AS107" s="10">
        <f>IF(AND(Table1[[#This Row],[Calories]]&gt;=500,Table1[[#This Row],[Splat]]&gt;=12),1,0)</f>
        <v>1</v>
      </c>
      <c r="AT107" s="8">
        <f>Table1[[#This Row],[ClassLength]]/Table1[[#This Row],[Calories]]</f>
        <v>8.1926561754886676E-2</v>
      </c>
      <c r="AU10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07" s="10">
        <f>COUNTIF(Table1[Trainer],Table1[[#This Row],[Trainer]])</f>
        <v>29</v>
      </c>
      <c r="AW107" s="10" t="str">
        <f>UPPER(LEFT(TEXT(Table1[Date],"mmmm"),3))&amp;" "&amp;TEXT(Table1[Date],"yyyy")</f>
        <v>JAN 2020</v>
      </c>
      <c r="AX107" s="10">
        <f>VLOOKUP(Table1[[#This Row],[Location]],'Tab for Charts'!$A$93:$B$103,2,FALSE)</f>
        <v>38.916486999999996</v>
      </c>
      <c r="AY107" s="10">
        <f>VLOOKUP(Table1[[#This Row],[Location]],'Tab for Charts'!$A$93:$C$103,3,FALSE)</f>
        <v>-77.031514000000001</v>
      </c>
    </row>
    <row r="108" spans="1:51">
      <c r="A108">
        <v>107</v>
      </c>
      <c r="B108">
        <f t="shared" si="105"/>
        <v>14</v>
      </c>
      <c r="C108" s="1">
        <v>43837</v>
      </c>
      <c r="D108" s="8">
        <f>58+7/60</f>
        <v>58.116666666666667</v>
      </c>
      <c r="E108">
        <f>14+ROW()/10000000000000</f>
        <v>14.0000000000108</v>
      </c>
      <c r="F108">
        <f>708+ROW()/1000000000000000</f>
        <v>708.00000000000011</v>
      </c>
      <c r="G108">
        <f>135</f>
        <v>135</v>
      </c>
      <c r="H108">
        <v>167</v>
      </c>
      <c r="I108">
        <f>4+20/60</f>
        <v>4.333333333333333</v>
      </c>
      <c r="J108">
        <f>6+41/60</f>
        <v>6.6833333333333336</v>
      </c>
      <c r="K108">
        <f>32+50/60</f>
        <v>32.833333333333336</v>
      </c>
      <c r="L108">
        <f>11+29/60</f>
        <v>11.483333333333333</v>
      </c>
      <c r="M108">
        <f>2+45/60</f>
        <v>2.75</v>
      </c>
      <c r="N108" t="s">
        <v>6</v>
      </c>
      <c r="O108" t="s">
        <v>7</v>
      </c>
      <c r="P108" t="s">
        <v>9</v>
      </c>
      <c r="Q108" s="34">
        <f t="shared" si="111"/>
        <v>2</v>
      </c>
      <c r="R108" s="10" t="str">
        <f t="shared" si="112"/>
        <v>Correct</v>
      </c>
      <c r="S108" t="str">
        <f t="shared" si="113"/>
        <v>1-2020</v>
      </c>
      <c r="T108" t="str">
        <f t="shared" si="114"/>
        <v>Tuesday</v>
      </c>
      <c r="U108">
        <f t="shared" si="115"/>
        <v>1</v>
      </c>
      <c r="V108" s="8">
        <f>IFERROR(Table1[[#This Row],[ClassLength]]/Table1[[#This Row],[Splat]],0)</f>
        <v>4.1511904761872742</v>
      </c>
      <c r="W108" s="10">
        <f t="shared" si="116"/>
        <v>1</v>
      </c>
      <c r="X108" s="10">
        <f t="shared" si="117"/>
        <v>0</v>
      </c>
      <c r="Y108" s="10">
        <f t="shared" si="118"/>
        <v>0</v>
      </c>
      <c r="Z108" s="5">
        <f t="shared" si="119"/>
        <v>7.4562661313449949E-2</v>
      </c>
      <c r="AA108" s="5">
        <f t="shared" si="119"/>
        <v>0.11499856610266705</v>
      </c>
      <c r="AB108" s="5">
        <f t="shared" si="119"/>
        <v>0.56495554918267854</v>
      </c>
      <c r="AC108" s="5">
        <f t="shared" si="119"/>
        <v>0.19759105248064238</v>
      </c>
      <c r="AD108" s="5">
        <f t="shared" si="119"/>
        <v>4.7318611987381701E-2</v>
      </c>
      <c r="AE108" s="7">
        <f t="shared" si="120"/>
        <v>232.14</v>
      </c>
      <c r="AF108" s="7">
        <f t="shared" si="121"/>
        <v>16.581428571428571</v>
      </c>
      <c r="AG108" s="8">
        <f t="shared" si="106"/>
        <v>613.00000000173634</v>
      </c>
      <c r="AH108" s="8">
        <f t="shared" si="107"/>
        <v>14.500000000134339</v>
      </c>
      <c r="AI108">
        <f>YEAR(Table1[[#This Row],[Date]])</f>
        <v>2020</v>
      </c>
      <c r="AK108">
        <v>12</v>
      </c>
      <c r="AL108" s="8">
        <f>Table1[[#This Row],[Calories]]/Table1[[#This Row],[ClassLength]]</f>
        <v>12.182391740751363</v>
      </c>
      <c r="AM108" s="10" t="str">
        <f>RIGHT(Table1[[#This Row],[Time]],2)</f>
        <v>PM</v>
      </c>
      <c r="AN108" s="10" t="str">
        <f>Table1[[#This Row],[Mon_Yr]]&amp;"-"&amp;WEEKNUM(Table1[[#This Row],[Date]],1)-WEEKNUM(DATE(YEAR(Table1[[#This Row],[Date]]),MONTH(Table1[[#This Row],[Date]]),1),1)+1</f>
        <v>1-2020-2</v>
      </c>
      <c r="AO108" s="10">
        <f>MONTH(Table1[[#This Row],[Date]])</f>
        <v>1</v>
      </c>
      <c r="AP108" s="8">
        <f>IFERROR(Table1[[#This Row],[Calories]]/Table1[[#This Row],[Splat]],0)</f>
        <v>50.571428571389568</v>
      </c>
      <c r="AQ108" s="10">
        <f>COUNTIF(Table1[Location],Table1[[#This Row],[Location]])</f>
        <v>35</v>
      </c>
      <c r="AR108" s="10">
        <f>IF(AND(Table1[[#This Row],[Calories]]&gt;=600,Table1[[#This Row],[Splat]]&gt;=12),1,0)</f>
        <v>1</v>
      </c>
      <c r="AS108" s="10">
        <f>IF(AND(Table1[[#This Row],[Calories]]&gt;=500,Table1[[#This Row],[Splat]]&gt;=12),1,0)</f>
        <v>1</v>
      </c>
      <c r="AT108" s="8">
        <f>Table1[[#This Row],[ClassLength]]/Table1[[#This Row],[Calories]]</f>
        <v>8.2085687382297545E-2</v>
      </c>
      <c r="AU10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08" s="10">
        <f>COUNTIF(Table1[Trainer],Table1[[#This Row],[Trainer]])</f>
        <v>10</v>
      </c>
      <c r="AW108" s="10" t="str">
        <f>UPPER(LEFT(TEXT(Table1[Date],"mmmm"),3))&amp;" "&amp;TEXT(Table1[Date],"yyyy")</f>
        <v>JAN 2020</v>
      </c>
      <c r="AX108" s="10">
        <f>VLOOKUP(Table1[[#This Row],[Location]],'Tab for Charts'!$A$93:$B$103,2,FALSE)</f>
        <v>38.881884999999997</v>
      </c>
      <c r="AY108" s="10">
        <f>VLOOKUP(Table1[[#This Row],[Location]],'Tab for Charts'!$A$93:$C$103,3,FALSE)</f>
        <v>-77.229702000000003</v>
      </c>
    </row>
    <row r="109" spans="1:51">
      <c r="A109">
        <v>108</v>
      </c>
      <c r="B109">
        <f t="shared" si="105"/>
        <v>14</v>
      </c>
      <c r="C109" s="1">
        <v>43838</v>
      </c>
      <c r="D109" s="8">
        <f>58+12/60</f>
        <v>58.2</v>
      </c>
      <c r="E109">
        <f>17+ROW()/100000000000000</f>
        <v>17.000000000001091</v>
      </c>
      <c r="F109">
        <f>648+ROW()/100000000000000</f>
        <v>648.00000000000114</v>
      </c>
      <c r="G109">
        <f>128</f>
        <v>128</v>
      </c>
      <c r="H109">
        <v>174</v>
      </c>
      <c r="I109">
        <f>13+4/60</f>
        <v>13.066666666666666</v>
      </c>
      <c r="J109">
        <f>12+16/60</f>
        <v>12.266666666666667</v>
      </c>
      <c r="K109">
        <f>15+48/60</f>
        <v>15.8</v>
      </c>
      <c r="L109">
        <f>13+59/60</f>
        <v>13.983333333333333</v>
      </c>
      <c r="M109">
        <f>3+5/60</f>
        <v>3.0833333333333335</v>
      </c>
      <c r="N109" t="s">
        <v>21</v>
      </c>
      <c r="O109" t="s">
        <v>7</v>
      </c>
      <c r="P109" t="s">
        <v>23</v>
      </c>
      <c r="Q109" s="34">
        <f t="shared" si="111"/>
        <v>1</v>
      </c>
      <c r="R109" s="10" t="str">
        <f t="shared" si="112"/>
        <v>Correct</v>
      </c>
      <c r="S109" t="str">
        <f t="shared" si="113"/>
        <v>1-2020</v>
      </c>
      <c r="T109" t="str">
        <f t="shared" si="114"/>
        <v>Wednesday</v>
      </c>
      <c r="U109">
        <f t="shared" si="115"/>
        <v>1</v>
      </c>
      <c r="V109" s="8">
        <f>IFERROR(Table1[[#This Row],[ClassLength]]/Table1[[#This Row],[Splat]],0)</f>
        <v>3.4235294117644863</v>
      </c>
      <c r="W109" s="10">
        <f t="shared" si="116"/>
        <v>1</v>
      </c>
      <c r="X109" s="10">
        <f t="shared" si="117"/>
        <v>0</v>
      </c>
      <c r="Y109" s="10">
        <f t="shared" si="118"/>
        <v>0</v>
      </c>
      <c r="Z109" s="5">
        <f t="shared" ref="Z109:AD111" si="122">IFERROR(I109/$D109,"")</f>
        <v>0.22451317296678119</v>
      </c>
      <c r="AA109" s="5">
        <f t="shared" si="122"/>
        <v>0.21076746849942726</v>
      </c>
      <c r="AB109" s="5">
        <f t="shared" si="122"/>
        <v>0.27147766323024053</v>
      </c>
      <c r="AC109" s="5">
        <f t="shared" si="122"/>
        <v>0.24026345933562426</v>
      </c>
      <c r="AD109" s="5">
        <f t="shared" si="122"/>
        <v>5.2978235967926689E-2</v>
      </c>
      <c r="AE109" s="7">
        <f t="shared" si="120"/>
        <v>232.14</v>
      </c>
      <c r="AF109" s="7">
        <f t="shared" si="121"/>
        <v>16.581428571428571</v>
      </c>
      <c r="AG109" s="8">
        <f t="shared" si="106"/>
        <v>613.00000000173634</v>
      </c>
      <c r="AH109" s="8">
        <f t="shared" si="107"/>
        <v>14.500000000134339</v>
      </c>
      <c r="AI109">
        <f>YEAR(Table1[[#This Row],[Date]])</f>
        <v>2020</v>
      </c>
      <c r="AK109">
        <v>12</v>
      </c>
      <c r="AL109" s="8">
        <f>Table1[[#This Row],[Calories]]/Table1[[#This Row],[ClassLength]]</f>
        <v>11.13402061855672</v>
      </c>
      <c r="AM109" s="10" t="str">
        <f>RIGHT(Table1[[#This Row],[Time]],2)</f>
        <v>PM</v>
      </c>
      <c r="AN109" s="10" t="str">
        <f>Table1[[#This Row],[Mon_Yr]]&amp;"-"&amp;WEEKNUM(Table1[[#This Row],[Date]],1)-WEEKNUM(DATE(YEAR(Table1[[#This Row],[Date]]),MONTH(Table1[[#This Row],[Date]]),1),1)+1</f>
        <v>1-2020-2</v>
      </c>
      <c r="AO109" s="10">
        <f>MONTH(Table1[[#This Row],[Date]])</f>
        <v>1</v>
      </c>
      <c r="AP109" s="8">
        <f>IFERROR(Table1[[#This Row],[Calories]]/Table1[[#This Row],[Splat]],0)</f>
        <v>38.117647058821149</v>
      </c>
      <c r="AQ109" s="10">
        <f>COUNTIF(Table1[Location],Table1[[#This Row],[Location]])</f>
        <v>37</v>
      </c>
      <c r="AR109" s="10">
        <f>IF(AND(Table1[[#This Row],[Calories]]&gt;=600,Table1[[#This Row],[Splat]]&gt;=12),1,0)</f>
        <v>1</v>
      </c>
      <c r="AS109" s="10">
        <f>IF(AND(Table1[[#This Row],[Calories]]&gt;=500,Table1[[#This Row],[Splat]]&gt;=12),1,0)</f>
        <v>1</v>
      </c>
      <c r="AT109" s="8">
        <f>Table1[[#This Row],[ClassLength]]/Table1[[#This Row],[Calories]]</f>
        <v>8.9814814814814667E-2</v>
      </c>
      <c r="AU10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09" s="10">
        <f>COUNTIF(Table1[Trainer],Table1[[#This Row],[Trainer]])</f>
        <v>20</v>
      </c>
      <c r="AW109" s="10" t="str">
        <f>UPPER(LEFT(TEXT(Table1[Date],"mmmm"),3))&amp;" "&amp;TEXT(Table1[Date],"yyyy")</f>
        <v>JAN 2020</v>
      </c>
      <c r="AX109" s="10">
        <f>VLOOKUP(Table1[[#This Row],[Location]],'Tab for Charts'!$A$93:$B$103,2,FALSE)</f>
        <v>38.903509999999997</v>
      </c>
      <c r="AY109" s="10">
        <f>VLOOKUP(Table1[[#This Row],[Location]],'Tab for Charts'!$A$93:$C$103,3,FALSE)</f>
        <v>-77.051809000000006</v>
      </c>
    </row>
    <row r="110" spans="1:51">
      <c r="A110">
        <v>109</v>
      </c>
      <c r="B110">
        <f t="shared" si="105"/>
        <v>14</v>
      </c>
      <c r="C110" s="1">
        <v>43840</v>
      </c>
      <c r="D110" s="8">
        <f>57+8/60</f>
        <v>57.133333333333333</v>
      </c>
      <c r="E110">
        <f>20+ROW()/1000000000000</f>
        <v>20.000000000109999</v>
      </c>
      <c r="F110">
        <f>619+ROW()/10000000000</f>
        <v>619.000000011</v>
      </c>
      <c r="G110">
        <f>126</f>
        <v>126</v>
      </c>
      <c r="H110">
        <v>172</v>
      </c>
      <c r="I110">
        <f>19+8/60</f>
        <v>19.133333333333333</v>
      </c>
      <c r="J110">
        <f>10+16/60</f>
        <v>10.266666666666667</v>
      </c>
      <c r="K110">
        <f>7+37/60</f>
        <v>7.6166666666666671</v>
      </c>
      <c r="L110">
        <f>14+2/60</f>
        <v>14.033333333333333</v>
      </c>
      <c r="M110">
        <f>6+5/60</f>
        <v>6.083333333333333</v>
      </c>
      <c r="N110" t="s">
        <v>201</v>
      </c>
      <c r="O110" t="s">
        <v>20</v>
      </c>
      <c r="P110" t="s">
        <v>51</v>
      </c>
      <c r="Q110" s="34">
        <f t="shared" si="111"/>
        <v>2</v>
      </c>
      <c r="R110" s="10" t="str">
        <f t="shared" si="112"/>
        <v>Correct</v>
      </c>
      <c r="S110" t="str">
        <f t="shared" si="113"/>
        <v>1-2020</v>
      </c>
      <c r="T110" t="str">
        <f t="shared" si="114"/>
        <v>Friday</v>
      </c>
      <c r="U110">
        <f t="shared" si="115"/>
        <v>1</v>
      </c>
      <c r="V110" s="8">
        <f>IFERROR(Table1[[#This Row],[ClassLength]]/Table1[[#This Row],[Splat]],0)</f>
        <v>2.856666666650955</v>
      </c>
      <c r="W110" s="10">
        <f t="shared" si="116"/>
        <v>1</v>
      </c>
      <c r="X110" s="10">
        <f t="shared" si="117"/>
        <v>0</v>
      </c>
      <c r="Y110" s="10">
        <f t="shared" si="118"/>
        <v>0</v>
      </c>
      <c r="Z110" s="5">
        <f t="shared" si="122"/>
        <v>0.33488914819136523</v>
      </c>
      <c r="AA110" s="5">
        <f t="shared" si="122"/>
        <v>0.17969661610268381</v>
      </c>
      <c r="AB110" s="5">
        <f t="shared" si="122"/>
        <v>0.13331388564760793</v>
      </c>
      <c r="AC110" s="5">
        <f t="shared" si="122"/>
        <v>0.2456242707117853</v>
      </c>
      <c r="AD110" s="5">
        <f t="shared" si="122"/>
        <v>0.10647607934655776</v>
      </c>
      <c r="AE110" s="7">
        <f t="shared" si="120"/>
        <v>232.14</v>
      </c>
      <c r="AF110" s="7">
        <f t="shared" si="121"/>
        <v>16.581428571428571</v>
      </c>
      <c r="AG110" s="8">
        <f t="shared" si="106"/>
        <v>613.00000000173634</v>
      </c>
      <c r="AH110" s="8">
        <f t="shared" si="107"/>
        <v>14.500000000134339</v>
      </c>
      <c r="AI110">
        <f>YEAR(Table1[[#This Row],[Date]])</f>
        <v>2020</v>
      </c>
      <c r="AK110">
        <v>12</v>
      </c>
      <c r="AL110" s="8">
        <f>Table1[[#This Row],[Calories]]/Table1[[#This Row],[ClassLength]]</f>
        <v>10.834305717812136</v>
      </c>
      <c r="AM110" s="10" t="str">
        <f>RIGHT(Table1[[#This Row],[Time]],2)</f>
        <v>PM</v>
      </c>
      <c r="AN110" s="10" t="str">
        <f>Table1[[#This Row],[Mon_Yr]]&amp;"-"&amp;WEEKNUM(Table1[[#This Row],[Date]],1)-WEEKNUM(DATE(YEAR(Table1[[#This Row],[Date]]),MONTH(Table1[[#This Row],[Date]]),1),1)+1</f>
        <v>1-2020-2</v>
      </c>
      <c r="AO110" s="10">
        <f>MONTH(Table1[[#This Row],[Date]])</f>
        <v>1</v>
      </c>
      <c r="AP110" s="8">
        <f>IFERROR(Table1[[#This Row],[Calories]]/Table1[[#This Row],[Splat]],0)</f>
        <v>30.950000000379777</v>
      </c>
      <c r="AQ110" s="10">
        <f>COUNTIF(Table1[Location],Table1[[#This Row],[Location]])</f>
        <v>3</v>
      </c>
      <c r="AR110" s="10">
        <f>IF(AND(Table1[[#This Row],[Calories]]&gt;=600,Table1[[#This Row],[Splat]]&gt;=12),1,0)</f>
        <v>1</v>
      </c>
      <c r="AS110" s="10">
        <f>IF(AND(Table1[[#This Row],[Calories]]&gt;=500,Table1[[#This Row],[Splat]]&gt;=12),1,0)</f>
        <v>1</v>
      </c>
      <c r="AT110" s="8">
        <f>Table1[[#This Row],[ClassLength]]/Table1[[#This Row],[Calories]]</f>
        <v>9.2299407645101847E-2</v>
      </c>
      <c r="AU11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10" s="10">
        <f>COUNTIF(Table1[Trainer],Table1[[#This Row],[Trainer]])</f>
        <v>2</v>
      </c>
      <c r="AW110" s="10" t="str">
        <f>UPPER(LEFT(TEXT(Table1[Date],"mmmm"),3))&amp;" "&amp;TEXT(Table1[Date],"yyyy")</f>
        <v>JAN 2020</v>
      </c>
      <c r="AX110" s="10">
        <f>VLOOKUP(Table1[[#This Row],[Location]],'Tab for Charts'!$A$93:$B$103,2,FALSE)</f>
        <v>38.901815999999997</v>
      </c>
      <c r="AY110" s="10">
        <f>VLOOKUP(Table1[[#This Row],[Location]],'Tab for Charts'!$A$93:$C$103,3,FALSE)</f>
        <v>-77.017055999999997</v>
      </c>
    </row>
    <row r="111" spans="1:51">
      <c r="A111">
        <v>110</v>
      </c>
      <c r="B111">
        <f t="shared" si="105"/>
        <v>14</v>
      </c>
      <c r="C111" s="1">
        <v>43841</v>
      </c>
      <c r="D111" s="8">
        <f>56+5/60</f>
        <v>56.083333333333336</v>
      </c>
      <c r="E111">
        <f>12+ROW()/1000000000000</f>
        <v>12.000000000110999</v>
      </c>
      <c r="F111">
        <f>636+ROW()/1000000000000</f>
        <v>636.00000000011096</v>
      </c>
      <c r="G111">
        <v>129</v>
      </c>
      <c r="H111">
        <v>170</v>
      </c>
      <c r="I111">
        <f>7+39/60</f>
        <v>7.65</v>
      </c>
      <c r="J111">
        <f>16+30/60</f>
        <v>16.5</v>
      </c>
      <c r="K111">
        <f>20+5/60</f>
        <v>20.083333333333332</v>
      </c>
      <c r="L111">
        <f>10+8/60</f>
        <v>10.133333333333333</v>
      </c>
      <c r="M111">
        <f>1+43/60</f>
        <v>1.7166666666666668</v>
      </c>
      <c r="N111" t="s">
        <v>15</v>
      </c>
      <c r="O111" t="s">
        <v>24</v>
      </c>
      <c r="P111" t="s">
        <v>17</v>
      </c>
      <c r="Q111" s="34">
        <f t="shared" si="111"/>
        <v>1</v>
      </c>
      <c r="R111" s="10" t="str">
        <f t="shared" si="112"/>
        <v>Correct</v>
      </c>
      <c r="S111" t="str">
        <f t="shared" si="113"/>
        <v>1-2020</v>
      </c>
      <c r="T111" t="str">
        <f t="shared" si="114"/>
        <v>Saturday</v>
      </c>
      <c r="U111">
        <f t="shared" si="115"/>
        <v>1</v>
      </c>
      <c r="V111" s="8">
        <f>IFERROR(Table1[[#This Row],[ClassLength]]/Table1[[#This Row],[Splat]],0)</f>
        <v>4.6736111110678804</v>
      </c>
      <c r="W111" s="10">
        <f t="shared" si="116"/>
        <v>1</v>
      </c>
      <c r="X111" s="10">
        <f t="shared" si="117"/>
        <v>0</v>
      </c>
      <c r="Y111" s="10">
        <f t="shared" si="118"/>
        <v>0</v>
      </c>
      <c r="Z111" s="5">
        <f t="shared" si="122"/>
        <v>0.1364041604754829</v>
      </c>
      <c r="AA111" s="5">
        <f t="shared" si="122"/>
        <v>0.29420505200594355</v>
      </c>
      <c r="AB111" s="5">
        <f t="shared" si="122"/>
        <v>0.3580980683506686</v>
      </c>
      <c r="AC111" s="5">
        <f t="shared" si="122"/>
        <v>0.18068350668647845</v>
      </c>
      <c r="AD111" s="5">
        <f t="shared" si="122"/>
        <v>3.0609212481426451E-2</v>
      </c>
      <c r="AE111" s="7">
        <f t="shared" si="120"/>
        <v>232.14</v>
      </c>
      <c r="AF111" s="7">
        <f t="shared" si="121"/>
        <v>16.581428571428571</v>
      </c>
      <c r="AG111" s="8">
        <f t="shared" si="106"/>
        <v>613.00000000173634</v>
      </c>
      <c r="AH111" s="8">
        <f t="shared" si="107"/>
        <v>14.500000000134339</v>
      </c>
      <c r="AI111">
        <f>YEAR(Table1[[#This Row],[Date]])</f>
        <v>2020</v>
      </c>
      <c r="AK111">
        <v>12</v>
      </c>
      <c r="AL111" s="8">
        <f>Table1[[#This Row],[Calories]]/Table1[[#This Row],[ClassLength]]</f>
        <v>11.340267459140165</v>
      </c>
      <c r="AM111" s="10" t="str">
        <f>RIGHT(Table1[[#This Row],[Time]],2)</f>
        <v>AM</v>
      </c>
      <c r="AN111" s="10" t="str">
        <f>Table1[[#This Row],[Mon_Yr]]&amp;"-"&amp;WEEKNUM(Table1[[#This Row],[Date]],1)-WEEKNUM(DATE(YEAR(Table1[[#This Row],[Date]]),MONTH(Table1[[#This Row],[Date]]),1),1)+1</f>
        <v>1-2020-2</v>
      </c>
      <c r="AO111" s="10">
        <f>MONTH(Table1[[#This Row],[Date]])</f>
        <v>1</v>
      </c>
      <c r="AP111" s="8">
        <f>IFERROR(Table1[[#This Row],[Calories]]/Table1[[#This Row],[Splat]],0)</f>
        <v>52.999999999518998</v>
      </c>
      <c r="AQ111" s="10">
        <f>COUNTIF(Table1[Location],Table1[[#This Row],[Location]])</f>
        <v>48</v>
      </c>
      <c r="AR111" s="10">
        <f>IF(AND(Table1[[#This Row],[Calories]]&gt;=600,Table1[[#This Row],[Splat]]&gt;=12),1,0)</f>
        <v>1</v>
      </c>
      <c r="AS111" s="10">
        <f>IF(AND(Table1[[#This Row],[Calories]]&gt;=500,Table1[[#This Row],[Splat]]&gt;=12),1,0)</f>
        <v>1</v>
      </c>
      <c r="AT111" s="8">
        <f>Table1[[#This Row],[ClassLength]]/Table1[[#This Row],[Calories]]</f>
        <v>8.8181341719062181E-2</v>
      </c>
      <c r="AU11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11" s="10">
        <f>COUNTIF(Table1[Trainer],Table1[[#This Row],[Trainer]])</f>
        <v>29</v>
      </c>
      <c r="AW111" s="10" t="str">
        <f>UPPER(LEFT(TEXT(Table1[Date],"mmmm"),3))&amp;" "&amp;TEXT(Table1[Date],"yyyy")</f>
        <v>JAN 2020</v>
      </c>
      <c r="AX111" s="10">
        <f>VLOOKUP(Table1[[#This Row],[Location]],'Tab for Charts'!$A$93:$B$103,2,FALSE)</f>
        <v>38.916486999999996</v>
      </c>
      <c r="AY111" s="10">
        <f>VLOOKUP(Table1[[#This Row],[Location]],'Tab for Charts'!$A$93:$C$103,3,FALSE)</f>
        <v>-77.031514000000001</v>
      </c>
    </row>
    <row r="112" spans="1:51">
      <c r="A112">
        <v>111</v>
      </c>
      <c r="B112">
        <f t="shared" si="105"/>
        <v>14</v>
      </c>
      <c r="C112" s="1">
        <v>43843</v>
      </c>
      <c r="D112" s="8">
        <f>61+55/60</f>
        <v>61.916666666666664</v>
      </c>
      <c r="E112">
        <f>22+ROW()/1000000000000000</f>
        <v>22.000000000000114</v>
      </c>
      <c r="F112">
        <f>669+ROW()/1000000000000000</f>
        <v>669.00000000000011</v>
      </c>
      <c r="G112">
        <f>126</f>
        <v>126</v>
      </c>
      <c r="H112">
        <v>171</v>
      </c>
      <c r="I112">
        <f>19+36/60</f>
        <v>19.600000000000001</v>
      </c>
      <c r="J112">
        <f>14+13/60</f>
        <v>14.216666666666667</v>
      </c>
      <c r="K112">
        <f>6+36/60</f>
        <v>6.6</v>
      </c>
      <c r="L112">
        <f>13+59/60</f>
        <v>13.983333333333333</v>
      </c>
      <c r="M112">
        <f>7+31/60</f>
        <v>7.5166666666666666</v>
      </c>
      <c r="N112" t="s">
        <v>21</v>
      </c>
      <c r="O112" t="s">
        <v>7</v>
      </c>
      <c r="P112" t="s">
        <v>103</v>
      </c>
      <c r="Q112" s="34">
        <f t="shared" si="111"/>
        <v>2</v>
      </c>
      <c r="R112" s="10" t="str">
        <f t="shared" si="112"/>
        <v>Correct</v>
      </c>
      <c r="S112" t="str">
        <f t="shared" si="113"/>
        <v>1-2020</v>
      </c>
      <c r="T112" t="str">
        <f t="shared" si="114"/>
        <v>Monday</v>
      </c>
      <c r="U112">
        <f t="shared" si="115"/>
        <v>1</v>
      </c>
      <c r="V112" s="8">
        <f>IFERROR(Table1[[#This Row],[ClassLength]]/Table1[[#This Row],[Splat]],0)</f>
        <v>2.8143939393939248</v>
      </c>
      <c r="W112" s="10">
        <f t="shared" si="116"/>
        <v>1</v>
      </c>
      <c r="X112" s="10">
        <f t="shared" si="117"/>
        <v>0</v>
      </c>
      <c r="Y112" s="10">
        <f t="shared" si="118"/>
        <v>0</v>
      </c>
      <c r="Z112" s="5">
        <f t="shared" ref="Z112:AD113" si="123">IFERROR(I112/$D112,"")</f>
        <v>0.31655450874831764</v>
      </c>
      <c r="AA112" s="5">
        <f t="shared" si="123"/>
        <v>0.22960969044414536</v>
      </c>
      <c r="AB112" s="5">
        <f t="shared" si="123"/>
        <v>0.10659488559892329</v>
      </c>
      <c r="AC112" s="5">
        <f t="shared" si="123"/>
        <v>0.22584118438761777</v>
      </c>
      <c r="AD112" s="5">
        <f t="shared" si="123"/>
        <v>0.12139973082099596</v>
      </c>
      <c r="AE112" s="7">
        <f t="shared" si="120"/>
        <v>232.14</v>
      </c>
      <c r="AF112" s="7">
        <f t="shared" si="121"/>
        <v>16.581428571428571</v>
      </c>
      <c r="AG112" s="8">
        <f t="shared" si="106"/>
        <v>613.00000000173634</v>
      </c>
      <c r="AH112" s="8">
        <f t="shared" si="107"/>
        <v>14.500000000134339</v>
      </c>
      <c r="AI112">
        <f>YEAR(Table1[[#This Row],[Date]])</f>
        <v>2020</v>
      </c>
      <c r="AK112">
        <v>12</v>
      </c>
      <c r="AL112" s="8">
        <f>Table1[[#This Row],[Calories]]/Table1[[#This Row],[ClassLength]]</f>
        <v>10.80484522207268</v>
      </c>
      <c r="AM112" s="10" t="str">
        <f>RIGHT(Table1[[#This Row],[Time]],2)</f>
        <v>PM</v>
      </c>
      <c r="AN112" s="10" t="str">
        <f>Table1[[#This Row],[Mon_Yr]]&amp;"-"&amp;WEEKNUM(Table1[[#This Row],[Date]],1)-WEEKNUM(DATE(YEAR(Table1[[#This Row],[Date]]),MONTH(Table1[[#This Row],[Date]]),1),1)+1</f>
        <v>1-2020-3</v>
      </c>
      <c r="AO112" s="10">
        <f>MONTH(Table1[[#This Row],[Date]])</f>
        <v>1</v>
      </c>
      <c r="AP112" s="8">
        <f>IFERROR(Table1[[#This Row],[Calories]]/Table1[[#This Row],[Splat]],0)</f>
        <v>30.409090909090757</v>
      </c>
      <c r="AQ112" s="10">
        <f>COUNTIF(Table1[Location],Table1[[#This Row],[Location]])</f>
        <v>37</v>
      </c>
      <c r="AR112" s="10">
        <f>IF(AND(Table1[[#This Row],[Calories]]&gt;=600,Table1[[#This Row],[Splat]]&gt;=12),1,0)</f>
        <v>1</v>
      </c>
      <c r="AS112" s="10">
        <f>IF(AND(Table1[[#This Row],[Calories]]&gt;=500,Table1[[#This Row],[Splat]]&gt;=12),1,0)</f>
        <v>1</v>
      </c>
      <c r="AT112" s="8">
        <f>Table1[[#This Row],[ClassLength]]/Table1[[#This Row],[Calories]]</f>
        <v>9.2551071250622799E-2</v>
      </c>
      <c r="AU11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12" s="10">
        <f>COUNTIF(Table1[Trainer],Table1[[#This Row],[Trainer]])</f>
        <v>8</v>
      </c>
      <c r="AW112" s="10" t="str">
        <f>UPPER(LEFT(TEXT(Table1[Date],"mmmm"),3))&amp;" "&amp;TEXT(Table1[Date],"yyyy")</f>
        <v>JAN 2020</v>
      </c>
      <c r="AX112" s="10">
        <f>VLOOKUP(Table1[[#This Row],[Location]],'Tab for Charts'!$A$93:$B$103,2,FALSE)</f>
        <v>38.903509999999997</v>
      </c>
      <c r="AY112" s="10">
        <f>VLOOKUP(Table1[[#This Row],[Location]],'Tab for Charts'!$A$93:$C$103,3,FALSE)</f>
        <v>-77.051809000000006</v>
      </c>
    </row>
    <row r="113" spans="1:51">
      <c r="A113">
        <v>112</v>
      </c>
      <c r="B113">
        <f t="shared" si="105"/>
        <v>14</v>
      </c>
      <c r="C113" s="1">
        <v>43845</v>
      </c>
      <c r="D113" s="8">
        <f>57+7/60</f>
        <v>57.116666666666667</v>
      </c>
      <c r="E113">
        <f>17+ROW()/10000000000000</f>
        <v>17.000000000011301</v>
      </c>
      <c r="F113">
        <f>619+ROW()/100000000000</f>
        <v>619.00000000113005</v>
      </c>
      <c r="G113">
        <f>126</f>
        <v>126</v>
      </c>
      <c r="H113">
        <v>166</v>
      </c>
      <c r="I113">
        <f>16+12/60</f>
        <v>16.2</v>
      </c>
      <c r="J113">
        <f>9+7/60</f>
        <v>9.1166666666666671</v>
      </c>
      <c r="K113">
        <f>14+58/60</f>
        <v>14.966666666666667</v>
      </c>
      <c r="L113">
        <f>15+49/60</f>
        <v>15.816666666666666</v>
      </c>
      <c r="M113">
        <f>1+1/60</f>
        <v>1.0166666666666666</v>
      </c>
      <c r="N113" t="s">
        <v>21</v>
      </c>
      <c r="O113" t="s">
        <v>7</v>
      </c>
      <c r="P113" t="s">
        <v>23</v>
      </c>
      <c r="Q113" s="34">
        <f t="shared" ref="Q113:Q118" si="124">C113-C112</f>
        <v>2</v>
      </c>
      <c r="R113" s="10" t="str">
        <f t="shared" ref="R113:R118" si="125">IF(ROUND(E113,1)-ROUND(L113+M113,0)=0,"Correct",IF(ROUND(E113,1)-ROUND(L113+M113,0)=1,"Gain","Loss"))</f>
        <v>Correct</v>
      </c>
      <c r="S113" t="str">
        <f t="shared" ref="S113:S118" si="126">MONTH(C113)&amp;"-"&amp;YEAR(C113)</f>
        <v>1-2020</v>
      </c>
      <c r="T113" t="str">
        <f t="shared" ref="T113:T118" si="127">IF(WEEKDAY(C113)=1,"Sunday",IF(WEEKDAY(C113)=2,"Monday",IF(WEEKDAY(C113)=3,"Tuesday",IF(WEEKDAY(C113)=4,"Wednesday",IF(WEEKDAY(C113)=5,"Thursday",IF(WEEKDAY(C113)=6,"Friday","Saturday"))))))</f>
        <v>Wednesday</v>
      </c>
      <c r="U113">
        <f t="shared" ref="U113:U118" si="128">IF(E113&gt;=12,1,0)</f>
        <v>1</v>
      </c>
      <c r="V113" s="8">
        <f>IFERROR(Table1[[#This Row],[ClassLength]]/Table1[[#This Row],[Splat]],0)</f>
        <v>3.3598039215663942</v>
      </c>
      <c r="W113" s="10">
        <f t="shared" ref="W113:W118" si="129">IF(ROUND($E113,1)-ROUND($L113+$M113,0)=0,1,0)</f>
        <v>1</v>
      </c>
      <c r="X113" s="10">
        <f t="shared" ref="X113:X118" si="130">IF(ROUND($E113,1)-ROUND($L113+$M113,0)=1,1,0)</f>
        <v>0</v>
      </c>
      <c r="Y113" s="10">
        <f t="shared" ref="Y113:Y118" si="131">IF(ROUND($E113,1)-ROUND($L113+$M113,0)=-1,1,0)</f>
        <v>0</v>
      </c>
      <c r="Z113" s="5">
        <f t="shared" si="123"/>
        <v>0.28362999708199588</v>
      </c>
      <c r="AA113" s="5">
        <f t="shared" si="123"/>
        <v>0.15961482346075284</v>
      </c>
      <c r="AB113" s="5">
        <f t="shared" si="123"/>
        <v>0.26203676685147359</v>
      </c>
      <c r="AC113" s="5">
        <f t="shared" si="123"/>
        <v>0.27691858768602273</v>
      </c>
      <c r="AD113" s="5">
        <f t="shared" si="123"/>
        <v>1.7799824919754886E-2</v>
      </c>
      <c r="AE113" s="7">
        <f t="shared" ref="AE113:AE118" si="132">232.14+AJ113</f>
        <v>232.14</v>
      </c>
      <c r="AF113" s="7">
        <f t="shared" ref="AF113:AF118" si="133">AE113/B113</f>
        <v>16.581428571428571</v>
      </c>
      <c r="AG113" s="8">
        <f t="shared" si="106"/>
        <v>613.00000000173634</v>
      </c>
      <c r="AH113" s="8">
        <f t="shared" si="107"/>
        <v>14.500000000134339</v>
      </c>
      <c r="AI113">
        <f>YEAR(Table1[[#This Row],[Date]])</f>
        <v>2020</v>
      </c>
      <c r="AK113">
        <v>12</v>
      </c>
      <c r="AL113" s="8">
        <f>Table1[[#This Row],[Calories]]/Table1[[#This Row],[ClassLength]]</f>
        <v>10.837467172473826</v>
      </c>
      <c r="AM113" s="10" t="str">
        <f>RIGHT(Table1[[#This Row],[Time]],2)</f>
        <v>PM</v>
      </c>
      <c r="AN113" s="10" t="str">
        <f>Table1[[#This Row],[Mon_Yr]]&amp;"-"&amp;WEEKNUM(Table1[[#This Row],[Date]],1)-WEEKNUM(DATE(YEAR(Table1[[#This Row],[Date]]),MONTH(Table1[[#This Row],[Date]]),1),1)+1</f>
        <v>1-2020-3</v>
      </c>
      <c r="AO113" s="10">
        <f>MONTH(Table1[[#This Row],[Date]])</f>
        <v>1</v>
      </c>
      <c r="AP113" s="8">
        <f>IFERROR(Table1[[#This Row],[Calories]]/Table1[[#This Row],[Splat]],0)</f>
        <v>36.411764705924618</v>
      </c>
      <c r="AQ113" s="10">
        <f>COUNTIF(Table1[Location],Table1[[#This Row],[Location]])</f>
        <v>37</v>
      </c>
      <c r="AR113" s="10">
        <f>IF(AND(Table1[[#This Row],[Calories]]&gt;=600,Table1[[#This Row],[Splat]]&gt;=12),1,0)</f>
        <v>1</v>
      </c>
      <c r="AS113" s="10">
        <f>IF(AND(Table1[[#This Row],[Calories]]&gt;=500,Table1[[#This Row],[Splat]]&gt;=12),1,0)</f>
        <v>1</v>
      </c>
      <c r="AT113" s="8">
        <f>Table1[[#This Row],[ClassLength]]/Table1[[#This Row],[Calories]]</f>
        <v>9.2272482498485284E-2</v>
      </c>
      <c r="AU11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13" s="10">
        <f>COUNTIF(Table1[Trainer],Table1[[#This Row],[Trainer]])</f>
        <v>20</v>
      </c>
      <c r="AW113" s="10" t="str">
        <f>UPPER(LEFT(TEXT(Table1[Date],"mmmm"),3))&amp;" "&amp;TEXT(Table1[Date],"yyyy")</f>
        <v>JAN 2020</v>
      </c>
      <c r="AX113" s="10">
        <f>VLOOKUP(Table1[[#This Row],[Location]],'Tab for Charts'!$A$93:$B$103,2,FALSE)</f>
        <v>38.903509999999997</v>
      </c>
      <c r="AY113" s="10">
        <f>VLOOKUP(Table1[[#This Row],[Location]],'Tab for Charts'!$A$93:$C$103,3,FALSE)</f>
        <v>-77.051809000000006</v>
      </c>
    </row>
    <row r="114" spans="1:51">
      <c r="A114">
        <v>113</v>
      </c>
      <c r="B114">
        <f t="shared" si="105"/>
        <v>14</v>
      </c>
      <c r="C114" s="1">
        <v>43847</v>
      </c>
      <c r="D114" s="8">
        <f>53+56/60</f>
        <v>53.93333333333333</v>
      </c>
      <c r="E114">
        <f>11+ROW()/1000000000000</f>
        <v>11.000000000113999</v>
      </c>
      <c r="F114">
        <f>564+ROW()/100000000000000</f>
        <v>564.00000000000114</v>
      </c>
      <c r="G114">
        <f>123</f>
        <v>123</v>
      </c>
      <c r="H114">
        <v>173</v>
      </c>
      <c r="I114">
        <f>16+14/60</f>
        <v>16.233333333333334</v>
      </c>
      <c r="J114">
        <f>12</f>
        <v>12</v>
      </c>
      <c r="K114">
        <f>14+19/60</f>
        <v>14.316666666666666</v>
      </c>
      <c r="L114">
        <f>5+13/60</f>
        <v>5.2166666666666668</v>
      </c>
      <c r="M114">
        <f>6+10/60</f>
        <v>6.166666666666667</v>
      </c>
      <c r="N114" t="s">
        <v>49</v>
      </c>
      <c r="O114" t="s">
        <v>20</v>
      </c>
      <c r="P114" t="s">
        <v>50</v>
      </c>
      <c r="Q114" s="34">
        <f t="shared" si="124"/>
        <v>2</v>
      </c>
      <c r="R114" s="10" t="str">
        <f t="shared" si="125"/>
        <v>Correct</v>
      </c>
      <c r="S114" t="str">
        <f t="shared" si="126"/>
        <v>1-2020</v>
      </c>
      <c r="T114" t="str">
        <f t="shared" si="127"/>
        <v>Friday</v>
      </c>
      <c r="U114">
        <f t="shared" si="128"/>
        <v>0</v>
      </c>
      <c r="V114" s="8">
        <f>IFERROR(Table1[[#This Row],[ClassLength]]/Table1[[#This Row],[Splat]],0)</f>
        <v>4.9030303029794897</v>
      </c>
      <c r="W114" s="10">
        <f t="shared" si="129"/>
        <v>1</v>
      </c>
      <c r="X114" s="10">
        <f t="shared" si="130"/>
        <v>0</v>
      </c>
      <c r="Y114" s="10">
        <f t="shared" si="131"/>
        <v>0</v>
      </c>
      <c r="Z114" s="5">
        <f t="shared" ref="Z114:AD115" si="134">IFERROR(I114/$D114,"")</f>
        <v>0.30098887515451178</v>
      </c>
      <c r="AA114" s="5">
        <f t="shared" si="134"/>
        <v>0.22249690976514216</v>
      </c>
      <c r="AB114" s="5">
        <f t="shared" si="134"/>
        <v>0.26545117428924597</v>
      </c>
      <c r="AC114" s="5">
        <f t="shared" si="134"/>
        <v>9.6724351050679863E-2</v>
      </c>
      <c r="AD114" s="5">
        <f t="shared" si="134"/>
        <v>0.11433868974042029</v>
      </c>
      <c r="AE114" s="7">
        <f t="shared" si="132"/>
        <v>232.14</v>
      </c>
      <c r="AF114" s="7">
        <f t="shared" si="133"/>
        <v>16.581428571428571</v>
      </c>
      <c r="AG114" s="8">
        <f t="shared" si="106"/>
        <v>613.00000000173634</v>
      </c>
      <c r="AH114" s="8">
        <f t="shared" si="107"/>
        <v>14.500000000134339</v>
      </c>
      <c r="AI114">
        <f>YEAR(Table1[[#This Row],[Date]])</f>
        <v>2020</v>
      </c>
      <c r="AK114">
        <v>12</v>
      </c>
      <c r="AL114" s="8">
        <f>Table1[[#This Row],[Calories]]/Table1[[#This Row],[ClassLength]]</f>
        <v>10.457354758961703</v>
      </c>
      <c r="AM114" s="10" t="str">
        <f>RIGHT(Table1[[#This Row],[Time]],2)</f>
        <v>PM</v>
      </c>
      <c r="AN114" s="10" t="str">
        <f>Table1[[#This Row],[Mon_Yr]]&amp;"-"&amp;WEEKNUM(Table1[[#This Row],[Date]],1)-WEEKNUM(DATE(YEAR(Table1[[#This Row],[Date]]),MONTH(Table1[[#This Row],[Date]]),1),1)+1</f>
        <v>1-2020-3</v>
      </c>
      <c r="AO114" s="10">
        <f>MONTH(Table1[[#This Row],[Date]])</f>
        <v>1</v>
      </c>
      <c r="AP114" s="8">
        <f>IFERROR(Table1[[#This Row],[Calories]]/Table1[[#This Row],[Splat]],0)</f>
        <v>51.272727272196008</v>
      </c>
      <c r="AQ114" s="10">
        <f>COUNTIF(Table1[Location],Table1[[#This Row],[Location]])</f>
        <v>10</v>
      </c>
      <c r="AR114" s="10">
        <f>IF(AND(Table1[[#This Row],[Calories]]&gt;=600,Table1[[#This Row],[Splat]]&gt;=12),1,0)</f>
        <v>0</v>
      </c>
      <c r="AS114" s="10">
        <f>IF(AND(Table1[[#This Row],[Calories]]&gt;=500,Table1[[#This Row],[Splat]]&gt;=12),1,0)</f>
        <v>0</v>
      </c>
      <c r="AT114" s="8">
        <f>Table1[[#This Row],[ClassLength]]/Table1[[#This Row],[Calories]]</f>
        <v>9.5626477541370963E-2</v>
      </c>
      <c r="AU11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14" s="10">
        <f>COUNTIF(Table1[Trainer],Table1[[#This Row],[Trainer]])</f>
        <v>9</v>
      </c>
      <c r="AW114" s="10" t="str">
        <f>UPPER(LEFT(TEXT(Table1[Date],"mmmm"),3))&amp;" "&amp;TEXT(Table1[Date],"yyyy")</f>
        <v>JAN 2020</v>
      </c>
      <c r="AX114" s="10">
        <f>VLOOKUP(Table1[[#This Row],[Location]],'Tab for Charts'!$A$93:$B$103,2,FALSE)</f>
        <v>38.879828000000003</v>
      </c>
      <c r="AY114" s="10">
        <f>VLOOKUP(Table1[[#This Row],[Location]],'Tab for Charts'!$A$93:$C$103,3,FALSE)</f>
        <v>-77.005566000000002</v>
      </c>
    </row>
    <row r="115" spans="1:51">
      <c r="A115">
        <v>114</v>
      </c>
      <c r="B115">
        <f t="shared" si="105"/>
        <v>14</v>
      </c>
      <c r="C115" s="1">
        <v>43851</v>
      </c>
      <c r="D115" s="8">
        <f>60+10/60</f>
        <v>60.166666666666664</v>
      </c>
      <c r="E115">
        <f>13+ROW()/1000000000000</f>
        <v>13.000000000115</v>
      </c>
      <c r="F115">
        <f>598+ROW()/1000000000000000</f>
        <v>598.00000000000011</v>
      </c>
      <c r="G115">
        <f>120</f>
        <v>120</v>
      </c>
      <c r="H115">
        <v>171</v>
      </c>
      <c r="I115">
        <f>23+26/60</f>
        <v>23.433333333333334</v>
      </c>
      <c r="J115">
        <f>10+55/60</f>
        <v>10.916666666666666</v>
      </c>
      <c r="K115">
        <f>12+44/60</f>
        <v>12.733333333333333</v>
      </c>
      <c r="L115">
        <f>5+36/60</f>
        <v>5.6</v>
      </c>
      <c r="M115">
        <f>7+25/60</f>
        <v>7.416666666666667</v>
      </c>
      <c r="N115" t="s">
        <v>6</v>
      </c>
      <c r="O115" t="s">
        <v>7</v>
      </c>
      <c r="P115" t="s">
        <v>9</v>
      </c>
      <c r="Q115" s="34">
        <f t="shared" si="124"/>
        <v>4</v>
      </c>
      <c r="R115" s="10" t="str">
        <f t="shared" si="125"/>
        <v>Correct</v>
      </c>
      <c r="S115" t="str">
        <f t="shared" si="126"/>
        <v>1-2020</v>
      </c>
      <c r="T115" t="str">
        <f t="shared" si="127"/>
        <v>Tuesday</v>
      </c>
      <c r="U115">
        <f t="shared" si="128"/>
        <v>1</v>
      </c>
      <c r="V115" s="8">
        <f>IFERROR(Table1[[#This Row],[ClassLength]]/Table1[[#This Row],[Splat]],0)</f>
        <v>4.6282051281641863</v>
      </c>
      <c r="W115" s="10">
        <f t="shared" si="129"/>
        <v>1</v>
      </c>
      <c r="X115" s="10">
        <f t="shared" si="130"/>
        <v>0</v>
      </c>
      <c r="Y115" s="10">
        <f t="shared" si="131"/>
        <v>0</v>
      </c>
      <c r="Z115" s="5">
        <f t="shared" si="134"/>
        <v>0.38947368421052636</v>
      </c>
      <c r="AA115" s="5">
        <f t="shared" si="134"/>
        <v>0.18144044321329639</v>
      </c>
      <c r="AB115" s="5">
        <f t="shared" si="134"/>
        <v>0.2116343490304709</v>
      </c>
      <c r="AC115" s="5">
        <f t="shared" si="134"/>
        <v>9.3074792243767315E-2</v>
      </c>
      <c r="AD115" s="5">
        <f t="shared" si="134"/>
        <v>0.12326869806094184</v>
      </c>
      <c r="AE115" s="7">
        <f t="shared" si="132"/>
        <v>232.14</v>
      </c>
      <c r="AF115" s="7">
        <f t="shared" si="133"/>
        <v>16.581428571428571</v>
      </c>
      <c r="AG115" s="8">
        <f t="shared" si="106"/>
        <v>613.00000000173634</v>
      </c>
      <c r="AH115" s="8">
        <f t="shared" si="107"/>
        <v>14.500000000134339</v>
      </c>
      <c r="AI115">
        <f>YEAR(Table1[[#This Row],[Date]])</f>
        <v>2020</v>
      </c>
      <c r="AK115">
        <v>12</v>
      </c>
      <c r="AL115" s="8">
        <f>Table1[[#This Row],[Calories]]/Table1[[#This Row],[ClassLength]]</f>
        <v>9.9390581717451543</v>
      </c>
      <c r="AM115" s="10" t="str">
        <f>RIGHT(Table1[[#This Row],[Time]],2)</f>
        <v>PM</v>
      </c>
      <c r="AN115" s="10" t="str">
        <f>Table1[[#This Row],[Mon_Yr]]&amp;"-"&amp;WEEKNUM(Table1[[#This Row],[Date]],1)-WEEKNUM(DATE(YEAR(Table1[[#This Row],[Date]]),MONTH(Table1[[#This Row],[Date]]),1),1)+1</f>
        <v>1-2020-4</v>
      </c>
      <c r="AO115" s="10">
        <f>MONTH(Table1[[#This Row],[Date]])</f>
        <v>1</v>
      </c>
      <c r="AP115" s="8">
        <f>IFERROR(Table1[[#This Row],[Calories]]/Table1[[#This Row],[Splat]],0)</f>
        <v>45.999999999593086</v>
      </c>
      <c r="AQ115" s="10">
        <f>COUNTIF(Table1[Location],Table1[[#This Row],[Location]])</f>
        <v>35</v>
      </c>
      <c r="AR115" s="10">
        <f>IF(AND(Table1[[#This Row],[Calories]]&gt;=600,Table1[[#This Row],[Splat]]&gt;=12),1,0)</f>
        <v>0</v>
      </c>
      <c r="AS115" s="10">
        <f>IF(AND(Table1[[#This Row],[Calories]]&gt;=500,Table1[[#This Row],[Splat]]&gt;=12),1,0)</f>
        <v>1</v>
      </c>
      <c r="AT115" s="8">
        <f>Table1[[#This Row],[ClassLength]]/Table1[[#This Row],[Calories]]</f>
        <v>0.10061315496098103</v>
      </c>
      <c r="AU11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15" s="10">
        <f>COUNTIF(Table1[Trainer],Table1[[#This Row],[Trainer]])</f>
        <v>10</v>
      </c>
      <c r="AW115" s="10" t="str">
        <f>UPPER(LEFT(TEXT(Table1[Date],"mmmm"),3))&amp;" "&amp;TEXT(Table1[Date],"yyyy")</f>
        <v>JAN 2020</v>
      </c>
      <c r="AX115" s="10">
        <f>VLOOKUP(Table1[[#This Row],[Location]],'Tab for Charts'!$A$93:$B$103,2,FALSE)</f>
        <v>38.881884999999997</v>
      </c>
      <c r="AY115" s="10">
        <f>VLOOKUP(Table1[[#This Row],[Location]],'Tab for Charts'!$A$93:$C$103,3,FALSE)</f>
        <v>-77.229702000000003</v>
      </c>
    </row>
    <row r="116" spans="1:51">
      <c r="A116">
        <v>115</v>
      </c>
      <c r="B116">
        <f t="shared" si="105"/>
        <v>14</v>
      </c>
      <c r="C116" s="1">
        <v>43852</v>
      </c>
      <c r="D116" s="8">
        <f>56+9/60</f>
        <v>56.15</v>
      </c>
      <c r="E116">
        <f>9+ROW()/1000000000000</f>
        <v>9.0000000001159997</v>
      </c>
      <c r="F116">
        <f>503+ROW()/1000000000000</f>
        <v>503.00000000011602</v>
      </c>
      <c r="G116">
        <f>114</f>
        <v>114</v>
      </c>
      <c r="H116">
        <v>168</v>
      </c>
      <c r="I116">
        <f>27+10/60</f>
        <v>27.166666666666668</v>
      </c>
      <c r="J116">
        <f>6+28/60</f>
        <v>6.4666666666666668</v>
      </c>
      <c r="K116">
        <f>13+43/60</f>
        <v>13.716666666666667</v>
      </c>
      <c r="L116">
        <f>7+15/60</f>
        <v>7.25</v>
      </c>
      <c r="M116">
        <f>1+32/60</f>
        <v>1.5333333333333332</v>
      </c>
      <c r="N116" t="s">
        <v>21</v>
      </c>
      <c r="O116" t="s">
        <v>7</v>
      </c>
      <c r="P116" t="s">
        <v>23</v>
      </c>
      <c r="Q116" s="34">
        <f t="shared" si="124"/>
        <v>1</v>
      </c>
      <c r="R116" s="10" t="str">
        <f t="shared" si="125"/>
        <v>Correct</v>
      </c>
      <c r="S116" t="str">
        <f t="shared" si="126"/>
        <v>1-2020</v>
      </c>
      <c r="T116" t="str">
        <f t="shared" si="127"/>
        <v>Wednesday</v>
      </c>
      <c r="U116">
        <f t="shared" si="128"/>
        <v>0</v>
      </c>
      <c r="V116" s="8">
        <f>IFERROR(Table1[[#This Row],[ClassLength]]/Table1[[#This Row],[Splat]],0)</f>
        <v>6.2388888888084768</v>
      </c>
      <c r="W116" s="10">
        <f t="shared" si="129"/>
        <v>1</v>
      </c>
      <c r="X116" s="10">
        <f t="shared" si="130"/>
        <v>0</v>
      </c>
      <c r="Y116" s="10">
        <f t="shared" si="131"/>
        <v>0</v>
      </c>
      <c r="Z116" s="5">
        <f t="shared" ref="Z116:AD117" si="135">IFERROR(I116/$D116,"")</f>
        <v>0.4838230929059068</v>
      </c>
      <c r="AA116" s="5">
        <f t="shared" si="135"/>
        <v>0.1151677055506085</v>
      </c>
      <c r="AB116" s="5">
        <f t="shared" si="135"/>
        <v>0.24428613831997625</v>
      </c>
      <c r="AC116" s="5">
        <f t="shared" si="135"/>
        <v>0.12911843276936777</v>
      </c>
      <c r="AD116" s="5">
        <f t="shared" si="135"/>
        <v>2.7307806470762835E-2</v>
      </c>
      <c r="AE116" s="7">
        <f t="shared" si="132"/>
        <v>232.14</v>
      </c>
      <c r="AF116" s="7">
        <f t="shared" si="133"/>
        <v>16.581428571428571</v>
      </c>
      <c r="AG116" s="8">
        <f t="shared" si="106"/>
        <v>613.00000000173634</v>
      </c>
      <c r="AH116" s="8">
        <f t="shared" si="107"/>
        <v>14.500000000134339</v>
      </c>
      <c r="AI116">
        <f>YEAR(Table1[[#This Row],[Date]])</f>
        <v>2020</v>
      </c>
      <c r="AK116">
        <v>12</v>
      </c>
      <c r="AL116" s="8">
        <f>Table1[[#This Row],[Calories]]/Table1[[#This Row],[ClassLength]]</f>
        <v>8.9581478183457879</v>
      </c>
      <c r="AM116" s="10" t="str">
        <f>RIGHT(Table1[[#This Row],[Time]],2)</f>
        <v>PM</v>
      </c>
      <c r="AN116" s="10" t="str">
        <f>Table1[[#This Row],[Mon_Yr]]&amp;"-"&amp;WEEKNUM(Table1[[#This Row],[Date]],1)-WEEKNUM(DATE(YEAR(Table1[[#This Row],[Date]]),MONTH(Table1[[#This Row],[Date]]),1),1)+1</f>
        <v>1-2020-4</v>
      </c>
      <c r="AO116" s="10">
        <f>MONTH(Table1[[#This Row],[Date]])</f>
        <v>1</v>
      </c>
      <c r="AP116" s="8">
        <f>IFERROR(Table1[[#This Row],[Calories]]/Table1[[#This Row],[Splat]],0)</f>
        <v>55.888888888181434</v>
      </c>
      <c r="AQ116" s="10">
        <f>COUNTIF(Table1[Location],Table1[[#This Row],[Location]])</f>
        <v>37</v>
      </c>
      <c r="AR116" s="10">
        <f>IF(AND(Table1[[#This Row],[Calories]]&gt;=600,Table1[[#This Row],[Splat]]&gt;=12),1,0)</f>
        <v>0</v>
      </c>
      <c r="AS116" s="10">
        <f>IF(AND(Table1[[#This Row],[Calories]]&gt;=500,Table1[[#This Row],[Splat]]&gt;=12),1,0)</f>
        <v>0</v>
      </c>
      <c r="AT116" s="8">
        <f>Table1[[#This Row],[ClassLength]]/Table1[[#This Row],[Calories]]</f>
        <v>0.11163021868784702</v>
      </c>
      <c r="AU11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16" s="10">
        <f>COUNTIF(Table1[Trainer],Table1[[#This Row],[Trainer]])</f>
        <v>20</v>
      </c>
      <c r="AW116" s="10" t="str">
        <f>UPPER(LEFT(TEXT(Table1[Date],"mmmm"),3))&amp;" "&amp;TEXT(Table1[Date],"yyyy")</f>
        <v>JAN 2020</v>
      </c>
      <c r="AX116" s="10">
        <f>VLOOKUP(Table1[[#This Row],[Location]],'Tab for Charts'!$A$93:$B$103,2,FALSE)</f>
        <v>38.903509999999997</v>
      </c>
      <c r="AY116" s="10">
        <f>VLOOKUP(Table1[[#This Row],[Location]],'Tab for Charts'!$A$93:$C$103,3,FALSE)</f>
        <v>-77.051809000000006</v>
      </c>
    </row>
    <row r="117" spans="1:51">
      <c r="A117">
        <v>116</v>
      </c>
      <c r="B117">
        <f t="shared" si="105"/>
        <v>14</v>
      </c>
      <c r="C117" s="1">
        <v>43854</v>
      </c>
      <c r="D117" s="8">
        <f>53+45/60</f>
        <v>53.75</v>
      </c>
      <c r="E117">
        <f>13+ROW()/100000000000</f>
        <v>13.000000001169999</v>
      </c>
      <c r="F117">
        <f>613+ROW()/10000000000</f>
        <v>613.00000001169997</v>
      </c>
      <c r="G117">
        <f>130</f>
        <v>130</v>
      </c>
      <c r="H117">
        <v>172</v>
      </c>
      <c r="I117">
        <f>7+30/60</f>
        <v>7.5</v>
      </c>
      <c r="J117">
        <f>6+46/60</f>
        <v>6.7666666666666666</v>
      </c>
      <c r="K117">
        <f>26+10/60</f>
        <v>26.166666666666668</v>
      </c>
      <c r="L117">
        <f>10+51/60</f>
        <v>10.85</v>
      </c>
      <c r="M117">
        <f>2+28/60</f>
        <v>2.4666666666666668</v>
      </c>
      <c r="N117" t="s">
        <v>49</v>
      </c>
      <c r="O117" t="s">
        <v>20</v>
      </c>
      <c r="P117" t="s">
        <v>50</v>
      </c>
      <c r="Q117" s="34">
        <f t="shared" si="124"/>
        <v>2</v>
      </c>
      <c r="R117" s="10" t="str">
        <f t="shared" si="125"/>
        <v>Correct</v>
      </c>
      <c r="S117" t="str">
        <f t="shared" si="126"/>
        <v>1-2020</v>
      </c>
      <c r="T117" t="str">
        <f t="shared" si="127"/>
        <v>Friday</v>
      </c>
      <c r="U117">
        <f t="shared" si="128"/>
        <v>1</v>
      </c>
      <c r="V117" s="8">
        <f>IFERROR(Table1[[#This Row],[ClassLength]]/Table1[[#This Row],[Splat]],0)</f>
        <v>4.1346153842432694</v>
      </c>
      <c r="W117" s="10">
        <f t="shared" si="129"/>
        <v>1</v>
      </c>
      <c r="X117" s="10">
        <f t="shared" si="130"/>
        <v>0</v>
      </c>
      <c r="Y117" s="10">
        <f t="shared" si="131"/>
        <v>0</v>
      </c>
      <c r="Z117" s="5">
        <f t="shared" si="135"/>
        <v>0.13953488372093023</v>
      </c>
      <c r="AA117" s="5">
        <f t="shared" si="135"/>
        <v>0.12589147286821706</v>
      </c>
      <c r="AB117" s="5">
        <f t="shared" si="135"/>
        <v>0.48682170542635661</v>
      </c>
      <c r="AC117" s="5">
        <f t="shared" si="135"/>
        <v>0.20186046511627906</v>
      </c>
      <c r="AD117" s="5">
        <f t="shared" si="135"/>
        <v>4.5891472868217056E-2</v>
      </c>
      <c r="AE117" s="7">
        <f t="shared" si="132"/>
        <v>232.14</v>
      </c>
      <c r="AF117" s="7">
        <f t="shared" si="133"/>
        <v>16.581428571428571</v>
      </c>
      <c r="AG117" s="8">
        <f t="shared" si="106"/>
        <v>613.00000000173634</v>
      </c>
      <c r="AH117" s="8">
        <f t="shared" si="107"/>
        <v>14.500000000134339</v>
      </c>
      <c r="AI117">
        <f>YEAR(Table1[[#This Row],[Date]])</f>
        <v>2020</v>
      </c>
      <c r="AK117">
        <v>12</v>
      </c>
      <c r="AL117" s="8">
        <f>Table1[[#This Row],[Calories]]/Table1[[#This Row],[ClassLength]]</f>
        <v>11.404651163008371</v>
      </c>
      <c r="AM117" s="10" t="str">
        <f>RIGHT(Table1[[#This Row],[Time]],2)</f>
        <v>PM</v>
      </c>
      <c r="AN117" s="10" t="str">
        <f>Table1[[#This Row],[Mon_Yr]]&amp;"-"&amp;WEEKNUM(Table1[[#This Row],[Date]],1)-WEEKNUM(DATE(YEAR(Table1[[#This Row],[Date]]),MONTH(Table1[[#This Row],[Date]]),1),1)+1</f>
        <v>1-2020-4</v>
      </c>
      <c r="AO117" s="10">
        <f>MONTH(Table1[[#This Row],[Date]])</f>
        <v>1</v>
      </c>
      <c r="AP117" s="8">
        <f>IFERROR(Table1[[#This Row],[Calories]]/Table1[[#This Row],[Splat]],0)</f>
        <v>47.153846150502311</v>
      </c>
      <c r="AQ117" s="10">
        <f>COUNTIF(Table1[Location],Table1[[#This Row],[Location]])</f>
        <v>10</v>
      </c>
      <c r="AR117" s="10">
        <f>IF(AND(Table1[[#This Row],[Calories]]&gt;=600,Table1[[#This Row],[Splat]]&gt;=12),1,0)</f>
        <v>1</v>
      </c>
      <c r="AS117" s="10">
        <f>IF(AND(Table1[[#This Row],[Calories]]&gt;=500,Table1[[#This Row],[Splat]]&gt;=12),1,0)</f>
        <v>1</v>
      </c>
      <c r="AT117" s="8">
        <f>Table1[[#This Row],[ClassLength]]/Table1[[#This Row],[Calories]]</f>
        <v>8.76835236524863E-2</v>
      </c>
      <c r="AU11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17" s="10">
        <f>COUNTIF(Table1[Trainer],Table1[[#This Row],[Trainer]])</f>
        <v>9</v>
      </c>
      <c r="AW117" s="10" t="str">
        <f>UPPER(LEFT(TEXT(Table1[Date],"mmmm"),3))&amp;" "&amp;TEXT(Table1[Date],"yyyy")</f>
        <v>JAN 2020</v>
      </c>
      <c r="AX117" s="10">
        <f>VLOOKUP(Table1[[#This Row],[Location]],'Tab for Charts'!$A$93:$B$103,2,FALSE)</f>
        <v>38.879828000000003</v>
      </c>
      <c r="AY117" s="10">
        <f>VLOOKUP(Table1[[#This Row],[Location]],'Tab for Charts'!$A$93:$C$103,3,FALSE)</f>
        <v>-77.005566000000002</v>
      </c>
    </row>
    <row r="118" spans="1:51">
      <c r="A118">
        <v>117</v>
      </c>
      <c r="B118">
        <f t="shared" si="105"/>
        <v>14</v>
      </c>
      <c r="C118" s="1">
        <v>43858</v>
      </c>
      <c r="D118" s="8">
        <f>57+24/60</f>
        <v>57.4</v>
      </c>
      <c r="E118">
        <f>8+ROW()/1000000000000</f>
        <v>8.0000000001179998</v>
      </c>
      <c r="F118">
        <f>502+ROW()/100000000000000</f>
        <v>502.00000000000119</v>
      </c>
      <c r="G118">
        <f>112</f>
        <v>112</v>
      </c>
      <c r="H118">
        <v>168</v>
      </c>
      <c r="I118">
        <f>25+45/60</f>
        <v>25.75</v>
      </c>
      <c r="J118">
        <f>14+44/60</f>
        <v>14.733333333333333</v>
      </c>
      <c r="K118">
        <f>8+35/60</f>
        <v>8.5833333333333339</v>
      </c>
      <c r="L118">
        <f>6+5/60</f>
        <v>6.083333333333333</v>
      </c>
      <c r="M118">
        <f>2+15/60</f>
        <v>2.25</v>
      </c>
      <c r="N118" t="s">
        <v>6</v>
      </c>
      <c r="O118" t="s">
        <v>7</v>
      </c>
      <c r="P118" t="s">
        <v>9</v>
      </c>
      <c r="Q118" s="34">
        <f t="shared" si="124"/>
        <v>4</v>
      </c>
      <c r="R118" s="10" t="str">
        <f t="shared" si="125"/>
        <v>Correct</v>
      </c>
      <c r="S118" t="str">
        <f t="shared" si="126"/>
        <v>1-2020</v>
      </c>
      <c r="T118" t="str">
        <f t="shared" si="127"/>
        <v>Tuesday</v>
      </c>
      <c r="U118">
        <f t="shared" si="128"/>
        <v>0</v>
      </c>
      <c r="V118" s="8">
        <f>IFERROR(Table1[[#This Row],[ClassLength]]/Table1[[#This Row],[Splat]],0)</f>
        <v>7.1749999998941689</v>
      </c>
      <c r="W118" s="10">
        <f t="shared" si="129"/>
        <v>1</v>
      </c>
      <c r="X118" s="10">
        <f t="shared" si="130"/>
        <v>0</v>
      </c>
      <c r="Y118" s="10">
        <f t="shared" si="131"/>
        <v>0</v>
      </c>
      <c r="Z118" s="5">
        <f t="shared" ref="Z118:AD120" si="136">IFERROR(I118/$D118,"")</f>
        <v>0.44860627177700352</v>
      </c>
      <c r="AA118" s="5">
        <f t="shared" si="136"/>
        <v>0.25667828106852497</v>
      </c>
      <c r="AB118" s="5">
        <f t="shared" si="136"/>
        <v>0.14953542392566785</v>
      </c>
      <c r="AC118" s="5">
        <f t="shared" si="136"/>
        <v>0.10598141695702672</v>
      </c>
      <c r="AD118" s="5">
        <f t="shared" si="136"/>
        <v>3.9198606271777008E-2</v>
      </c>
      <c r="AE118" s="7">
        <f t="shared" si="132"/>
        <v>232.14</v>
      </c>
      <c r="AF118" s="7">
        <f t="shared" si="133"/>
        <v>16.581428571428571</v>
      </c>
      <c r="AG118" s="8">
        <f t="shared" si="106"/>
        <v>613.00000000173634</v>
      </c>
      <c r="AH118" s="8">
        <f t="shared" si="107"/>
        <v>14.500000000134339</v>
      </c>
      <c r="AI118">
        <f>YEAR(Table1[[#This Row],[Date]])</f>
        <v>2020</v>
      </c>
      <c r="AK118">
        <v>12</v>
      </c>
      <c r="AL118" s="8">
        <f>Table1[[#This Row],[Calories]]/Table1[[#This Row],[ClassLength]]</f>
        <v>8.7456445993031569</v>
      </c>
      <c r="AM118" s="10" t="str">
        <f>RIGHT(Table1[[#This Row],[Time]],2)</f>
        <v>PM</v>
      </c>
      <c r="AN118" s="10" t="str">
        <f>Table1[[#This Row],[Mon_Yr]]&amp;"-"&amp;WEEKNUM(Table1[[#This Row],[Date]],1)-WEEKNUM(DATE(YEAR(Table1[[#This Row],[Date]]),MONTH(Table1[[#This Row],[Date]]),1),1)+1</f>
        <v>1-2020-5</v>
      </c>
      <c r="AO118" s="10">
        <f>MONTH(Table1[[#This Row],[Date]])</f>
        <v>1</v>
      </c>
      <c r="AP118" s="8">
        <f>IFERROR(Table1[[#This Row],[Calories]]/Table1[[#This Row],[Splat]],0)</f>
        <v>62.749999999074589</v>
      </c>
      <c r="AQ118" s="10">
        <f>COUNTIF(Table1[Location],Table1[[#This Row],[Location]])</f>
        <v>35</v>
      </c>
      <c r="AR118" s="10">
        <f>IF(AND(Table1[[#This Row],[Calories]]&gt;=600,Table1[[#This Row],[Splat]]&gt;=12),1,0)</f>
        <v>0</v>
      </c>
      <c r="AS118" s="10">
        <f>IF(AND(Table1[[#This Row],[Calories]]&gt;=500,Table1[[#This Row],[Splat]]&gt;=12),1,0)</f>
        <v>0</v>
      </c>
      <c r="AT118" s="8">
        <f>Table1[[#This Row],[ClassLength]]/Table1[[#This Row],[Calories]]</f>
        <v>0.11434262948207144</v>
      </c>
      <c r="AU11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18" s="10">
        <f>COUNTIF(Table1[Trainer],Table1[[#This Row],[Trainer]])</f>
        <v>10</v>
      </c>
      <c r="AW118" s="10" t="str">
        <f>UPPER(LEFT(TEXT(Table1[Date],"mmmm"),3))&amp;" "&amp;TEXT(Table1[Date],"yyyy")</f>
        <v>JAN 2020</v>
      </c>
      <c r="AX118" s="10">
        <f>VLOOKUP(Table1[[#This Row],[Location]],'Tab for Charts'!$A$93:$B$103,2,FALSE)</f>
        <v>38.881884999999997</v>
      </c>
      <c r="AY118" s="10">
        <f>VLOOKUP(Table1[[#This Row],[Location]],'Tab for Charts'!$A$93:$C$103,3,FALSE)</f>
        <v>-77.229702000000003</v>
      </c>
    </row>
    <row r="119" spans="1:51">
      <c r="A119">
        <v>118</v>
      </c>
      <c r="B119">
        <f t="shared" si="105"/>
        <v>14</v>
      </c>
      <c r="C119" s="1">
        <v>43859</v>
      </c>
      <c r="D119" s="8">
        <f>59+9/60</f>
        <v>59.15</v>
      </c>
      <c r="E119">
        <f>20+ROW()/100000000000000</f>
        <v>20.00000000000119</v>
      </c>
      <c r="F119">
        <f>667+ROW()/1000000000000</f>
        <v>667.00000000011903</v>
      </c>
      <c r="G119">
        <f>129</f>
        <v>129</v>
      </c>
      <c r="H119">
        <v>173</v>
      </c>
      <c r="I119">
        <f>13+49/60</f>
        <v>13.816666666666666</v>
      </c>
      <c r="J119">
        <f>14+13/60</f>
        <v>14.216666666666667</v>
      </c>
      <c r="K119">
        <f>10+36/60</f>
        <v>10.6</v>
      </c>
      <c r="L119">
        <f>10+3/60</f>
        <v>10.050000000000001</v>
      </c>
      <c r="M119">
        <f>10+28/60</f>
        <v>10.466666666666667</v>
      </c>
      <c r="N119" t="s">
        <v>21</v>
      </c>
      <c r="O119" t="s">
        <v>7</v>
      </c>
      <c r="P119" t="s">
        <v>23</v>
      </c>
      <c r="Q119" s="34">
        <f t="shared" ref="Q119:Q124" si="137">C119-C118</f>
        <v>1</v>
      </c>
      <c r="R119" s="10" t="str">
        <f t="shared" ref="R119:R124" si="138">IF(ROUND(E119,1)-ROUND(L119+M119,0)=0,"Correct",IF(ROUND(E119,1)-ROUND(L119+M119,0)=1,"Gain","Loss"))</f>
        <v>Loss</v>
      </c>
      <c r="S119" t="str">
        <f t="shared" ref="S119:S124" si="139">MONTH(C119)&amp;"-"&amp;YEAR(C119)</f>
        <v>1-2020</v>
      </c>
      <c r="T119" t="str">
        <f t="shared" ref="T119:T124" si="140">IF(WEEKDAY(C119)=1,"Sunday",IF(WEEKDAY(C119)=2,"Monday",IF(WEEKDAY(C119)=3,"Tuesday",IF(WEEKDAY(C119)=4,"Wednesday",IF(WEEKDAY(C119)=5,"Thursday",IF(WEEKDAY(C119)=6,"Friday","Saturday"))))))</f>
        <v>Wednesday</v>
      </c>
      <c r="U119">
        <f t="shared" ref="U119:U124" si="141">IF(E119&gt;=12,1,0)</f>
        <v>1</v>
      </c>
      <c r="V119" s="8">
        <f>IFERROR(Table1[[#This Row],[ClassLength]]/Table1[[#This Row],[Splat]],0)</f>
        <v>2.9574999999998237</v>
      </c>
      <c r="W119" s="10">
        <f t="shared" ref="W119:W124" si="142">IF(ROUND($E119,1)-ROUND($L119+$M119,0)=0,1,0)</f>
        <v>0</v>
      </c>
      <c r="X119" s="10">
        <f t="shared" ref="X119:X124" si="143">IF(ROUND($E119,1)-ROUND($L119+$M119,0)=1,1,0)</f>
        <v>0</v>
      </c>
      <c r="Y119" s="10">
        <f t="shared" ref="Y119:Y124" si="144">IF(ROUND($E119,1)-ROUND($L119+$M119,0)=-1,1,0)</f>
        <v>1</v>
      </c>
      <c r="Z119" s="5">
        <f t="shared" si="136"/>
        <v>0.23358692589461821</v>
      </c>
      <c r="AA119" s="5">
        <f t="shared" si="136"/>
        <v>0.24034939419554804</v>
      </c>
      <c r="AB119" s="5">
        <f t="shared" si="136"/>
        <v>0.17920540997464074</v>
      </c>
      <c r="AC119" s="5">
        <f t="shared" si="136"/>
        <v>0.16990701606086223</v>
      </c>
      <c r="AD119" s="5">
        <f t="shared" si="136"/>
        <v>0.1769512538743308</v>
      </c>
      <c r="AE119" s="7">
        <f t="shared" ref="AE119:AE124" si="145">232.14+AJ119</f>
        <v>232.14</v>
      </c>
      <c r="AF119" s="7">
        <f t="shared" ref="AF119:AF124" si="146">AE119/B119</f>
        <v>16.581428571428571</v>
      </c>
      <c r="AG119" s="8">
        <f t="shared" si="106"/>
        <v>613.00000000173634</v>
      </c>
      <c r="AH119" s="8">
        <f t="shared" si="107"/>
        <v>14.500000000134339</v>
      </c>
      <c r="AI119">
        <f>YEAR(Table1[[#This Row],[Date]])</f>
        <v>2020</v>
      </c>
      <c r="AK119">
        <v>12</v>
      </c>
      <c r="AL119" s="8">
        <f>Table1[[#This Row],[Calories]]/Table1[[#This Row],[ClassLength]]</f>
        <v>11.27641589180252</v>
      </c>
      <c r="AM119" s="10" t="str">
        <f>RIGHT(Table1[[#This Row],[Time]],2)</f>
        <v>PM</v>
      </c>
      <c r="AN119" s="10" t="str">
        <f>Table1[[#This Row],[Mon_Yr]]&amp;"-"&amp;WEEKNUM(Table1[[#This Row],[Date]],1)-WEEKNUM(DATE(YEAR(Table1[[#This Row],[Date]]),MONTH(Table1[[#This Row],[Date]]),1),1)+1</f>
        <v>1-2020-5</v>
      </c>
      <c r="AO119" s="10">
        <f>MONTH(Table1[[#This Row],[Date]])</f>
        <v>1</v>
      </c>
      <c r="AP119" s="8">
        <f>IFERROR(Table1[[#This Row],[Calories]]/Table1[[#This Row],[Splat]],0)</f>
        <v>33.350000000003966</v>
      </c>
      <c r="AQ119" s="10">
        <f>COUNTIF(Table1[Location],Table1[[#This Row],[Location]])</f>
        <v>37</v>
      </c>
      <c r="AR119" s="10">
        <f>IF(AND(Table1[[#This Row],[Calories]]&gt;=600,Table1[[#This Row],[Splat]]&gt;=12),1,0)</f>
        <v>1</v>
      </c>
      <c r="AS119" s="10">
        <f>IF(AND(Table1[[#This Row],[Calories]]&gt;=500,Table1[[#This Row],[Splat]]&gt;=12),1,0)</f>
        <v>1</v>
      </c>
      <c r="AT119" s="8">
        <f>Table1[[#This Row],[ClassLength]]/Table1[[#This Row],[Calories]]</f>
        <v>8.8680659670149084E-2</v>
      </c>
      <c r="AU11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19" s="10">
        <f>COUNTIF(Table1[Trainer],Table1[[#This Row],[Trainer]])</f>
        <v>20</v>
      </c>
      <c r="AW119" s="10" t="str">
        <f>UPPER(LEFT(TEXT(Table1[Date],"mmmm"),3))&amp;" "&amp;TEXT(Table1[Date],"yyyy")</f>
        <v>JAN 2020</v>
      </c>
      <c r="AX119" s="10">
        <f>VLOOKUP(Table1[[#This Row],[Location]],'Tab for Charts'!$A$93:$B$103,2,FALSE)</f>
        <v>38.903509999999997</v>
      </c>
      <c r="AY119" s="10">
        <f>VLOOKUP(Table1[[#This Row],[Location]],'Tab for Charts'!$A$93:$C$103,3,FALSE)</f>
        <v>-77.051809000000006</v>
      </c>
    </row>
    <row r="120" spans="1:51">
      <c r="A120">
        <v>119</v>
      </c>
      <c r="B120">
        <f t="shared" si="105"/>
        <v>14</v>
      </c>
      <c r="C120" s="1">
        <v>43860</v>
      </c>
      <c r="D120" s="8">
        <f>57+31/60</f>
        <v>57.516666666666666</v>
      </c>
      <c r="E120">
        <f>6+ROW()/100000000000000</f>
        <v>6.0000000000011999</v>
      </c>
      <c r="F120">
        <f>537+ROW()/1000000000000</f>
        <v>537.00000000012005</v>
      </c>
      <c r="G120">
        <f>116</f>
        <v>116</v>
      </c>
      <c r="H120">
        <v>163</v>
      </c>
      <c r="I120">
        <f>22+53/60</f>
        <v>22.883333333333333</v>
      </c>
      <c r="J120">
        <f>13+47/60</f>
        <v>13.783333333333333</v>
      </c>
      <c r="K120">
        <f>14+43/60</f>
        <v>14.716666666666667</v>
      </c>
      <c r="L120">
        <f>6+1/60</f>
        <v>6.0166666666666666</v>
      </c>
      <c r="M120">
        <f>0+6/60</f>
        <v>0.1</v>
      </c>
      <c r="N120" t="s">
        <v>15</v>
      </c>
      <c r="O120" t="s">
        <v>20</v>
      </c>
      <c r="P120" t="s">
        <v>124</v>
      </c>
      <c r="Q120" s="34">
        <f t="shared" si="137"/>
        <v>1</v>
      </c>
      <c r="R120" s="10" t="str">
        <f t="shared" si="138"/>
        <v>Correct</v>
      </c>
      <c r="S120" t="str">
        <f t="shared" si="139"/>
        <v>1-2020</v>
      </c>
      <c r="T120" t="str">
        <f t="shared" si="140"/>
        <v>Thursday</v>
      </c>
      <c r="U120">
        <f t="shared" si="141"/>
        <v>0</v>
      </c>
      <c r="V120" s="8">
        <f>IFERROR(Table1[[#This Row],[ClassLength]]/Table1[[#This Row],[Splat]],0)</f>
        <v>9.5861111111091937</v>
      </c>
      <c r="W120" s="10">
        <f t="shared" si="142"/>
        <v>1</v>
      </c>
      <c r="X120" s="10">
        <f t="shared" si="143"/>
        <v>0</v>
      </c>
      <c r="Y120" s="10">
        <f t="shared" si="144"/>
        <v>0</v>
      </c>
      <c r="Z120" s="5">
        <f t="shared" si="136"/>
        <v>0.39785569400173865</v>
      </c>
      <c r="AA120" s="5">
        <f t="shared" si="136"/>
        <v>0.23964068385975079</v>
      </c>
      <c r="AB120" s="5">
        <f t="shared" si="136"/>
        <v>0.25586786438713416</v>
      </c>
      <c r="AC120" s="5">
        <f t="shared" si="136"/>
        <v>0.1046073601854535</v>
      </c>
      <c r="AD120" s="5">
        <f t="shared" si="136"/>
        <v>1.7386264850767896E-3</v>
      </c>
      <c r="AE120" s="7">
        <f t="shared" si="145"/>
        <v>232.14</v>
      </c>
      <c r="AF120" s="7">
        <f t="shared" si="146"/>
        <v>16.581428571428571</v>
      </c>
      <c r="AG120" s="8">
        <f t="shared" si="106"/>
        <v>613.00000000173634</v>
      </c>
      <c r="AH120" s="8">
        <f t="shared" si="107"/>
        <v>14.500000000134339</v>
      </c>
      <c r="AI120">
        <f>YEAR(Table1[[#This Row],[Date]])</f>
        <v>2020</v>
      </c>
      <c r="AK120">
        <v>12</v>
      </c>
      <c r="AL120" s="8">
        <f>Table1[[#This Row],[Calories]]/Table1[[#This Row],[ClassLength]]</f>
        <v>9.3364242248644462</v>
      </c>
      <c r="AM120" s="10" t="str">
        <f>RIGHT(Table1[[#This Row],[Time]],2)</f>
        <v>PM</v>
      </c>
      <c r="AN120" s="10" t="str">
        <f>Table1[[#This Row],[Mon_Yr]]&amp;"-"&amp;WEEKNUM(Table1[[#This Row],[Date]],1)-WEEKNUM(DATE(YEAR(Table1[[#This Row],[Date]]),MONTH(Table1[[#This Row],[Date]]),1),1)+1</f>
        <v>1-2020-5</v>
      </c>
      <c r="AO120" s="10">
        <f>MONTH(Table1[[#This Row],[Date]])</f>
        <v>1</v>
      </c>
      <c r="AP120" s="8">
        <f>IFERROR(Table1[[#This Row],[Calories]]/Table1[[#This Row],[Splat]],0)</f>
        <v>89.500000000002103</v>
      </c>
      <c r="AQ120" s="10">
        <f>COUNTIF(Table1[Location],Table1[[#This Row],[Location]])</f>
        <v>48</v>
      </c>
      <c r="AR120" s="10">
        <f>IF(AND(Table1[[#This Row],[Calories]]&gt;=600,Table1[[#This Row],[Splat]]&gt;=12),1,0)</f>
        <v>0</v>
      </c>
      <c r="AS120" s="10">
        <f>IF(AND(Table1[[#This Row],[Calories]]&gt;=500,Table1[[#This Row],[Splat]]&gt;=12),1,0)</f>
        <v>0</v>
      </c>
      <c r="AT120" s="8">
        <f>Table1[[#This Row],[ClassLength]]/Table1[[#This Row],[Calories]]</f>
        <v>0.10710738671630132</v>
      </c>
      <c r="AU12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20" s="10">
        <f>COUNTIF(Table1[Trainer],Table1[[#This Row],[Trainer]])</f>
        <v>3</v>
      </c>
      <c r="AW120" s="10" t="str">
        <f>UPPER(LEFT(TEXT(Table1[Date],"mmmm"),3))&amp;" "&amp;TEXT(Table1[Date],"yyyy")</f>
        <v>JAN 2020</v>
      </c>
      <c r="AX120" s="10">
        <f>VLOOKUP(Table1[[#This Row],[Location]],'Tab for Charts'!$A$93:$B$103,2,FALSE)</f>
        <v>38.916486999999996</v>
      </c>
      <c r="AY120" s="10">
        <f>VLOOKUP(Table1[[#This Row],[Location]],'Tab for Charts'!$A$93:$C$103,3,FALSE)</f>
        <v>-77.031514000000001</v>
      </c>
    </row>
    <row r="121" spans="1:51">
      <c r="A121">
        <v>120</v>
      </c>
      <c r="B121">
        <f t="shared" si="105"/>
        <v>16</v>
      </c>
      <c r="C121" s="1">
        <v>43862</v>
      </c>
      <c r="D121" s="8">
        <f>55+36/60</f>
        <v>55.6</v>
      </c>
      <c r="E121">
        <f>14+ROW()/100000000000</f>
        <v>14.000000001209999</v>
      </c>
      <c r="F121">
        <f>635+ROW()/100000000000000</f>
        <v>635.00000000000125</v>
      </c>
      <c r="G121">
        <f>130</f>
        <v>130</v>
      </c>
      <c r="H121">
        <v>164</v>
      </c>
      <c r="I121">
        <f>8+0/60</f>
        <v>8</v>
      </c>
      <c r="J121">
        <f>13+44/60</f>
        <v>13.733333333333333</v>
      </c>
      <c r="K121">
        <f>20+6/60</f>
        <v>20.100000000000001</v>
      </c>
      <c r="L121">
        <f>12+38/60</f>
        <v>12.633333333333333</v>
      </c>
      <c r="M121">
        <f>1+8/60</f>
        <v>1.1333333333333333</v>
      </c>
      <c r="N121" t="s">
        <v>15</v>
      </c>
      <c r="O121" t="s">
        <v>13</v>
      </c>
      <c r="P121" t="s">
        <v>17</v>
      </c>
      <c r="Q121" s="34">
        <f t="shared" si="137"/>
        <v>2</v>
      </c>
      <c r="R121" s="10" t="str">
        <f t="shared" si="138"/>
        <v>Correct</v>
      </c>
      <c r="S121" t="str">
        <f t="shared" si="139"/>
        <v>2-2020</v>
      </c>
      <c r="T121" t="str">
        <f t="shared" si="140"/>
        <v>Saturday</v>
      </c>
      <c r="U121">
        <f t="shared" si="141"/>
        <v>1</v>
      </c>
      <c r="V121" s="8">
        <f>IFERROR(Table1[[#This Row],[ClassLength]]/Table1[[#This Row],[Splat]],0)</f>
        <v>3.971428571085327</v>
      </c>
      <c r="W121" s="10">
        <f t="shared" si="142"/>
        <v>1</v>
      </c>
      <c r="X121" s="10">
        <f t="shared" si="143"/>
        <v>0</v>
      </c>
      <c r="Y121" s="10">
        <f t="shared" si="144"/>
        <v>0</v>
      </c>
      <c r="Z121" s="5">
        <f t="shared" ref="Z121:AD122" si="147">IFERROR(I121/$D121,"")</f>
        <v>0.14388489208633093</v>
      </c>
      <c r="AA121" s="5">
        <f t="shared" si="147"/>
        <v>0.24700239808153476</v>
      </c>
      <c r="AB121" s="5">
        <f t="shared" si="147"/>
        <v>0.3615107913669065</v>
      </c>
      <c r="AC121" s="5">
        <f t="shared" si="147"/>
        <v>0.22721822541966424</v>
      </c>
      <c r="AD121" s="5">
        <f t="shared" si="147"/>
        <v>2.0383693045563547E-2</v>
      </c>
      <c r="AE121" s="7">
        <f t="shared" si="145"/>
        <v>232.14</v>
      </c>
      <c r="AF121" s="7">
        <f t="shared" si="146"/>
        <v>14.508749999999999</v>
      </c>
      <c r="AG121" s="8">
        <f t="shared" si="106"/>
        <v>598.68750000020839</v>
      </c>
      <c r="AH121" s="8">
        <f t="shared" si="107"/>
        <v>13.562500002731937</v>
      </c>
      <c r="AI121">
        <f>YEAR(Table1[[#This Row],[Date]])</f>
        <v>2020</v>
      </c>
      <c r="AK121">
        <v>12</v>
      </c>
      <c r="AL121" s="8">
        <f>Table1[[#This Row],[Calories]]/Table1[[#This Row],[ClassLength]]</f>
        <v>11.420863309352541</v>
      </c>
      <c r="AM121" s="10" t="str">
        <f>RIGHT(Table1[[#This Row],[Time]],2)</f>
        <v>AM</v>
      </c>
      <c r="AN121" s="10" t="str">
        <f>Table1[[#This Row],[Mon_Yr]]&amp;"-"&amp;WEEKNUM(Table1[[#This Row],[Date]],1)-WEEKNUM(DATE(YEAR(Table1[[#This Row],[Date]]),MONTH(Table1[[#This Row],[Date]]),1),1)+1</f>
        <v>2-2020-1</v>
      </c>
      <c r="AO121" s="10">
        <f>MONTH(Table1[[#This Row],[Date]])</f>
        <v>2</v>
      </c>
      <c r="AP121" s="8">
        <f>IFERROR(Table1[[#This Row],[Calories]]/Table1[[#This Row],[Splat]],0)</f>
        <v>45.357142853222797</v>
      </c>
      <c r="AQ121" s="10">
        <f>COUNTIF(Table1[Location],Table1[[#This Row],[Location]])</f>
        <v>48</v>
      </c>
      <c r="AR121" s="10">
        <f>IF(AND(Table1[[#This Row],[Calories]]&gt;=600,Table1[[#This Row],[Splat]]&gt;=12),1,0)</f>
        <v>1</v>
      </c>
      <c r="AS121" s="10">
        <f>IF(AND(Table1[[#This Row],[Calories]]&gt;=500,Table1[[#This Row],[Splat]]&gt;=12),1,0)</f>
        <v>1</v>
      </c>
      <c r="AT121" s="8">
        <f>Table1[[#This Row],[ClassLength]]/Table1[[#This Row],[Calories]]</f>
        <v>8.755905511811006E-2</v>
      </c>
      <c r="AU12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21" s="10">
        <f>COUNTIF(Table1[Trainer],Table1[[#This Row],[Trainer]])</f>
        <v>29</v>
      </c>
      <c r="AW121" s="10" t="str">
        <f>UPPER(LEFT(TEXT(Table1[Date],"mmmm"),3))&amp;" "&amp;TEXT(Table1[Date],"yyyy")</f>
        <v>FEB 2020</v>
      </c>
      <c r="AX121" s="10">
        <f>VLOOKUP(Table1[[#This Row],[Location]],'Tab for Charts'!$A$93:$B$103,2,FALSE)</f>
        <v>38.916486999999996</v>
      </c>
      <c r="AY121" s="10">
        <f>VLOOKUP(Table1[[#This Row],[Location]],'Tab for Charts'!$A$93:$C$103,3,FALSE)</f>
        <v>-77.031514000000001</v>
      </c>
    </row>
    <row r="122" spans="1:51">
      <c r="A122">
        <v>121</v>
      </c>
      <c r="B122">
        <f t="shared" si="105"/>
        <v>16</v>
      </c>
      <c r="C122" s="1">
        <v>43866</v>
      </c>
      <c r="D122" s="8">
        <f>61+47/60</f>
        <v>61.783333333333331</v>
      </c>
      <c r="E122">
        <f>16+ROW()/10000000000000</f>
        <v>16.0000000000122</v>
      </c>
      <c r="F122">
        <f>584+ROW()/100000000000000</f>
        <v>584.00000000000125</v>
      </c>
      <c r="G122">
        <f>117</f>
        <v>117</v>
      </c>
      <c r="H122">
        <v>167</v>
      </c>
      <c r="I122">
        <f>27+44/60</f>
        <v>27.733333333333334</v>
      </c>
      <c r="J122">
        <f>12+17/60</f>
        <v>12.283333333333333</v>
      </c>
      <c r="K122">
        <f>5+34/60</f>
        <v>5.5666666666666664</v>
      </c>
      <c r="L122">
        <f>8+44/60</f>
        <v>8.7333333333333325</v>
      </c>
      <c r="M122">
        <f>7+28/60</f>
        <v>7.4666666666666668</v>
      </c>
      <c r="N122" t="s">
        <v>21</v>
      </c>
      <c r="O122" t="s">
        <v>7</v>
      </c>
      <c r="P122" t="s">
        <v>23</v>
      </c>
      <c r="Q122" s="34">
        <f t="shared" si="137"/>
        <v>4</v>
      </c>
      <c r="R122" s="10" t="str">
        <f t="shared" si="138"/>
        <v>Correct</v>
      </c>
      <c r="S122" t="str">
        <f t="shared" si="139"/>
        <v>2-2020</v>
      </c>
      <c r="T122" t="str">
        <f t="shared" si="140"/>
        <v>Wednesday</v>
      </c>
      <c r="U122">
        <f t="shared" si="141"/>
        <v>1</v>
      </c>
      <c r="V122" s="8">
        <f>IFERROR(Table1[[#This Row],[ClassLength]]/Table1[[#This Row],[Splat]],0)</f>
        <v>3.8614583333303889</v>
      </c>
      <c r="W122" s="10">
        <f t="shared" si="142"/>
        <v>1</v>
      </c>
      <c r="X122" s="10">
        <f t="shared" si="143"/>
        <v>0</v>
      </c>
      <c r="Y122" s="10">
        <f t="shared" si="144"/>
        <v>0</v>
      </c>
      <c r="Z122" s="5">
        <f t="shared" si="147"/>
        <v>0.44888049635824118</v>
      </c>
      <c r="AA122" s="5">
        <f t="shared" si="147"/>
        <v>0.19881305637982197</v>
      </c>
      <c r="AB122" s="5">
        <f t="shared" si="147"/>
        <v>9.0099811168060429E-2</v>
      </c>
      <c r="AC122" s="5">
        <f t="shared" si="147"/>
        <v>0.14135419476665767</v>
      </c>
      <c r="AD122" s="5">
        <f t="shared" si="147"/>
        <v>0.12085244132721878</v>
      </c>
      <c r="AE122" s="7">
        <f t="shared" si="145"/>
        <v>232.14</v>
      </c>
      <c r="AF122" s="7">
        <f t="shared" si="146"/>
        <v>14.508749999999999</v>
      </c>
      <c r="AG122" s="8">
        <f t="shared" si="106"/>
        <v>598.68750000020839</v>
      </c>
      <c r="AH122" s="8">
        <f t="shared" si="107"/>
        <v>13.562500002731937</v>
      </c>
      <c r="AI122">
        <f>YEAR(Table1[[#This Row],[Date]])</f>
        <v>2020</v>
      </c>
      <c r="AK122">
        <v>12</v>
      </c>
      <c r="AL122" s="8">
        <f>Table1[[#This Row],[Calories]]/Table1[[#This Row],[ClassLength]]</f>
        <v>9.4523873752360608</v>
      </c>
      <c r="AM122" s="10" t="str">
        <f>RIGHT(Table1[[#This Row],[Time]],2)</f>
        <v>PM</v>
      </c>
      <c r="AN122" s="10" t="str">
        <f>Table1[[#This Row],[Mon_Yr]]&amp;"-"&amp;WEEKNUM(Table1[[#This Row],[Date]],1)-WEEKNUM(DATE(YEAR(Table1[[#This Row],[Date]]),MONTH(Table1[[#This Row],[Date]]),1),1)+1</f>
        <v>2-2020-2</v>
      </c>
      <c r="AO122" s="10">
        <f>MONTH(Table1[[#This Row],[Date]])</f>
        <v>2</v>
      </c>
      <c r="AP122" s="8">
        <f>IFERROR(Table1[[#This Row],[Calories]]/Table1[[#This Row],[Splat]],0)</f>
        <v>36.499999999972246</v>
      </c>
      <c r="AQ122" s="10">
        <f>COUNTIF(Table1[Location],Table1[[#This Row],[Location]])</f>
        <v>37</v>
      </c>
      <c r="AR122" s="10">
        <f>IF(AND(Table1[[#This Row],[Calories]]&gt;=600,Table1[[#This Row],[Splat]]&gt;=12),1,0)</f>
        <v>0</v>
      </c>
      <c r="AS122" s="10">
        <f>IF(AND(Table1[[#This Row],[Calories]]&gt;=500,Table1[[#This Row],[Splat]]&gt;=12),1,0)</f>
        <v>1</v>
      </c>
      <c r="AT122" s="8">
        <f>Table1[[#This Row],[ClassLength]]/Table1[[#This Row],[Calories]]</f>
        <v>0.10579337899543356</v>
      </c>
      <c r="AU12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22" s="10">
        <f>COUNTIF(Table1[Trainer],Table1[[#This Row],[Trainer]])</f>
        <v>20</v>
      </c>
      <c r="AW122" s="10" t="str">
        <f>UPPER(LEFT(TEXT(Table1[Date],"mmmm"),3))&amp;" "&amp;TEXT(Table1[Date],"yyyy")</f>
        <v>FEB 2020</v>
      </c>
      <c r="AX122" s="10">
        <f>VLOOKUP(Table1[[#This Row],[Location]],'Tab for Charts'!$A$93:$B$103,2,FALSE)</f>
        <v>38.903509999999997</v>
      </c>
      <c r="AY122" s="10">
        <f>VLOOKUP(Table1[[#This Row],[Location]],'Tab for Charts'!$A$93:$C$103,3,FALSE)</f>
        <v>-77.051809000000006</v>
      </c>
    </row>
    <row r="123" spans="1:51">
      <c r="A123">
        <v>122</v>
      </c>
      <c r="B123">
        <f t="shared" si="105"/>
        <v>16</v>
      </c>
      <c r="C123" s="1">
        <v>43867</v>
      </c>
      <c r="D123" s="8">
        <f>59</f>
        <v>59</v>
      </c>
      <c r="E123">
        <f>15+ROW()/100000000000</f>
        <v>15.000000001229999</v>
      </c>
      <c r="F123">
        <f>590+ROW()/1000000000000</f>
        <v>590.00000000012301</v>
      </c>
      <c r="G123">
        <f>120</f>
        <v>120</v>
      </c>
      <c r="H123">
        <v>167</v>
      </c>
      <c r="I123">
        <f>23+26/60</f>
        <v>23.433333333333334</v>
      </c>
      <c r="J123">
        <f>8+57/60</f>
        <v>8.9499999999999993</v>
      </c>
      <c r="K123">
        <f>11+57/60</f>
        <v>11.95</v>
      </c>
      <c r="L123">
        <f>11+51/60</f>
        <v>11.85</v>
      </c>
      <c r="M123">
        <f>2+49/60</f>
        <v>2.8166666666666664</v>
      </c>
      <c r="N123" t="s">
        <v>198</v>
      </c>
      <c r="O123" t="s">
        <v>45</v>
      </c>
      <c r="P123" t="s">
        <v>200</v>
      </c>
      <c r="Q123" s="34">
        <f t="shared" si="137"/>
        <v>1</v>
      </c>
      <c r="R123" s="10" t="str">
        <f t="shared" si="138"/>
        <v>Correct</v>
      </c>
      <c r="S123" t="str">
        <f t="shared" si="139"/>
        <v>2-2020</v>
      </c>
      <c r="T123" t="str">
        <f t="shared" si="140"/>
        <v>Thursday</v>
      </c>
      <c r="U123">
        <f t="shared" si="141"/>
        <v>1</v>
      </c>
      <c r="V123" s="8">
        <f>IFERROR(Table1[[#This Row],[ClassLength]]/Table1[[#This Row],[Splat]],0)</f>
        <v>3.9333333330108</v>
      </c>
      <c r="W123" s="10">
        <f t="shared" si="142"/>
        <v>1</v>
      </c>
      <c r="X123" s="10">
        <f t="shared" si="143"/>
        <v>0</v>
      </c>
      <c r="Y123" s="10">
        <f t="shared" si="144"/>
        <v>0</v>
      </c>
      <c r="Z123" s="5">
        <f t="shared" ref="Z123:AD124" si="148">IFERROR(I123/$D123,"")</f>
        <v>0.39717514124293785</v>
      </c>
      <c r="AA123" s="5">
        <f t="shared" si="148"/>
        <v>0.15169491525423728</v>
      </c>
      <c r="AB123" s="5">
        <f t="shared" si="148"/>
        <v>0.20254237288135593</v>
      </c>
      <c r="AC123" s="5">
        <f t="shared" si="148"/>
        <v>0.20084745762711864</v>
      </c>
      <c r="AD123" s="5">
        <f t="shared" si="148"/>
        <v>4.7740112994350277E-2</v>
      </c>
      <c r="AE123" s="7">
        <f t="shared" si="145"/>
        <v>232.14</v>
      </c>
      <c r="AF123" s="7">
        <f t="shared" si="146"/>
        <v>14.508749999999999</v>
      </c>
      <c r="AG123" s="8">
        <f t="shared" si="106"/>
        <v>598.68750000020839</v>
      </c>
      <c r="AH123" s="8">
        <f t="shared" si="107"/>
        <v>13.562500002731937</v>
      </c>
      <c r="AI123">
        <f>YEAR(Table1[[#This Row],[Date]])</f>
        <v>2020</v>
      </c>
      <c r="AK123">
        <v>12</v>
      </c>
      <c r="AL123" s="8">
        <f>Table1[[#This Row],[Calories]]/Table1[[#This Row],[ClassLength]]</f>
        <v>10.000000000002085</v>
      </c>
      <c r="AM123" s="10" t="str">
        <f>RIGHT(Table1[[#This Row],[Time]],2)</f>
        <v>PM</v>
      </c>
      <c r="AN123" s="10" t="str">
        <f>Table1[[#This Row],[Mon_Yr]]&amp;"-"&amp;WEEKNUM(Table1[[#This Row],[Date]],1)-WEEKNUM(DATE(YEAR(Table1[[#This Row],[Date]]),MONTH(Table1[[#This Row],[Date]]),1),1)+1</f>
        <v>2-2020-2</v>
      </c>
      <c r="AO123" s="10">
        <f>MONTH(Table1[[#This Row],[Date]])</f>
        <v>2</v>
      </c>
      <c r="AP123" s="8">
        <f>IFERROR(Table1[[#This Row],[Calories]]/Table1[[#This Row],[Splat]],0)</f>
        <v>39.333333330116204</v>
      </c>
      <c r="AQ123" s="10">
        <f>COUNTIF(Table1[Location],Table1[[#This Row],[Location]])</f>
        <v>3</v>
      </c>
      <c r="AR123" s="10">
        <f>IF(AND(Table1[[#This Row],[Calories]]&gt;=600,Table1[[#This Row],[Splat]]&gt;=12),1,0)</f>
        <v>0</v>
      </c>
      <c r="AS123" s="10">
        <f>IF(AND(Table1[[#This Row],[Calories]]&gt;=500,Table1[[#This Row],[Splat]]&gt;=12),1,0)</f>
        <v>1</v>
      </c>
      <c r="AT123" s="8">
        <f>Table1[[#This Row],[ClassLength]]/Table1[[#This Row],[Calories]]</f>
        <v>9.9999999999979147E-2</v>
      </c>
      <c r="AU12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23" s="10">
        <f>COUNTIF(Table1[Trainer],Table1[[#This Row],[Trainer]])</f>
        <v>3</v>
      </c>
      <c r="AW123" s="10" t="str">
        <f>UPPER(LEFT(TEXT(Table1[Date],"mmmm"),3))&amp;" "&amp;TEXT(Table1[Date],"yyyy")</f>
        <v>FEB 2020</v>
      </c>
      <c r="AX123" s="10">
        <f>VLOOKUP(Table1[[#This Row],[Location]],'Tab for Charts'!$A$93:$B$103,2,FALSE)</f>
        <v>38.915415000000003</v>
      </c>
      <c r="AY123" s="10">
        <f>VLOOKUP(Table1[[#This Row],[Location]],'Tab for Charts'!$A$93:$C$103,3,FALSE)</f>
        <v>-77.067172999999997</v>
      </c>
    </row>
    <row r="124" spans="1:51">
      <c r="A124">
        <v>123</v>
      </c>
      <c r="B124">
        <f t="shared" si="105"/>
        <v>16</v>
      </c>
      <c r="C124" s="1">
        <v>43869</v>
      </c>
      <c r="D124" s="8">
        <f>53+18/60</f>
        <v>53.3</v>
      </c>
      <c r="E124">
        <f>12+ROW()/1000000000000</f>
        <v>12.000000000124</v>
      </c>
      <c r="F124">
        <f>568+ROW()/10000000000000</f>
        <v>568.00000000001239</v>
      </c>
      <c r="G124">
        <f>125</f>
        <v>125</v>
      </c>
      <c r="H124">
        <v>167</v>
      </c>
      <c r="I124">
        <f>8+44/60</f>
        <v>8.7333333333333325</v>
      </c>
      <c r="J124">
        <f>21+13/60</f>
        <v>21.216666666666665</v>
      </c>
      <c r="K124">
        <f>11+20/60</f>
        <v>11.333333333333334</v>
      </c>
      <c r="L124">
        <f>9+44/60</f>
        <v>9.7333333333333325</v>
      </c>
      <c r="M124">
        <f>2+17/60</f>
        <v>2.2833333333333332</v>
      </c>
      <c r="N124" t="s">
        <v>15</v>
      </c>
      <c r="O124" t="s">
        <v>24</v>
      </c>
      <c r="P124" t="s">
        <v>17</v>
      </c>
      <c r="Q124" s="34">
        <f t="shared" si="137"/>
        <v>2</v>
      </c>
      <c r="R124" s="10" t="str">
        <f t="shared" si="138"/>
        <v>Correct</v>
      </c>
      <c r="S124" t="str">
        <f t="shared" si="139"/>
        <v>2-2020</v>
      </c>
      <c r="T124" t="str">
        <f t="shared" si="140"/>
        <v>Saturday</v>
      </c>
      <c r="U124">
        <f t="shared" si="141"/>
        <v>1</v>
      </c>
      <c r="V124" s="8">
        <f>IFERROR(Table1[[#This Row],[ClassLength]]/Table1[[#This Row],[Splat]],0)</f>
        <v>4.4416666666207689</v>
      </c>
      <c r="W124" s="10">
        <f t="shared" si="142"/>
        <v>1</v>
      </c>
      <c r="X124" s="10">
        <f t="shared" si="143"/>
        <v>0</v>
      </c>
      <c r="Y124" s="10">
        <f t="shared" si="144"/>
        <v>0</v>
      </c>
      <c r="Z124" s="5">
        <f t="shared" si="148"/>
        <v>0.16385240775484677</v>
      </c>
      <c r="AA124" s="5">
        <f t="shared" si="148"/>
        <v>0.39806128830519072</v>
      </c>
      <c r="AB124" s="5">
        <f t="shared" si="148"/>
        <v>0.21263289555972484</v>
      </c>
      <c r="AC124" s="5">
        <f t="shared" si="148"/>
        <v>0.18261413383364603</v>
      </c>
      <c r="AD124" s="5">
        <f t="shared" si="148"/>
        <v>4.2839274546591623E-2</v>
      </c>
      <c r="AE124" s="7">
        <f t="shared" si="145"/>
        <v>232.14</v>
      </c>
      <c r="AF124" s="7">
        <f t="shared" si="146"/>
        <v>14.508749999999999</v>
      </c>
      <c r="AG124" s="8">
        <f t="shared" si="106"/>
        <v>598.68750000020839</v>
      </c>
      <c r="AH124" s="8">
        <f t="shared" si="107"/>
        <v>13.562500002731937</v>
      </c>
      <c r="AI124">
        <f>YEAR(Table1[[#This Row],[Date]])</f>
        <v>2020</v>
      </c>
      <c r="AK124">
        <v>12</v>
      </c>
      <c r="AL124" s="8">
        <f>Table1[[#This Row],[Calories]]/Table1[[#This Row],[ClassLength]]</f>
        <v>10.656660412758207</v>
      </c>
      <c r="AM124" s="10" t="str">
        <f>RIGHT(Table1[[#This Row],[Time]],2)</f>
        <v>AM</v>
      </c>
      <c r="AN124" s="10" t="str">
        <f>Table1[[#This Row],[Mon_Yr]]&amp;"-"&amp;WEEKNUM(Table1[[#This Row],[Date]],1)-WEEKNUM(DATE(YEAR(Table1[[#This Row],[Date]]),MONTH(Table1[[#This Row],[Date]]),1),1)+1</f>
        <v>2-2020-2</v>
      </c>
      <c r="AO124" s="10">
        <f>MONTH(Table1[[#This Row],[Date]])</f>
        <v>2</v>
      </c>
      <c r="AP124" s="8">
        <f>IFERROR(Table1[[#This Row],[Calories]]/Table1[[#This Row],[Splat]],0)</f>
        <v>47.333333332845257</v>
      </c>
      <c r="AQ124" s="10">
        <f>COUNTIF(Table1[Location],Table1[[#This Row],[Location]])</f>
        <v>48</v>
      </c>
      <c r="AR124" s="10">
        <f>IF(AND(Table1[[#This Row],[Calories]]&gt;=600,Table1[[#This Row],[Splat]]&gt;=12),1,0)</f>
        <v>0</v>
      </c>
      <c r="AS124" s="10">
        <f>IF(AND(Table1[[#This Row],[Calories]]&gt;=500,Table1[[#This Row],[Splat]]&gt;=12),1,0)</f>
        <v>1</v>
      </c>
      <c r="AT124" s="8">
        <f>Table1[[#This Row],[ClassLength]]/Table1[[#This Row],[Calories]]</f>
        <v>9.383802816901203E-2</v>
      </c>
      <c r="AU12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24" s="10">
        <f>COUNTIF(Table1[Trainer],Table1[[#This Row],[Trainer]])</f>
        <v>29</v>
      </c>
      <c r="AW124" s="10" t="str">
        <f>UPPER(LEFT(TEXT(Table1[Date],"mmmm"),3))&amp;" "&amp;TEXT(Table1[Date],"yyyy")</f>
        <v>FEB 2020</v>
      </c>
      <c r="AX124" s="10">
        <f>VLOOKUP(Table1[[#This Row],[Location]],'Tab for Charts'!$A$93:$B$103,2,FALSE)</f>
        <v>38.916486999999996</v>
      </c>
      <c r="AY124" s="10">
        <f>VLOOKUP(Table1[[#This Row],[Location]],'Tab for Charts'!$A$93:$C$103,3,FALSE)</f>
        <v>-77.031514000000001</v>
      </c>
    </row>
    <row r="125" spans="1:51">
      <c r="A125">
        <v>124</v>
      </c>
      <c r="B125">
        <f t="shared" si="105"/>
        <v>16</v>
      </c>
      <c r="C125" s="1">
        <v>43872</v>
      </c>
      <c r="D125" s="8">
        <f>59+45/60</f>
        <v>59.75</v>
      </c>
      <c r="E125">
        <f>15+ROW()/1000000000000</f>
        <v>15.000000000125</v>
      </c>
      <c r="F125">
        <f>645+ROW()/10000000000000</f>
        <v>645.00000000001251</v>
      </c>
      <c r="G125">
        <f>126</f>
        <v>126</v>
      </c>
      <c r="H125">
        <v>168</v>
      </c>
      <c r="I125">
        <f>16+4/60</f>
        <v>16.066666666666666</v>
      </c>
      <c r="J125">
        <f>12+53/60</f>
        <v>12.883333333333333</v>
      </c>
      <c r="K125">
        <f>15+54/60</f>
        <v>15.9</v>
      </c>
      <c r="L125">
        <f>11+45/60</f>
        <v>11.75</v>
      </c>
      <c r="M125">
        <f>3+7/60</f>
        <v>3.1166666666666667</v>
      </c>
      <c r="N125" t="s">
        <v>6</v>
      </c>
      <c r="O125" t="s">
        <v>7</v>
      </c>
      <c r="P125" t="s">
        <v>202</v>
      </c>
      <c r="Q125" s="34">
        <f t="shared" ref="Q125:Q130" si="149">C125-C124</f>
        <v>3</v>
      </c>
      <c r="R125" s="10" t="str">
        <f t="shared" ref="R125:R130" si="150">IF(ROUND(E125,1)-ROUND(L125+M125,0)=0,"Correct",IF(ROUND(E125,1)-ROUND(L125+M125,0)=1,"Gain","Loss"))</f>
        <v>Correct</v>
      </c>
      <c r="S125" t="str">
        <f t="shared" ref="S125:S130" si="151">MONTH(C125)&amp;"-"&amp;YEAR(C125)</f>
        <v>2-2020</v>
      </c>
      <c r="T125" t="str">
        <f t="shared" ref="T125:T130" si="152">IF(WEEKDAY(C125)=1,"Sunday",IF(WEEKDAY(C125)=2,"Monday",IF(WEEKDAY(C125)=3,"Tuesday",IF(WEEKDAY(C125)=4,"Wednesday",IF(WEEKDAY(C125)=5,"Thursday",IF(WEEKDAY(C125)=6,"Friday","Saturday"))))))</f>
        <v>Tuesday</v>
      </c>
      <c r="U125">
        <f t="shared" ref="U125:U130" si="153">IF(E125&gt;=12,1,0)</f>
        <v>1</v>
      </c>
      <c r="V125" s="8">
        <f>IFERROR(Table1[[#This Row],[ClassLength]]/Table1[[#This Row],[Splat]],0)</f>
        <v>3.9833333333001386</v>
      </c>
      <c r="W125" s="10">
        <f t="shared" ref="W125:W130" si="154">IF(ROUND($E125,1)-ROUND($L125+$M125,0)=0,1,0)</f>
        <v>1</v>
      </c>
      <c r="X125" s="10">
        <f t="shared" ref="X125:X130" si="155">IF(ROUND($E125,1)-ROUND($L125+$M125,0)=1,1,0)</f>
        <v>0</v>
      </c>
      <c r="Y125" s="10">
        <f t="shared" ref="Y125:Y130" si="156">IF(ROUND($E125,1)-ROUND($L125+$M125,0)=-1,1,0)</f>
        <v>0</v>
      </c>
      <c r="Z125" s="5">
        <f t="shared" ref="Z125:AD126" si="157">IFERROR(I125/$D125,"")</f>
        <v>0.2688981868898187</v>
      </c>
      <c r="AA125" s="5">
        <f t="shared" si="157"/>
        <v>0.21562064156206415</v>
      </c>
      <c r="AB125" s="5">
        <f t="shared" si="157"/>
        <v>0.26610878661087867</v>
      </c>
      <c r="AC125" s="5">
        <f t="shared" si="157"/>
        <v>0.19665271966527198</v>
      </c>
      <c r="AD125" s="5">
        <f t="shared" si="157"/>
        <v>5.2161785216178522E-2</v>
      </c>
      <c r="AE125" s="7">
        <f t="shared" ref="AE125:AE130" si="158">232.14+AJ125</f>
        <v>232.14</v>
      </c>
      <c r="AF125" s="7">
        <f t="shared" ref="AF125:AF130" si="159">AE125/B125</f>
        <v>14.508749999999999</v>
      </c>
      <c r="AG125" s="8">
        <f t="shared" si="106"/>
        <v>598.68750000020839</v>
      </c>
      <c r="AH125" s="8">
        <f t="shared" si="107"/>
        <v>13.562500002731937</v>
      </c>
      <c r="AI125">
        <f>YEAR(Table1[[#This Row],[Date]])</f>
        <v>2020</v>
      </c>
      <c r="AK125">
        <v>12</v>
      </c>
      <c r="AL125" s="8">
        <f>Table1[[#This Row],[Calories]]/Table1[[#This Row],[ClassLength]]</f>
        <v>10.794979079498118</v>
      </c>
      <c r="AM125" s="10" t="str">
        <f>RIGHT(Table1[[#This Row],[Time]],2)</f>
        <v>PM</v>
      </c>
      <c r="AN125" s="10" t="str">
        <f>Table1[[#This Row],[Mon_Yr]]&amp;"-"&amp;WEEKNUM(Table1[[#This Row],[Date]],1)-WEEKNUM(DATE(YEAR(Table1[[#This Row],[Date]]),MONTH(Table1[[#This Row],[Date]]),1),1)+1</f>
        <v>2-2020-3</v>
      </c>
      <c r="AO125" s="10">
        <f>MONTH(Table1[[#This Row],[Date]])</f>
        <v>2</v>
      </c>
      <c r="AP125" s="8">
        <f>IFERROR(Table1[[#This Row],[Calories]]/Table1[[#This Row],[Splat]],0)</f>
        <v>42.999999999642498</v>
      </c>
      <c r="AQ125" s="10">
        <f>COUNTIF(Table1[Location],Table1[[#This Row],[Location]])</f>
        <v>35</v>
      </c>
      <c r="AR125" s="10">
        <f>IF(AND(Table1[[#This Row],[Calories]]&gt;=600,Table1[[#This Row],[Splat]]&gt;=12),1,0)</f>
        <v>1</v>
      </c>
      <c r="AS125" s="10">
        <f>IF(AND(Table1[[#This Row],[Calories]]&gt;=500,Table1[[#This Row],[Splat]]&gt;=12),1,0)</f>
        <v>1</v>
      </c>
      <c r="AT125" s="8">
        <f>Table1[[#This Row],[ClassLength]]/Table1[[#This Row],[Calories]]</f>
        <v>9.2635658914726887E-2</v>
      </c>
      <c r="AU12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25" s="10">
        <f>COUNTIF(Table1[Trainer],Table1[[#This Row],[Trainer]])</f>
        <v>1</v>
      </c>
      <c r="AW125" s="10" t="str">
        <f>UPPER(LEFT(TEXT(Table1[Date],"mmmm"),3))&amp;" "&amp;TEXT(Table1[Date],"yyyy")</f>
        <v>FEB 2020</v>
      </c>
      <c r="AX125" s="10">
        <f>VLOOKUP(Table1[[#This Row],[Location]],'Tab for Charts'!$A$93:$B$103,2,FALSE)</f>
        <v>38.881884999999997</v>
      </c>
      <c r="AY125" s="10">
        <f>VLOOKUP(Table1[[#This Row],[Location]],'Tab for Charts'!$A$93:$C$103,3,FALSE)</f>
        <v>-77.229702000000003</v>
      </c>
    </row>
    <row r="126" spans="1:51">
      <c r="A126">
        <v>125</v>
      </c>
      <c r="B126">
        <f t="shared" si="105"/>
        <v>16</v>
      </c>
      <c r="C126" s="1">
        <v>43873</v>
      </c>
      <c r="D126" s="8">
        <f>55+33/60</f>
        <v>55.55</v>
      </c>
      <c r="E126">
        <f>16+ROW()/1000000000000000</f>
        <v>16.000000000000124</v>
      </c>
      <c r="F126">
        <f>616+ROW()/10000000000000</f>
        <v>616.00000000001262</v>
      </c>
      <c r="G126">
        <f>128</f>
        <v>128</v>
      </c>
      <c r="H126">
        <v>171</v>
      </c>
      <c r="I126">
        <f>12+58/60</f>
        <v>12.966666666666667</v>
      </c>
      <c r="J126">
        <f>10+42/60</f>
        <v>10.7</v>
      </c>
      <c r="K126">
        <f>15+38/60</f>
        <v>15.633333333333333</v>
      </c>
      <c r="L126">
        <f>11+16/60</f>
        <v>11.266666666666667</v>
      </c>
      <c r="M126">
        <f>5</f>
        <v>5</v>
      </c>
      <c r="N126" t="s">
        <v>21</v>
      </c>
      <c r="O126" t="s">
        <v>7</v>
      </c>
      <c r="P126" t="s">
        <v>23</v>
      </c>
      <c r="Q126" s="34">
        <f t="shared" si="149"/>
        <v>1</v>
      </c>
      <c r="R126" s="10" t="str">
        <f t="shared" si="150"/>
        <v>Correct</v>
      </c>
      <c r="S126" t="str">
        <f t="shared" si="151"/>
        <v>2-2020</v>
      </c>
      <c r="T126" t="str">
        <f t="shared" si="152"/>
        <v>Wednesday</v>
      </c>
      <c r="U126">
        <f t="shared" si="153"/>
        <v>1</v>
      </c>
      <c r="V126" s="8">
        <f>IFERROR(Table1[[#This Row],[ClassLength]]/Table1[[#This Row],[Splat]],0)</f>
        <v>3.4718749999999727</v>
      </c>
      <c r="W126" s="10">
        <f t="shared" si="154"/>
        <v>1</v>
      </c>
      <c r="X126" s="10">
        <f t="shared" si="155"/>
        <v>0</v>
      </c>
      <c r="Y126" s="10">
        <f t="shared" si="156"/>
        <v>0</v>
      </c>
      <c r="Z126" s="5">
        <f t="shared" si="157"/>
        <v>0.23342334233423342</v>
      </c>
      <c r="AA126" s="5">
        <f t="shared" si="157"/>
        <v>0.19261926192619261</v>
      </c>
      <c r="AB126" s="5">
        <f t="shared" si="157"/>
        <v>0.28142814281428141</v>
      </c>
      <c r="AC126" s="5">
        <f t="shared" si="157"/>
        <v>0.20282028202820285</v>
      </c>
      <c r="AD126" s="5">
        <f t="shared" si="157"/>
        <v>9.0009000900090008E-2</v>
      </c>
      <c r="AE126" s="7">
        <f t="shared" si="158"/>
        <v>232.14</v>
      </c>
      <c r="AF126" s="7">
        <f t="shared" si="159"/>
        <v>14.508749999999999</v>
      </c>
      <c r="AG126" s="8">
        <f t="shared" si="106"/>
        <v>598.68750000020839</v>
      </c>
      <c r="AH126" s="8">
        <f t="shared" si="107"/>
        <v>13.562500002731937</v>
      </c>
      <c r="AI126">
        <f>YEAR(Table1[[#This Row],[Date]])</f>
        <v>2020</v>
      </c>
      <c r="AK126">
        <v>12</v>
      </c>
      <c r="AL126" s="8">
        <f>Table1[[#This Row],[Calories]]/Table1[[#This Row],[ClassLength]]</f>
        <v>11.089108910891317</v>
      </c>
      <c r="AM126" s="10" t="str">
        <f>RIGHT(Table1[[#This Row],[Time]],2)</f>
        <v>PM</v>
      </c>
      <c r="AN126" s="10" t="str">
        <f>Table1[[#This Row],[Mon_Yr]]&amp;"-"&amp;WEEKNUM(Table1[[#This Row],[Date]],1)-WEEKNUM(DATE(YEAR(Table1[[#This Row],[Date]]),MONTH(Table1[[#This Row],[Date]]),1),1)+1</f>
        <v>2-2020-3</v>
      </c>
      <c r="AO126" s="10">
        <f>MONTH(Table1[[#This Row],[Date]])</f>
        <v>2</v>
      </c>
      <c r="AP126" s="8">
        <f>IFERROR(Table1[[#This Row],[Calories]]/Table1[[#This Row],[Splat]],0)</f>
        <v>38.50000000000049</v>
      </c>
      <c r="AQ126" s="10">
        <f>COUNTIF(Table1[Location],Table1[[#This Row],[Location]])</f>
        <v>37</v>
      </c>
      <c r="AR126" s="10">
        <f>IF(AND(Table1[[#This Row],[Calories]]&gt;=600,Table1[[#This Row],[Splat]]&gt;=12),1,0)</f>
        <v>1</v>
      </c>
      <c r="AS126" s="10">
        <f>IF(AND(Table1[[#This Row],[Calories]]&gt;=500,Table1[[#This Row],[Splat]]&gt;=12),1,0)</f>
        <v>1</v>
      </c>
      <c r="AT126" s="8">
        <f>Table1[[#This Row],[ClassLength]]/Table1[[#This Row],[Calories]]</f>
        <v>9.0178571428569582E-2</v>
      </c>
      <c r="AU12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26" s="10">
        <f>COUNTIF(Table1[Trainer],Table1[[#This Row],[Trainer]])</f>
        <v>20</v>
      </c>
      <c r="AW126" s="10" t="str">
        <f>UPPER(LEFT(TEXT(Table1[Date],"mmmm"),3))&amp;" "&amp;TEXT(Table1[Date],"yyyy")</f>
        <v>FEB 2020</v>
      </c>
      <c r="AX126" s="10">
        <f>VLOOKUP(Table1[[#This Row],[Location]],'Tab for Charts'!$A$93:$B$103,2,FALSE)</f>
        <v>38.903509999999997</v>
      </c>
      <c r="AY126" s="10">
        <f>VLOOKUP(Table1[[#This Row],[Location]],'Tab for Charts'!$A$93:$C$103,3,FALSE)</f>
        <v>-77.051809000000006</v>
      </c>
    </row>
    <row r="127" spans="1:51">
      <c r="A127">
        <v>126</v>
      </c>
      <c r="B127">
        <f t="shared" si="105"/>
        <v>16</v>
      </c>
      <c r="C127" s="1">
        <v>43875</v>
      </c>
      <c r="D127" s="8">
        <f>53+25/60</f>
        <v>53.416666666666664</v>
      </c>
      <c r="E127">
        <f>12+ROW()/1000000000000</f>
        <v>12.000000000127001</v>
      </c>
      <c r="F127">
        <f>591+ROW()/1000000000000</f>
        <v>591.00000000012699</v>
      </c>
      <c r="G127">
        <f>128</f>
        <v>128</v>
      </c>
      <c r="H127">
        <v>169</v>
      </c>
      <c r="I127">
        <f>12+19/60</f>
        <v>12.316666666666666</v>
      </c>
      <c r="J127">
        <f>12+12/60</f>
        <v>12.2</v>
      </c>
      <c r="K127">
        <f>16+46/60</f>
        <v>16.766666666666666</v>
      </c>
      <c r="L127">
        <f>8+2/60</f>
        <v>8.0333333333333332</v>
      </c>
      <c r="M127">
        <f>4+6/60</f>
        <v>4.0999999999999996</v>
      </c>
      <c r="N127" t="s">
        <v>49</v>
      </c>
      <c r="O127" t="s">
        <v>20</v>
      </c>
      <c r="P127" t="s">
        <v>50</v>
      </c>
      <c r="Q127" s="34">
        <f t="shared" si="149"/>
        <v>2</v>
      </c>
      <c r="R127" s="10" t="str">
        <f t="shared" si="150"/>
        <v>Correct</v>
      </c>
      <c r="S127" t="str">
        <f t="shared" si="151"/>
        <v>2-2020</v>
      </c>
      <c r="T127" t="str">
        <f t="shared" si="152"/>
        <v>Friday</v>
      </c>
      <c r="U127">
        <f t="shared" si="153"/>
        <v>1</v>
      </c>
      <c r="V127" s="8">
        <f>IFERROR(Table1[[#This Row],[ClassLength]]/Table1[[#This Row],[Splat]],0)</f>
        <v>4.4513888888417776</v>
      </c>
      <c r="W127" s="10">
        <f t="shared" si="154"/>
        <v>1</v>
      </c>
      <c r="X127" s="10">
        <f t="shared" si="155"/>
        <v>0</v>
      </c>
      <c r="Y127" s="10">
        <f t="shared" si="156"/>
        <v>0</v>
      </c>
      <c r="Z127" s="5">
        <f t="shared" ref="Z127:AD128" si="160">IFERROR(I127/$D127,"")</f>
        <v>0.23057722308892356</v>
      </c>
      <c r="AA127" s="5">
        <f t="shared" si="160"/>
        <v>0.22839313572542902</v>
      </c>
      <c r="AB127" s="5">
        <f t="shared" si="160"/>
        <v>0.31388455538221527</v>
      </c>
      <c r="AC127" s="5">
        <f t="shared" si="160"/>
        <v>0.15039001560062404</v>
      </c>
      <c r="AD127" s="5">
        <f t="shared" si="160"/>
        <v>7.6755070202808112E-2</v>
      </c>
      <c r="AE127" s="7">
        <f t="shared" si="158"/>
        <v>232.14</v>
      </c>
      <c r="AF127" s="7">
        <f t="shared" si="159"/>
        <v>14.508749999999999</v>
      </c>
      <c r="AG127" s="8">
        <f t="shared" si="106"/>
        <v>598.68750000020839</v>
      </c>
      <c r="AH127" s="8">
        <f t="shared" si="107"/>
        <v>13.562500002731937</v>
      </c>
      <c r="AI127">
        <f>YEAR(Table1[[#This Row],[Date]])</f>
        <v>2020</v>
      </c>
      <c r="AK127">
        <v>12</v>
      </c>
      <c r="AL127" s="8">
        <f>Table1[[#This Row],[Calories]]/Table1[[#This Row],[ClassLength]]</f>
        <v>11.063962558504718</v>
      </c>
      <c r="AM127" s="10" t="str">
        <f>RIGHT(Table1[[#This Row],[Time]],2)</f>
        <v>PM</v>
      </c>
      <c r="AN127" s="10" t="str">
        <f>Table1[[#This Row],[Mon_Yr]]&amp;"-"&amp;WEEKNUM(Table1[[#This Row],[Date]],1)-WEEKNUM(DATE(YEAR(Table1[[#This Row],[Date]]),MONTH(Table1[[#This Row],[Date]]),1),1)+1</f>
        <v>2-2020-3</v>
      </c>
      <c r="AO127" s="10">
        <f>MONTH(Table1[[#This Row],[Date]])</f>
        <v>2</v>
      </c>
      <c r="AP127" s="8">
        <f>IFERROR(Table1[[#This Row],[Calories]]/Table1[[#This Row],[Splat]],0)</f>
        <v>49.249999999489347</v>
      </c>
      <c r="AQ127" s="10">
        <f>COUNTIF(Table1[Location],Table1[[#This Row],[Location]])</f>
        <v>10</v>
      </c>
      <c r="AR127" s="10">
        <f>IF(AND(Table1[[#This Row],[Calories]]&gt;=600,Table1[[#This Row],[Splat]]&gt;=12),1,0)</f>
        <v>0</v>
      </c>
      <c r="AS127" s="10">
        <f>IF(AND(Table1[[#This Row],[Calories]]&gt;=500,Table1[[#This Row],[Splat]]&gt;=12),1,0)</f>
        <v>1</v>
      </c>
      <c r="AT127" s="8">
        <f>Table1[[#This Row],[ClassLength]]/Table1[[#This Row],[Calories]]</f>
        <v>9.038353073884127E-2</v>
      </c>
      <c r="AU12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27" s="10">
        <f>COUNTIF(Table1[Trainer],Table1[[#This Row],[Trainer]])</f>
        <v>9</v>
      </c>
      <c r="AW127" s="10" t="str">
        <f>UPPER(LEFT(TEXT(Table1[Date],"mmmm"),3))&amp;" "&amp;TEXT(Table1[Date],"yyyy")</f>
        <v>FEB 2020</v>
      </c>
      <c r="AX127" s="10">
        <f>VLOOKUP(Table1[[#This Row],[Location]],'Tab for Charts'!$A$93:$B$103,2,FALSE)</f>
        <v>38.879828000000003</v>
      </c>
      <c r="AY127" s="10">
        <f>VLOOKUP(Table1[[#This Row],[Location]],'Tab for Charts'!$A$93:$C$103,3,FALSE)</f>
        <v>-77.005566000000002</v>
      </c>
    </row>
    <row r="128" spans="1:51">
      <c r="A128">
        <v>127</v>
      </c>
      <c r="B128">
        <f t="shared" si="105"/>
        <v>16</v>
      </c>
      <c r="C128" s="1">
        <v>43876</v>
      </c>
      <c r="D128" s="8">
        <f>55+21/60</f>
        <v>55.35</v>
      </c>
      <c r="E128">
        <f>14+ROW()/10000000000</f>
        <v>14.000000012799999</v>
      </c>
      <c r="F128">
        <f>647+ROW()/1000000000000</f>
        <v>647.00000000012801</v>
      </c>
      <c r="G128">
        <f>132</f>
        <v>132</v>
      </c>
      <c r="H128">
        <v>170</v>
      </c>
      <c r="I128">
        <f>6+35/60</f>
        <v>6.583333333333333</v>
      </c>
      <c r="J128">
        <f>11+54/60</f>
        <v>11.9</v>
      </c>
      <c r="K128">
        <f>22+39/60</f>
        <v>22.65</v>
      </c>
      <c r="L128">
        <f>10+28/60</f>
        <v>10.466666666666667</v>
      </c>
      <c r="M128">
        <f>3+45/60</f>
        <v>3.75</v>
      </c>
      <c r="N128" t="s">
        <v>15</v>
      </c>
      <c r="O128" t="s">
        <v>24</v>
      </c>
      <c r="P128" t="s">
        <v>17</v>
      </c>
      <c r="Q128" s="34">
        <f t="shared" si="149"/>
        <v>1</v>
      </c>
      <c r="R128" s="10" t="str">
        <f t="shared" si="150"/>
        <v>Correct</v>
      </c>
      <c r="S128" t="str">
        <f t="shared" si="151"/>
        <v>2-2020</v>
      </c>
      <c r="T128" t="str">
        <f t="shared" si="152"/>
        <v>Saturday</v>
      </c>
      <c r="U128">
        <f t="shared" si="153"/>
        <v>1</v>
      </c>
      <c r="V128" s="8">
        <f>IFERROR(Table1[[#This Row],[ClassLength]]/Table1[[#This Row],[Splat]],0)</f>
        <v>3.9535714249567349</v>
      </c>
      <c r="W128" s="10">
        <f t="shared" si="154"/>
        <v>1</v>
      </c>
      <c r="X128" s="10">
        <f t="shared" si="155"/>
        <v>0</v>
      </c>
      <c r="Y128" s="10">
        <f t="shared" si="156"/>
        <v>0</v>
      </c>
      <c r="Z128" s="5">
        <f t="shared" si="160"/>
        <v>0.11894007828967178</v>
      </c>
      <c r="AA128" s="5">
        <f t="shared" si="160"/>
        <v>0.21499548328816623</v>
      </c>
      <c r="AB128" s="5">
        <f t="shared" si="160"/>
        <v>0.40921409214092136</v>
      </c>
      <c r="AC128" s="5">
        <f t="shared" si="160"/>
        <v>0.18909966877446552</v>
      </c>
      <c r="AD128" s="5">
        <f t="shared" si="160"/>
        <v>6.7750677506775062E-2</v>
      </c>
      <c r="AE128" s="7">
        <f t="shared" si="158"/>
        <v>232.14</v>
      </c>
      <c r="AF128" s="7">
        <f t="shared" si="159"/>
        <v>14.508749999999999</v>
      </c>
      <c r="AG128" s="8">
        <f t="shared" si="106"/>
        <v>598.68750000020839</v>
      </c>
      <c r="AH128" s="8">
        <f t="shared" si="107"/>
        <v>13.562500002731937</v>
      </c>
      <c r="AI128">
        <f>YEAR(Table1[[#This Row],[Date]])</f>
        <v>2020</v>
      </c>
      <c r="AK128">
        <v>12</v>
      </c>
      <c r="AL128" s="8">
        <f>Table1[[#This Row],[Calories]]/Table1[[#This Row],[ClassLength]]</f>
        <v>11.689250225837904</v>
      </c>
      <c r="AM128" s="10" t="str">
        <f>RIGHT(Table1[[#This Row],[Time]],2)</f>
        <v>AM</v>
      </c>
      <c r="AN128" s="10" t="str">
        <f>Table1[[#This Row],[Mon_Yr]]&amp;"-"&amp;WEEKNUM(Table1[[#This Row],[Date]],1)-WEEKNUM(DATE(YEAR(Table1[[#This Row],[Date]]),MONTH(Table1[[#This Row],[Date]]),1),1)+1</f>
        <v>2-2020-3</v>
      </c>
      <c r="AO128" s="10">
        <f>MONTH(Table1[[#This Row],[Date]])</f>
        <v>2</v>
      </c>
      <c r="AP128" s="8">
        <f>IFERROR(Table1[[#This Row],[Calories]]/Table1[[#This Row],[Splat]],0)</f>
        <v>46.214285672041797</v>
      </c>
      <c r="AQ128" s="10">
        <f>COUNTIF(Table1[Location],Table1[[#This Row],[Location]])</f>
        <v>48</v>
      </c>
      <c r="AR128" s="10">
        <f>IF(AND(Table1[[#This Row],[Calories]]&gt;=600,Table1[[#This Row],[Splat]]&gt;=12),1,0)</f>
        <v>1</v>
      </c>
      <c r="AS128" s="10">
        <f>IF(AND(Table1[[#This Row],[Calories]]&gt;=500,Table1[[#This Row],[Splat]]&gt;=12),1,0)</f>
        <v>1</v>
      </c>
      <c r="AT128" s="8">
        <f>Table1[[#This Row],[ClassLength]]/Table1[[#This Row],[Calories]]</f>
        <v>8.55486862441871E-2</v>
      </c>
      <c r="AU12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28" s="10">
        <f>COUNTIF(Table1[Trainer],Table1[[#This Row],[Trainer]])</f>
        <v>29</v>
      </c>
      <c r="AW128" s="10" t="str">
        <f>UPPER(LEFT(TEXT(Table1[Date],"mmmm"),3))&amp;" "&amp;TEXT(Table1[Date],"yyyy")</f>
        <v>FEB 2020</v>
      </c>
      <c r="AX128" s="10">
        <f>VLOOKUP(Table1[[#This Row],[Location]],'Tab for Charts'!$A$93:$B$103,2,FALSE)</f>
        <v>38.916486999999996</v>
      </c>
      <c r="AY128" s="10">
        <f>VLOOKUP(Table1[[#This Row],[Location]],'Tab for Charts'!$A$93:$C$103,3,FALSE)</f>
        <v>-77.031514000000001</v>
      </c>
    </row>
    <row r="129" spans="1:51">
      <c r="A129">
        <v>128</v>
      </c>
      <c r="B129">
        <f t="shared" si="105"/>
        <v>16</v>
      </c>
      <c r="C129" s="1">
        <v>43878</v>
      </c>
      <c r="D129" s="8">
        <f>58+2/60</f>
        <v>58.033333333333331</v>
      </c>
      <c r="E129">
        <f>16+ROW()/1000000000000</f>
        <v>16.000000000128999</v>
      </c>
      <c r="F129">
        <f>639+ROW()/100000000000000</f>
        <v>639.00000000000125</v>
      </c>
      <c r="G129">
        <f>127</f>
        <v>127</v>
      </c>
      <c r="H129">
        <v>168</v>
      </c>
      <c r="I129">
        <f>14</f>
        <v>14</v>
      </c>
      <c r="J129">
        <f>13+27/60</f>
        <v>13.45</v>
      </c>
      <c r="K129">
        <f>15+14/60</f>
        <v>15.233333333333333</v>
      </c>
      <c r="L129">
        <f>12+36/60</f>
        <v>12.6</v>
      </c>
      <c r="M129">
        <f>2+45/60</f>
        <v>2.75</v>
      </c>
      <c r="N129" t="s">
        <v>21</v>
      </c>
      <c r="O129" t="s">
        <v>205</v>
      </c>
      <c r="P129" t="s">
        <v>158</v>
      </c>
      <c r="Q129" s="34">
        <f t="shared" si="149"/>
        <v>2</v>
      </c>
      <c r="R129" s="10" t="str">
        <f t="shared" si="150"/>
        <v>Gain</v>
      </c>
      <c r="S129" t="str">
        <f t="shared" si="151"/>
        <v>2-2020</v>
      </c>
      <c r="T129" t="str">
        <f t="shared" si="152"/>
        <v>Monday</v>
      </c>
      <c r="U129">
        <f t="shared" si="153"/>
        <v>1</v>
      </c>
      <c r="V129" s="8">
        <f>IFERROR(Table1[[#This Row],[ClassLength]]/Table1[[#This Row],[Splat]],0)</f>
        <v>3.6270833333040899</v>
      </c>
      <c r="W129" s="10">
        <f t="shared" si="154"/>
        <v>0</v>
      </c>
      <c r="X129" s="10">
        <f t="shared" si="155"/>
        <v>1</v>
      </c>
      <c r="Y129" s="10">
        <f t="shared" si="156"/>
        <v>0</v>
      </c>
      <c r="Z129" s="5">
        <f t="shared" ref="Z129:AD130" si="161">IFERROR(I129/$D129,"")</f>
        <v>0.24124066628374499</v>
      </c>
      <c r="AA129" s="5">
        <f t="shared" si="161"/>
        <v>0.23176335439402643</v>
      </c>
      <c r="AB129" s="5">
        <f t="shared" si="161"/>
        <v>0.26249282021826537</v>
      </c>
      <c r="AC129" s="5">
        <f t="shared" si="161"/>
        <v>0.21711659965537047</v>
      </c>
      <c r="AD129" s="5">
        <f t="shared" si="161"/>
        <v>4.7386559448592762E-2</v>
      </c>
      <c r="AE129" s="7">
        <f t="shared" si="158"/>
        <v>232.14</v>
      </c>
      <c r="AF129" s="7">
        <f t="shared" si="159"/>
        <v>14.508749999999999</v>
      </c>
      <c r="AG129" s="8">
        <f t="shared" si="106"/>
        <v>598.68750000020839</v>
      </c>
      <c r="AH129" s="8">
        <f t="shared" si="107"/>
        <v>13.562500002731937</v>
      </c>
      <c r="AI129">
        <f>YEAR(Table1[[#This Row],[Date]])</f>
        <v>2020</v>
      </c>
      <c r="AK129">
        <v>12</v>
      </c>
      <c r="AL129" s="8">
        <f>Table1[[#This Row],[Calories]]/Table1[[#This Row],[ClassLength]]</f>
        <v>11.010913268236667</v>
      </c>
      <c r="AM129" s="10" t="str">
        <f>RIGHT(Table1[[#This Row],[Time]],2)</f>
        <v>AM</v>
      </c>
      <c r="AN129" s="10" t="str">
        <f>Table1[[#This Row],[Mon_Yr]]&amp;"-"&amp;WEEKNUM(Table1[[#This Row],[Date]],1)-WEEKNUM(DATE(YEAR(Table1[[#This Row],[Date]]),MONTH(Table1[[#This Row],[Date]]),1),1)+1</f>
        <v>2-2020-4</v>
      </c>
      <c r="AO129" s="10">
        <f>MONTH(Table1[[#This Row],[Date]])</f>
        <v>2</v>
      </c>
      <c r="AP129" s="8">
        <f>IFERROR(Table1[[#This Row],[Calories]]/Table1[[#This Row],[Splat]],0)</f>
        <v>39.937499999678082</v>
      </c>
      <c r="AQ129" s="10">
        <f>COUNTIF(Table1[Location],Table1[[#This Row],[Location]])</f>
        <v>37</v>
      </c>
      <c r="AR129" s="10">
        <f>IF(AND(Table1[[#This Row],[Calories]]&gt;=600,Table1[[#This Row],[Splat]]&gt;=12),1,0)</f>
        <v>1</v>
      </c>
      <c r="AS129" s="10">
        <f>IF(AND(Table1[[#This Row],[Calories]]&gt;=500,Table1[[#This Row],[Splat]]&gt;=12),1,0)</f>
        <v>1</v>
      </c>
      <c r="AT129" s="8">
        <f>Table1[[#This Row],[ClassLength]]/Table1[[#This Row],[Calories]]</f>
        <v>9.0818988002086418E-2</v>
      </c>
      <c r="AU12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29" s="10">
        <f>COUNTIF(Table1[Trainer],Table1[[#This Row],[Trainer]])</f>
        <v>2</v>
      </c>
      <c r="AW129" s="10" t="str">
        <f>UPPER(LEFT(TEXT(Table1[Date],"mmmm"),3))&amp;" "&amp;TEXT(Table1[Date],"yyyy")</f>
        <v>FEB 2020</v>
      </c>
      <c r="AX129" s="10">
        <f>VLOOKUP(Table1[[#This Row],[Location]],'Tab for Charts'!$A$93:$B$103,2,FALSE)</f>
        <v>38.903509999999997</v>
      </c>
      <c r="AY129" s="10">
        <f>VLOOKUP(Table1[[#This Row],[Location]],'Tab for Charts'!$A$93:$C$103,3,FALSE)</f>
        <v>-77.051809000000006</v>
      </c>
    </row>
    <row r="130" spans="1:51">
      <c r="A130">
        <v>129</v>
      </c>
      <c r="B130">
        <f t="shared" ref="B130:B144" si="162">COUNTIF(S:S,S130)</f>
        <v>16</v>
      </c>
      <c r="C130" s="1">
        <v>43879</v>
      </c>
      <c r="D130" s="8">
        <f>58</f>
        <v>58</v>
      </c>
      <c r="E130">
        <f>7+ROW()/1000000000000</f>
        <v>7.00000000013</v>
      </c>
      <c r="F130">
        <f>525+ROW()/1000000000000</f>
        <v>525.00000000012994</v>
      </c>
      <c r="G130">
        <f>114</f>
        <v>114</v>
      </c>
      <c r="H130">
        <v>165</v>
      </c>
      <c r="I130">
        <f>23+27/60</f>
        <v>23.45</v>
      </c>
      <c r="J130">
        <f>16+5/60</f>
        <v>16.083333333333332</v>
      </c>
      <c r="K130">
        <f>10+42/60</f>
        <v>10.7</v>
      </c>
      <c r="L130">
        <f>7+21/60</f>
        <v>7.35</v>
      </c>
      <c r="M130">
        <f>0+25/60</f>
        <v>0.41666666666666669</v>
      </c>
      <c r="N130" t="s">
        <v>6</v>
      </c>
      <c r="O130" t="s">
        <v>45</v>
      </c>
      <c r="P130" t="s">
        <v>115</v>
      </c>
      <c r="Q130" s="34">
        <f t="shared" si="149"/>
        <v>1</v>
      </c>
      <c r="R130" s="10" t="str">
        <f t="shared" si="150"/>
        <v>Loss</v>
      </c>
      <c r="S130" t="str">
        <f t="shared" si="151"/>
        <v>2-2020</v>
      </c>
      <c r="T130" t="str">
        <f t="shared" si="152"/>
        <v>Tuesday</v>
      </c>
      <c r="U130">
        <f t="shared" si="153"/>
        <v>0</v>
      </c>
      <c r="V130" s="8">
        <f>IFERROR(Table1[[#This Row],[ClassLength]]/Table1[[#This Row],[Splat]],0)</f>
        <v>8.2857142855604078</v>
      </c>
      <c r="W130" s="10">
        <f t="shared" si="154"/>
        <v>0</v>
      </c>
      <c r="X130" s="10">
        <f t="shared" si="155"/>
        <v>0</v>
      </c>
      <c r="Y130" s="10">
        <f t="shared" si="156"/>
        <v>1</v>
      </c>
      <c r="Z130" s="5">
        <f t="shared" si="161"/>
        <v>0.40431034482758621</v>
      </c>
      <c r="AA130" s="5">
        <f t="shared" si="161"/>
        <v>0.2772988505747126</v>
      </c>
      <c r="AB130" s="5">
        <f t="shared" si="161"/>
        <v>0.18448275862068964</v>
      </c>
      <c r="AC130" s="5">
        <f t="shared" si="161"/>
        <v>0.12672413793103449</v>
      </c>
      <c r="AD130" s="5">
        <f t="shared" si="161"/>
        <v>7.1839080459770114E-3</v>
      </c>
      <c r="AE130" s="7">
        <f t="shared" si="158"/>
        <v>232.14</v>
      </c>
      <c r="AF130" s="7">
        <f t="shared" si="159"/>
        <v>14.508749999999999</v>
      </c>
      <c r="AG130" s="8">
        <f t="shared" ref="AG130:AG144" si="163">AVERAGEIF(S:S,S130,F:F)</f>
        <v>598.68750000020839</v>
      </c>
      <c r="AH130" s="8">
        <f t="shared" ref="AH130:AH144" si="164">AVERAGEIF(S:S,S130,E:E)</f>
        <v>13.562500002731937</v>
      </c>
      <c r="AI130">
        <f>YEAR(Table1[[#This Row],[Date]])</f>
        <v>2020</v>
      </c>
      <c r="AK130">
        <v>12</v>
      </c>
      <c r="AL130" s="8">
        <f>Table1[[#This Row],[Calories]]/Table1[[#This Row],[ClassLength]]</f>
        <v>9.0517241379332756</v>
      </c>
      <c r="AM130" s="10" t="str">
        <f>RIGHT(Table1[[#This Row],[Time]],2)</f>
        <v>PM</v>
      </c>
      <c r="AN130" s="10" t="str">
        <f>Table1[[#This Row],[Mon_Yr]]&amp;"-"&amp;WEEKNUM(Table1[[#This Row],[Date]],1)-WEEKNUM(DATE(YEAR(Table1[[#This Row],[Date]]),MONTH(Table1[[#This Row],[Date]]),1),1)+1</f>
        <v>2-2020-4</v>
      </c>
      <c r="AO130" s="10">
        <f>MONTH(Table1[[#This Row],[Date]])</f>
        <v>2</v>
      </c>
      <c r="AP130" s="8">
        <f>IFERROR(Table1[[#This Row],[Calories]]/Table1[[#This Row],[Splat]],0)</f>
        <v>74.999999998625711</v>
      </c>
      <c r="AQ130" s="10">
        <f>COUNTIF(Table1[Location],Table1[[#This Row],[Location]])</f>
        <v>35</v>
      </c>
      <c r="AR130" s="10">
        <f>IF(AND(Table1[[#This Row],[Calories]]&gt;=600,Table1[[#This Row],[Splat]]&gt;=12),1,0)</f>
        <v>0</v>
      </c>
      <c r="AS130" s="10">
        <f>IF(AND(Table1[[#This Row],[Calories]]&gt;=500,Table1[[#This Row],[Splat]]&gt;=12),1,0)</f>
        <v>0</v>
      </c>
      <c r="AT130" s="8">
        <f>Table1[[#This Row],[ClassLength]]/Table1[[#This Row],[Calories]]</f>
        <v>0.11047619047616314</v>
      </c>
      <c r="AU13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30" s="10">
        <f>COUNTIF(Table1[Trainer],Table1[[#This Row],[Trainer]])</f>
        <v>4</v>
      </c>
      <c r="AW130" s="10" t="str">
        <f>UPPER(LEFT(TEXT(Table1[Date],"mmmm"),3))&amp;" "&amp;TEXT(Table1[Date],"yyyy")</f>
        <v>FEB 2020</v>
      </c>
      <c r="AX130" s="10">
        <f>VLOOKUP(Table1[[#This Row],[Location]],'Tab for Charts'!$A$93:$B$103,2,FALSE)</f>
        <v>38.881884999999997</v>
      </c>
      <c r="AY130" s="10">
        <f>VLOOKUP(Table1[[#This Row],[Location]],'Tab for Charts'!$A$93:$C$103,3,FALSE)</f>
        <v>-77.229702000000003</v>
      </c>
    </row>
    <row r="131" spans="1:51">
      <c r="A131">
        <v>130</v>
      </c>
      <c r="B131">
        <f t="shared" si="162"/>
        <v>16</v>
      </c>
      <c r="C131" s="1">
        <v>43880</v>
      </c>
      <c r="D131" s="8">
        <f>58+55/60</f>
        <v>58.916666666666664</v>
      </c>
      <c r="E131">
        <f>15+ROW()/100000000000</f>
        <v>15.000000001309999</v>
      </c>
      <c r="F131">
        <f>559+ROW()/100000000000</f>
        <v>559.00000000131001</v>
      </c>
      <c r="G131">
        <f>117</f>
        <v>117</v>
      </c>
      <c r="H131">
        <v>165</v>
      </c>
      <c r="I131">
        <f>26+53/60</f>
        <v>26.883333333333333</v>
      </c>
      <c r="J131">
        <f>7+53/60</f>
        <v>7.8833333333333329</v>
      </c>
      <c r="K131">
        <f>9+47/60</f>
        <v>9.7833333333333332</v>
      </c>
      <c r="L131">
        <f>13+44/60</f>
        <v>13.733333333333333</v>
      </c>
      <c r="M131">
        <f>0+38/60</f>
        <v>0.6333333333333333</v>
      </c>
      <c r="N131" t="s">
        <v>21</v>
      </c>
      <c r="O131" t="s">
        <v>7</v>
      </c>
      <c r="P131" t="s">
        <v>23</v>
      </c>
      <c r="Q131" s="34">
        <f t="shared" ref="Q131:Q136" si="165">C131-C130</f>
        <v>1</v>
      </c>
      <c r="R131" s="10" t="str">
        <f t="shared" ref="R131:R136" si="166">IF(ROUND(E131,1)-ROUND(L131+M131,0)=0,"Correct",IF(ROUND(E131,1)-ROUND(L131+M131,0)=1,"Gain","Loss"))</f>
        <v>Gain</v>
      </c>
      <c r="S131" t="str">
        <f t="shared" ref="S131:S136" si="167">MONTH(C131)&amp;"-"&amp;YEAR(C131)</f>
        <v>2-2020</v>
      </c>
      <c r="T131" t="str">
        <f t="shared" ref="T131:T136" si="168">IF(WEEKDAY(C131)=1,"Sunday",IF(WEEKDAY(C131)=2,"Monday",IF(WEEKDAY(C131)=3,"Tuesday",IF(WEEKDAY(C131)=4,"Wednesday",IF(WEEKDAY(C131)=5,"Thursday",IF(WEEKDAY(C131)=6,"Friday","Saturday"))))))</f>
        <v>Wednesday</v>
      </c>
      <c r="U131">
        <f t="shared" ref="U131:U136" si="169">IF(E131&gt;=12,1,0)</f>
        <v>1</v>
      </c>
      <c r="V131" s="8">
        <f>IFERROR(Table1[[#This Row],[ClassLength]]/Table1[[#This Row],[Splat]],0)</f>
        <v>3.927777777434752</v>
      </c>
      <c r="W131" s="10">
        <f t="shared" ref="W131:W136" si="170">IF(ROUND($E131,1)-ROUND($L131+$M131,0)=0,1,0)</f>
        <v>0</v>
      </c>
      <c r="X131" s="10">
        <f t="shared" ref="X131:X136" si="171">IF(ROUND($E131,1)-ROUND($L131+$M131,0)=1,1,0)</f>
        <v>1</v>
      </c>
      <c r="Y131" s="10">
        <f t="shared" ref="Y131:Y136" si="172">IF(ROUND($E131,1)-ROUND($L131+$M131,0)=-1,1,0)</f>
        <v>0</v>
      </c>
      <c r="Z131" s="5">
        <f t="shared" ref="Z131:AD132" si="173">IFERROR(I131/$D131,"")</f>
        <v>0.4562942008486563</v>
      </c>
      <c r="AA131" s="5">
        <f t="shared" si="173"/>
        <v>0.1338048090523338</v>
      </c>
      <c r="AB131" s="5">
        <f t="shared" si="173"/>
        <v>0.16605374823196606</v>
      </c>
      <c r="AC131" s="5">
        <f t="shared" si="173"/>
        <v>0.2330975954738331</v>
      </c>
      <c r="AD131" s="5">
        <f t="shared" si="173"/>
        <v>1.074964639321075E-2</v>
      </c>
      <c r="AE131" s="7">
        <f t="shared" ref="AE131:AE136" si="174">232.14+AJ131</f>
        <v>232.14</v>
      </c>
      <c r="AF131" s="7">
        <f t="shared" ref="AF131:AF136" si="175">AE131/B131</f>
        <v>14.508749999999999</v>
      </c>
      <c r="AG131" s="8">
        <f t="shared" si="163"/>
        <v>598.68750000020839</v>
      </c>
      <c r="AH131" s="8">
        <f t="shared" si="164"/>
        <v>13.562500002731937</v>
      </c>
      <c r="AI131">
        <f>YEAR(Table1[[#This Row],[Date]])</f>
        <v>2020</v>
      </c>
      <c r="AK131">
        <v>12</v>
      </c>
      <c r="AL131" s="8">
        <f>Table1[[#This Row],[Calories]]/Table1[[#This Row],[ClassLength]]</f>
        <v>9.4879773691877229</v>
      </c>
      <c r="AM131" s="10" t="str">
        <f>RIGHT(Table1[[#This Row],[Time]],2)</f>
        <v>PM</v>
      </c>
      <c r="AN131" s="10" t="str">
        <f>Table1[[#This Row],[Mon_Yr]]&amp;"-"&amp;WEEKNUM(Table1[[#This Row],[Date]],1)-WEEKNUM(DATE(YEAR(Table1[[#This Row],[Date]]),MONTH(Table1[[#This Row],[Date]]),1),1)+1</f>
        <v>2-2020-4</v>
      </c>
      <c r="AO131" s="10">
        <f>MONTH(Table1[[#This Row],[Date]])</f>
        <v>2</v>
      </c>
      <c r="AP131" s="8">
        <f>IFERROR(Table1[[#This Row],[Calories]]/Table1[[#This Row],[Splat]],0)</f>
        <v>37.266666663499379</v>
      </c>
      <c r="AQ131" s="10">
        <f>COUNTIF(Table1[Location],Table1[[#This Row],[Location]])</f>
        <v>37</v>
      </c>
      <c r="AR131" s="10">
        <f>IF(AND(Table1[[#This Row],[Calories]]&gt;=600,Table1[[#This Row],[Splat]]&gt;=12),1,0)</f>
        <v>0</v>
      </c>
      <c r="AS131" s="10">
        <f>IF(AND(Table1[[#This Row],[Calories]]&gt;=500,Table1[[#This Row],[Splat]]&gt;=12),1,0)</f>
        <v>1</v>
      </c>
      <c r="AT131" s="8">
        <f>Table1[[#This Row],[ClassLength]]/Table1[[#This Row],[Calories]]</f>
        <v>0.10539654144280607</v>
      </c>
      <c r="AU13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31" s="10">
        <f>COUNTIF(Table1[Trainer],Table1[[#This Row],[Trainer]])</f>
        <v>20</v>
      </c>
      <c r="AW131" s="10" t="str">
        <f>UPPER(LEFT(TEXT(Table1[Date],"mmmm"),3))&amp;" "&amp;TEXT(Table1[Date],"yyyy")</f>
        <v>FEB 2020</v>
      </c>
      <c r="AX131" s="10">
        <f>VLOOKUP(Table1[[#This Row],[Location]],'Tab for Charts'!$A$93:$B$103,2,FALSE)</f>
        <v>38.903509999999997</v>
      </c>
      <c r="AY131" s="10">
        <f>VLOOKUP(Table1[[#This Row],[Location]],'Tab for Charts'!$A$93:$C$103,3,FALSE)</f>
        <v>-77.051809000000006</v>
      </c>
    </row>
    <row r="132" spans="1:51">
      <c r="A132">
        <v>131</v>
      </c>
      <c r="B132">
        <f t="shared" si="162"/>
        <v>16</v>
      </c>
      <c r="C132" s="1">
        <v>43882</v>
      </c>
      <c r="D132" s="8">
        <f>52+15/60</f>
        <v>52.25</v>
      </c>
      <c r="E132">
        <f>12+ROW()/10000000000</f>
        <v>12.000000013199999</v>
      </c>
      <c r="F132">
        <f>595+ROW()/1000000000000</f>
        <v>595.00000000013199</v>
      </c>
      <c r="G132">
        <f>130</f>
        <v>130</v>
      </c>
      <c r="H132">
        <v>171</v>
      </c>
      <c r="I132">
        <f>9+5/60</f>
        <v>9.0833333333333339</v>
      </c>
      <c r="J132">
        <f>12+54/60</f>
        <v>12.9</v>
      </c>
      <c r="K132">
        <f>18+13/60</f>
        <v>18.216666666666665</v>
      </c>
      <c r="L132">
        <f>8</f>
        <v>8</v>
      </c>
      <c r="M132">
        <f>4+3/60</f>
        <v>4.05</v>
      </c>
      <c r="N132" t="s">
        <v>49</v>
      </c>
      <c r="O132" t="s">
        <v>20</v>
      </c>
      <c r="P132" t="s">
        <v>50</v>
      </c>
      <c r="Q132" s="34">
        <f t="shared" si="165"/>
        <v>2</v>
      </c>
      <c r="R132" s="10" t="str">
        <f t="shared" si="166"/>
        <v>Correct</v>
      </c>
      <c r="S132" t="str">
        <f t="shared" si="167"/>
        <v>2-2020</v>
      </c>
      <c r="T132" t="str">
        <f t="shared" si="168"/>
        <v>Friday</v>
      </c>
      <c r="U132">
        <f t="shared" si="169"/>
        <v>1</v>
      </c>
      <c r="V132" s="8">
        <f>IFERROR(Table1[[#This Row],[ClassLength]]/Table1[[#This Row],[Splat]],0)</f>
        <v>4.354166661877084</v>
      </c>
      <c r="W132" s="10">
        <f t="shared" si="170"/>
        <v>1</v>
      </c>
      <c r="X132" s="10">
        <f t="shared" si="171"/>
        <v>0</v>
      </c>
      <c r="Y132" s="10">
        <f t="shared" si="172"/>
        <v>0</v>
      </c>
      <c r="Z132" s="5">
        <f t="shared" si="173"/>
        <v>0.17384370015948963</v>
      </c>
      <c r="AA132" s="5">
        <f t="shared" si="173"/>
        <v>0.24688995215311005</v>
      </c>
      <c r="AB132" s="5">
        <f t="shared" si="173"/>
        <v>0.34864433811802231</v>
      </c>
      <c r="AC132" s="5">
        <f t="shared" si="173"/>
        <v>0.15311004784688995</v>
      </c>
      <c r="AD132" s="5">
        <f t="shared" si="173"/>
        <v>7.7511961722488032E-2</v>
      </c>
      <c r="AE132" s="7">
        <f t="shared" si="174"/>
        <v>232.14</v>
      </c>
      <c r="AF132" s="7">
        <f t="shared" si="175"/>
        <v>14.508749999999999</v>
      </c>
      <c r="AG132" s="8">
        <f t="shared" si="163"/>
        <v>598.68750000020839</v>
      </c>
      <c r="AH132" s="8">
        <f t="shared" si="164"/>
        <v>13.562500002731937</v>
      </c>
      <c r="AI132">
        <f>YEAR(Table1[[#This Row],[Date]])</f>
        <v>2020</v>
      </c>
      <c r="AK132">
        <v>12</v>
      </c>
      <c r="AL132" s="8">
        <f>Table1[[#This Row],[Calories]]/Table1[[#This Row],[ClassLength]]</f>
        <v>11.387559808614967</v>
      </c>
      <c r="AM132" s="10" t="str">
        <f>RIGHT(Table1[[#This Row],[Time]],2)</f>
        <v>PM</v>
      </c>
      <c r="AN132" s="10" t="str">
        <f>Table1[[#This Row],[Mon_Yr]]&amp;"-"&amp;WEEKNUM(Table1[[#This Row],[Date]],1)-WEEKNUM(DATE(YEAR(Table1[[#This Row],[Date]]),MONTH(Table1[[#This Row],[Date]]),1),1)+1</f>
        <v>2-2020-4</v>
      </c>
      <c r="AO132" s="10">
        <f>MONTH(Table1[[#This Row],[Date]])</f>
        <v>2</v>
      </c>
      <c r="AP132" s="8">
        <f>IFERROR(Table1[[#This Row],[Calories]]/Table1[[#This Row],[Splat]],0)</f>
        <v>49.583333278802669</v>
      </c>
      <c r="AQ132" s="10">
        <f>COUNTIF(Table1[Location],Table1[[#This Row],[Location]])</f>
        <v>10</v>
      </c>
      <c r="AR132" s="10">
        <f>IF(AND(Table1[[#This Row],[Calories]]&gt;=600,Table1[[#This Row],[Splat]]&gt;=12),1,0)</f>
        <v>0</v>
      </c>
      <c r="AS132" s="10">
        <f>IF(AND(Table1[[#This Row],[Calories]]&gt;=500,Table1[[#This Row],[Splat]]&gt;=12),1,0)</f>
        <v>1</v>
      </c>
      <c r="AT132" s="8">
        <f>Table1[[#This Row],[ClassLength]]/Table1[[#This Row],[Calories]]</f>
        <v>8.7815126050400691E-2</v>
      </c>
      <c r="AU13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32" s="10">
        <f>COUNTIF(Table1[Trainer],Table1[[#This Row],[Trainer]])</f>
        <v>9</v>
      </c>
      <c r="AW132" s="10" t="str">
        <f>UPPER(LEFT(TEXT(Table1[Date],"mmmm"),3))&amp;" "&amp;TEXT(Table1[Date],"yyyy")</f>
        <v>FEB 2020</v>
      </c>
      <c r="AX132" s="10">
        <f>VLOOKUP(Table1[[#This Row],[Location]],'Tab for Charts'!$A$93:$B$103,2,FALSE)</f>
        <v>38.879828000000003</v>
      </c>
      <c r="AY132" s="10">
        <f>VLOOKUP(Table1[[#This Row],[Location]],'Tab for Charts'!$A$93:$C$103,3,FALSE)</f>
        <v>-77.005566000000002</v>
      </c>
    </row>
    <row r="133" spans="1:51">
      <c r="A133">
        <v>132</v>
      </c>
      <c r="B133">
        <f t="shared" si="162"/>
        <v>16</v>
      </c>
      <c r="C133" s="1">
        <v>43883</v>
      </c>
      <c r="D133" s="8">
        <f>50+57/60</f>
        <v>50.95</v>
      </c>
      <c r="E133">
        <f>15+ROW()/10000000000</f>
        <v>15.000000013299999</v>
      </c>
      <c r="F133">
        <f>582+ROW()/100000000000</f>
        <v>582.00000000133002</v>
      </c>
      <c r="G133">
        <f>130</f>
        <v>130</v>
      </c>
      <c r="H133">
        <v>168</v>
      </c>
      <c r="I133">
        <f>7+7/60</f>
        <v>7.1166666666666663</v>
      </c>
      <c r="J133">
        <f>13+42/60</f>
        <v>13.7</v>
      </c>
      <c r="K133">
        <f>14+44/60</f>
        <v>14.733333333333333</v>
      </c>
      <c r="L133">
        <f>11+17/60</f>
        <v>11.283333333333333</v>
      </c>
      <c r="M133">
        <f>4+7/60</f>
        <v>4.1166666666666663</v>
      </c>
      <c r="N133" t="s">
        <v>15</v>
      </c>
      <c r="O133" t="s">
        <v>24</v>
      </c>
      <c r="P133" t="s">
        <v>17</v>
      </c>
      <c r="Q133" s="34">
        <f t="shared" si="165"/>
        <v>1</v>
      </c>
      <c r="R133" s="10" t="str">
        <f t="shared" si="166"/>
        <v>Correct</v>
      </c>
      <c r="S133" t="str">
        <f t="shared" si="167"/>
        <v>2-2020</v>
      </c>
      <c r="T133" t="str">
        <f t="shared" si="168"/>
        <v>Saturday</v>
      </c>
      <c r="U133">
        <f t="shared" si="169"/>
        <v>1</v>
      </c>
      <c r="V133" s="8">
        <f>IFERROR(Table1[[#This Row],[ClassLength]]/Table1[[#This Row],[Splat]],0)</f>
        <v>3.3966666636549561</v>
      </c>
      <c r="W133" s="10">
        <f t="shared" si="170"/>
        <v>1</v>
      </c>
      <c r="X133" s="10">
        <f t="shared" si="171"/>
        <v>0</v>
      </c>
      <c r="Y133" s="10">
        <f t="shared" si="172"/>
        <v>0</v>
      </c>
      <c r="Z133" s="5">
        <f t="shared" ref="Z133:AD135" si="176">IFERROR(I133/$D133,"")</f>
        <v>0.13967942427216223</v>
      </c>
      <c r="AA133" s="5">
        <f t="shared" si="176"/>
        <v>0.26889106967615306</v>
      </c>
      <c r="AB133" s="5">
        <f t="shared" si="176"/>
        <v>0.28917239123323518</v>
      </c>
      <c r="AC133" s="5">
        <f t="shared" si="176"/>
        <v>0.22145894667975138</v>
      </c>
      <c r="AD133" s="5">
        <f t="shared" si="176"/>
        <v>8.0798168138698057E-2</v>
      </c>
      <c r="AE133" s="7">
        <f t="shared" si="174"/>
        <v>232.14</v>
      </c>
      <c r="AF133" s="7">
        <f t="shared" si="175"/>
        <v>14.508749999999999</v>
      </c>
      <c r="AG133" s="8">
        <f t="shared" si="163"/>
        <v>598.68750000020839</v>
      </c>
      <c r="AH133" s="8">
        <f t="shared" si="164"/>
        <v>13.562500002731937</v>
      </c>
      <c r="AI133">
        <f>YEAR(Table1[[#This Row],[Date]])</f>
        <v>2020</v>
      </c>
      <c r="AK133">
        <v>12</v>
      </c>
      <c r="AL133" s="8">
        <f>Table1[[#This Row],[Calories]]/Table1[[#This Row],[ClassLength]]</f>
        <v>11.422963689918156</v>
      </c>
      <c r="AM133" s="10" t="str">
        <f>RIGHT(Table1[[#This Row],[Time]],2)</f>
        <v>AM</v>
      </c>
      <c r="AN133" s="10" t="str">
        <f>Table1[[#This Row],[Mon_Yr]]&amp;"-"&amp;WEEKNUM(Table1[[#This Row],[Date]],1)-WEEKNUM(DATE(YEAR(Table1[[#This Row],[Date]]),MONTH(Table1[[#This Row],[Date]]),1),1)+1</f>
        <v>2-2020-4</v>
      </c>
      <c r="AO133" s="10">
        <f>MONTH(Table1[[#This Row],[Date]])</f>
        <v>2</v>
      </c>
      <c r="AP133" s="8">
        <f>IFERROR(Table1[[#This Row],[Calories]]/Table1[[#This Row],[Splat]],0)</f>
        <v>38.799999965686006</v>
      </c>
      <c r="AQ133" s="10">
        <f>COUNTIF(Table1[Location],Table1[[#This Row],[Location]])</f>
        <v>48</v>
      </c>
      <c r="AR133" s="10">
        <f>IF(AND(Table1[[#This Row],[Calories]]&gt;=600,Table1[[#This Row],[Splat]]&gt;=12),1,0)</f>
        <v>0</v>
      </c>
      <c r="AS133" s="10">
        <f>IF(AND(Table1[[#This Row],[Calories]]&gt;=500,Table1[[#This Row],[Splat]]&gt;=12),1,0)</f>
        <v>1</v>
      </c>
      <c r="AT133" s="8">
        <f>Table1[[#This Row],[ClassLength]]/Table1[[#This Row],[Calories]]</f>
        <v>8.7542955326260427E-2</v>
      </c>
      <c r="AU13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33" s="10">
        <f>COUNTIF(Table1[Trainer],Table1[[#This Row],[Trainer]])</f>
        <v>29</v>
      </c>
      <c r="AW133" s="10" t="str">
        <f>UPPER(LEFT(TEXT(Table1[Date],"mmmm"),3))&amp;" "&amp;TEXT(Table1[Date],"yyyy")</f>
        <v>FEB 2020</v>
      </c>
      <c r="AX133" s="10">
        <f>VLOOKUP(Table1[[#This Row],[Location]],'Tab for Charts'!$A$93:$B$103,2,FALSE)</f>
        <v>38.916486999999996</v>
      </c>
      <c r="AY133" s="10">
        <f>VLOOKUP(Table1[[#This Row],[Location]],'Tab for Charts'!$A$93:$C$103,3,FALSE)</f>
        <v>-77.031514000000001</v>
      </c>
    </row>
    <row r="134" spans="1:51">
      <c r="A134">
        <v>133</v>
      </c>
      <c r="B134">
        <f t="shared" si="162"/>
        <v>16</v>
      </c>
      <c r="C134" s="1">
        <v>43886</v>
      </c>
      <c r="D134" s="8">
        <f>58+52/60</f>
        <v>58.866666666666667</v>
      </c>
      <c r="E134">
        <f>15+ROW()/1000000000000000</f>
        <v>15.000000000000133</v>
      </c>
      <c r="F134">
        <f>663+ROW()/10000000000000000</f>
        <v>663</v>
      </c>
      <c r="G134">
        <f>129</f>
        <v>129</v>
      </c>
      <c r="H134">
        <v>168</v>
      </c>
      <c r="I134">
        <f>9+58/60</f>
        <v>9.9666666666666668</v>
      </c>
      <c r="J134">
        <f>13+12/60</f>
        <v>13.2</v>
      </c>
      <c r="K134">
        <f>20+20/60</f>
        <v>20.333333333333332</v>
      </c>
      <c r="L134">
        <f>12+20/60</f>
        <v>12.333333333333334</v>
      </c>
      <c r="M134">
        <f>3+2/60</f>
        <v>3.0333333333333332</v>
      </c>
      <c r="N134" t="s">
        <v>6</v>
      </c>
      <c r="O134" t="s">
        <v>45</v>
      </c>
      <c r="P134" t="s">
        <v>115</v>
      </c>
      <c r="Q134" s="34">
        <f t="shared" si="165"/>
        <v>3</v>
      </c>
      <c r="R134" s="10" t="str">
        <f t="shared" si="166"/>
        <v>Correct</v>
      </c>
      <c r="S134" t="str">
        <f t="shared" si="167"/>
        <v>2-2020</v>
      </c>
      <c r="T134" t="str">
        <f t="shared" si="168"/>
        <v>Tuesday</v>
      </c>
      <c r="U134">
        <f t="shared" si="169"/>
        <v>1</v>
      </c>
      <c r="V134" s="8">
        <f>IFERROR(Table1[[#This Row],[ClassLength]]/Table1[[#This Row],[Splat]],0)</f>
        <v>3.9244444444444095</v>
      </c>
      <c r="W134" s="10">
        <f t="shared" si="170"/>
        <v>1</v>
      </c>
      <c r="X134" s="10">
        <f t="shared" si="171"/>
        <v>0</v>
      </c>
      <c r="Y134" s="10">
        <f t="shared" si="172"/>
        <v>0</v>
      </c>
      <c r="Z134" s="5">
        <f t="shared" si="176"/>
        <v>0.16930917327293318</v>
      </c>
      <c r="AA134" s="5">
        <f t="shared" si="176"/>
        <v>0.22423556058890146</v>
      </c>
      <c r="AB134" s="5">
        <f t="shared" si="176"/>
        <v>0.34541336353340879</v>
      </c>
      <c r="AC134" s="5">
        <f t="shared" si="176"/>
        <v>0.20951302378255945</v>
      </c>
      <c r="AD134" s="5">
        <f t="shared" si="176"/>
        <v>5.1528878822197054E-2</v>
      </c>
      <c r="AE134" s="7">
        <f t="shared" si="174"/>
        <v>232.14</v>
      </c>
      <c r="AF134" s="7">
        <f t="shared" si="175"/>
        <v>14.508749999999999</v>
      </c>
      <c r="AG134" s="8">
        <f t="shared" si="163"/>
        <v>598.68750000020839</v>
      </c>
      <c r="AH134" s="8">
        <f t="shared" si="164"/>
        <v>13.562500002731937</v>
      </c>
      <c r="AI134">
        <f>YEAR(Table1[[#This Row],[Date]])</f>
        <v>2020</v>
      </c>
      <c r="AK134">
        <v>12</v>
      </c>
      <c r="AL134" s="8">
        <f>Table1[[#This Row],[Calories]]/Table1[[#This Row],[ClassLength]]</f>
        <v>11.262740656851642</v>
      </c>
      <c r="AM134" s="10" t="str">
        <f>RIGHT(Table1[[#This Row],[Time]],2)</f>
        <v>PM</v>
      </c>
      <c r="AN134" s="10" t="str">
        <f>Table1[[#This Row],[Mon_Yr]]&amp;"-"&amp;WEEKNUM(Table1[[#This Row],[Date]],1)-WEEKNUM(DATE(YEAR(Table1[[#This Row],[Date]]),MONTH(Table1[[#This Row],[Date]]),1),1)+1</f>
        <v>2-2020-5</v>
      </c>
      <c r="AO134" s="10">
        <f>MONTH(Table1[[#This Row],[Date]])</f>
        <v>2</v>
      </c>
      <c r="AP134" s="8">
        <f>IFERROR(Table1[[#This Row],[Calories]]/Table1[[#This Row],[Splat]],0)</f>
        <v>44.199999999999605</v>
      </c>
      <c r="AQ134" s="10">
        <f>COUNTIF(Table1[Location],Table1[[#This Row],[Location]])</f>
        <v>35</v>
      </c>
      <c r="AR134" s="10">
        <f>IF(AND(Table1[[#This Row],[Calories]]&gt;=600,Table1[[#This Row],[Splat]]&gt;=12),1,0)</f>
        <v>1</v>
      </c>
      <c r="AS134" s="10">
        <f>IF(AND(Table1[[#This Row],[Calories]]&gt;=500,Table1[[#This Row],[Splat]]&gt;=12),1,0)</f>
        <v>1</v>
      </c>
      <c r="AT134" s="8">
        <f>Table1[[#This Row],[ClassLength]]/Table1[[#This Row],[Calories]]</f>
        <v>8.878833584715938E-2</v>
      </c>
      <c r="AU13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34" s="10">
        <f>COUNTIF(Table1[Trainer],Table1[[#This Row],[Trainer]])</f>
        <v>4</v>
      </c>
      <c r="AW134" s="10" t="str">
        <f>UPPER(LEFT(TEXT(Table1[Date],"mmmm"),3))&amp;" "&amp;TEXT(Table1[Date],"yyyy")</f>
        <v>FEB 2020</v>
      </c>
      <c r="AX134" s="10">
        <f>VLOOKUP(Table1[[#This Row],[Location]],'Tab for Charts'!$A$93:$B$103,2,FALSE)</f>
        <v>38.881884999999997</v>
      </c>
      <c r="AY134" s="10">
        <f>VLOOKUP(Table1[[#This Row],[Location]],'Tab for Charts'!$A$93:$C$103,3,FALSE)</f>
        <v>-77.229702000000003</v>
      </c>
    </row>
    <row r="135" spans="1:51">
      <c r="A135">
        <v>134</v>
      </c>
      <c r="B135">
        <f t="shared" si="162"/>
        <v>16</v>
      </c>
      <c r="C135" s="1">
        <v>43887</v>
      </c>
      <c r="D135" s="8">
        <f>56+42/60</f>
        <v>56.7</v>
      </c>
      <c r="E135">
        <f>13+ROW()/10000000000000</f>
        <v>13.0000000000135</v>
      </c>
      <c r="F135">
        <f>560+ROW()/10000000000000</f>
        <v>560.00000000001353</v>
      </c>
      <c r="G135">
        <f>120</f>
        <v>120</v>
      </c>
      <c r="H135">
        <v>165</v>
      </c>
      <c r="I135">
        <f>22+52/60</f>
        <v>22.866666666666667</v>
      </c>
      <c r="J135">
        <f>11+52/60</f>
        <v>11.866666666666667</v>
      </c>
      <c r="K135">
        <f>9+8/60</f>
        <v>9.1333333333333329</v>
      </c>
      <c r="L135">
        <f>9+50/60</f>
        <v>9.8333333333333339</v>
      </c>
      <c r="M135">
        <f>3</f>
        <v>3</v>
      </c>
      <c r="N135" t="s">
        <v>21</v>
      </c>
      <c r="O135" t="s">
        <v>7</v>
      </c>
      <c r="P135" t="s">
        <v>23</v>
      </c>
      <c r="Q135" s="34">
        <f t="shared" si="165"/>
        <v>1</v>
      </c>
      <c r="R135" s="10" t="str">
        <f t="shared" si="166"/>
        <v>Correct</v>
      </c>
      <c r="S135" t="str">
        <f t="shared" si="167"/>
        <v>2-2020</v>
      </c>
      <c r="T135" t="str">
        <f t="shared" si="168"/>
        <v>Wednesday</v>
      </c>
      <c r="U135">
        <f t="shared" si="169"/>
        <v>1</v>
      </c>
      <c r="V135" s="8">
        <f>IFERROR(Table1[[#This Row],[ClassLength]]/Table1[[#This Row],[Splat]],0)</f>
        <v>4.3615384615339323</v>
      </c>
      <c r="W135" s="10">
        <f t="shared" si="170"/>
        <v>1</v>
      </c>
      <c r="X135" s="10">
        <f t="shared" si="171"/>
        <v>0</v>
      </c>
      <c r="Y135" s="10">
        <f t="shared" si="172"/>
        <v>0</v>
      </c>
      <c r="Z135" s="5">
        <f t="shared" si="176"/>
        <v>0.40329218106995884</v>
      </c>
      <c r="AA135" s="5">
        <f t="shared" si="176"/>
        <v>0.20928865373309818</v>
      </c>
      <c r="AB135" s="5">
        <f t="shared" si="176"/>
        <v>0.16108171663727217</v>
      </c>
      <c r="AC135" s="5">
        <f t="shared" si="176"/>
        <v>0.17342739564961787</v>
      </c>
      <c r="AD135" s="5">
        <f t="shared" si="176"/>
        <v>5.2910052910052907E-2</v>
      </c>
      <c r="AE135" s="7">
        <f t="shared" si="174"/>
        <v>232.14</v>
      </c>
      <c r="AF135" s="7">
        <f t="shared" si="175"/>
        <v>14.508749999999999</v>
      </c>
      <c r="AG135" s="8">
        <f t="shared" si="163"/>
        <v>598.68750000020839</v>
      </c>
      <c r="AH135" s="8">
        <f t="shared" si="164"/>
        <v>13.562500002731937</v>
      </c>
      <c r="AI135">
        <f>YEAR(Table1[[#This Row],[Date]])</f>
        <v>2020</v>
      </c>
      <c r="AK135">
        <v>12</v>
      </c>
      <c r="AL135" s="8">
        <f>Table1[[#This Row],[Calories]]/Table1[[#This Row],[ClassLength]]</f>
        <v>9.8765432098767807</v>
      </c>
      <c r="AM135" s="10" t="str">
        <f>RIGHT(Table1[[#This Row],[Time]],2)</f>
        <v>PM</v>
      </c>
      <c r="AN135" s="10" t="str">
        <f>Table1[[#This Row],[Mon_Yr]]&amp;"-"&amp;WEEKNUM(Table1[[#This Row],[Date]],1)-WEEKNUM(DATE(YEAR(Table1[[#This Row],[Date]]),MONTH(Table1[[#This Row],[Date]]),1),1)+1</f>
        <v>2-2020-5</v>
      </c>
      <c r="AO135" s="10">
        <f>MONTH(Table1[[#This Row],[Date]])</f>
        <v>2</v>
      </c>
      <c r="AP135" s="8">
        <f>IFERROR(Table1[[#This Row],[Calories]]/Table1[[#This Row],[Splat]],0)</f>
        <v>43.076923076879382</v>
      </c>
      <c r="AQ135" s="10">
        <f>COUNTIF(Table1[Location],Table1[[#This Row],[Location]])</f>
        <v>37</v>
      </c>
      <c r="AR135" s="10">
        <f>IF(AND(Table1[[#This Row],[Calories]]&gt;=600,Table1[[#This Row],[Splat]]&gt;=12),1,0)</f>
        <v>0</v>
      </c>
      <c r="AS135" s="10">
        <f>IF(AND(Table1[[#This Row],[Calories]]&gt;=500,Table1[[#This Row],[Splat]]&gt;=12),1,0)</f>
        <v>1</v>
      </c>
      <c r="AT135" s="8">
        <f>Table1[[#This Row],[ClassLength]]/Table1[[#This Row],[Calories]]</f>
        <v>0.10124999999999756</v>
      </c>
      <c r="AU135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35" s="10">
        <f>COUNTIF(Table1[Trainer],Table1[[#This Row],[Trainer]])</f>
        <v>20</v>
      </c>
      <c r="AW135" s="10" t="str">
        <f>UPPER(LEFT(TEXT(Table1[Date],"mmmm"),3))&amp;" "&amp;TEXT(Table1[Date],"yyyy")</f>
        <v>FEB 2020</v>
      </c>
      <c r="AX135" s="10">
        <f>VLOOKUP(Table1[[#This Row],[Location]],'Tab for Charts'!$A$93:$B$103,2,FALSE)</f>
        <v>38.903509999999997</v>
      </c>
      <c r="AY135" s="10">
        <f>VLOOKUP(Table1[[#This Row],[Location]],'Tab for Charts'!$A$93:$C$103,3,FALSE)</f>
        <v>-77.051809000000006</v>
      </c>
    </row>
    <row r="136" spans="1:51">
      <c r="A136">
        <v>135</v>
      </c>
      <c r="B136">
        <f t="shared" si="162"/>
        <v>16</v>
      </c>
      <c r="C136" s="1">
        <v>43890</v>
      </c>
      <c r="D136" s="8">
        <f>53+51/60</f>
        <v>53.85</v>
      </c>
      <c r="E136">
        <f>10+ROW()/100000000000000000</f>
        <v>10.000000000000002</v>
      </c>
      <c r="F136">
        <f>580+ROW()/1000000000000000</f>
        <v>580.00000000000011</v>
      </c>
      <c r="G136">
        <f>126</f>
        <v>126</v>
      </c>
      <c r="H136">
        <v>166</v>
      </c>
      <c r="I136">
        <f>11+1/60</f>
        <v>11.016666666666667</v>
      </c>
      <c r="J136">
        <f>12+42/60</f>
        <v>12.7</v>
      </c>
      <c r="K136">
        <f>20+20/60</f>
        <v>20.333333333333332</v>
      </c>
      <c r="L136">
        <f>7+34/60</f>
        <v>7.5666666666666664</v>
      </c>
      <c r="M136">
        <f>2+14/60</f>
        <v>2.2333333333333334</v>
      </c>
      <c r="N136" t="s">
        <v>15</v>
      </c>
      <c r="O136" t="s">
        <v>207</v>
      </c>
      <c r="P136" t="s">
        <v>17</v>
      </c>
      <c r="Q136" s="34">
        <f t="shared" si="165"/>
        <v>3</v>
      </c>
      <c r="R136" s="10" t="str">
        <f t="shared" si="166"/>
        <v>Correct</v>
      </c>
      <c r="S136" t="str">
        <f t="shared" si="167"/>
        <v>2-2020</v>
      </c>
      <c r="T136" t="str">
        <f t="shared" si="168"/>
        <v>Saturday</v>
      </c>
      <c r="U136">
        <f t="shared" si="169"/>
        <v>0</v>
      </c>
      <c r="V136" s="8">
        <f>IFERROR(Table1[[#This Row],[ClassLength]]/Table1[[#This Row],[Splat]],0)</f>
        <v>5.3849999999999989</v>
      </c>
      <c r="W136" s="10">
        <f t="shared" si="170"/>
        <v>1</v>
      </c>
      <c r="X136" s="10">
        <f t="shared" si="171"/>
        <v>0</v>
      </c>
      <c r="Y136" s="10">
        <f t="shared" si="172"/>
        <v>0</v>
      </c>
      <c r="Z136" s="5">
        <f t="shared" ref="Z136:AD138" si="177">IFERROR(I136/$D136,"")</f>
        <v>0.20458062519343859</v>
      </c>
      <c r="AA136" s="5">
        <f t="shared" si="177"/>
        <v>0.23584029712163415</v>
      </c>
      <c r="AB136" s="5">
        <f t="shared" si="177"/>
        <v>0.37759207675642215</v>
      </c>
      <c r="AC136" s="5">
        <f t="shared" si="177"/>
        <v>0.14051377282575053</v>
      </c>
      <c r="AD136" s="5">
        <f t="shared" si="177"/>
        <v>4.1473228102754563E-2</v>
      </c>
      <c r="AE136" s="7">
        <f t="shared" si="174"/>
        <v>232.14</v>
      </c>
      <c r="AF136" s="7">
        <f t="shared" si="175"/>
        <v>14.508749999999999</v>
      </c>
      <c r="AG136" s="8">
        <f t="shared" si="163"/>
        <v>598.68750000020839</v>
      </c>
      <c r="AH136" s="8">
        <f t="shared" si="164"/>
        <v>13.562500002731937</v>
      </c>
      <c r="AI136">
        <f>YEAR(Table1[[#This Row],[Date]])</f>
        <v>2020</v>
      </c>
      <c r="AK136">
        <v>12</v>
      </c>
      <c r="AL136" s="8">
        <f>Table1[[#This Row],[Calories]]/Table1[[#This Row],[ClassLength]]</f>
        <v>10.770659238625814</v>
      </c>
      <c r="AM136" s="10" t="str">
        <f>RIGHT(Table1[[#This Row],[Time]],2)</f>
        <v>AM</v>
      </c>
      <c r="AN136" s="10" t="str">
        <f>Table1[[#This Row],[Mon_Yr]]&amp;"-"&amp;WEEKNUM(Table1[[#This Row],[Date]],1)-WEEKNUM(DATE(YEAR(Table1[[#This Row],[Date]]),MONTH(Table1[[#This Row],[Date]]),1),1)+1</f>
        <v>2-2020-5</v>
      </c>
      <c r="AO136" s="10">
        <f>MONTH(Table1[[#This Row],[Date]])</f>
        <v>2</v>
      </c>
      <c r="AP136" s="8">
        <f>IFERROR(Table1[[#This Row],[Calories]]/Table1[[#This Row],[Splat]],0)</f>
        <v>58</v>
      </c>
      <c r="AQ136" s="10">
        <f>COUNTIF(Table1[Location],Table1[[#This Row],[Location]])</f>
        <v>48</v>
      </c>
      <c r="AR136" s="10">
        <f>IF(AND(Table1[[#This Row],[Calories]]&gt;=600,Table1[[#This Row],[Splat]]&gt;=12),1,0)</f>
        <v>0</v>
      </c>
      <c r="AS136" s="10">
        <f>IF(AND(Table1[[#This Row],[Calories]]&gt;=500,Table1[[#This Row],[Splat]]&gt;=12),1,0)</f>
        <v>0</v>
      </c>
      <c r="AT136" s="8">
        <f>Table1[[#This Row],[ClassLength]]/Table1[[#This Row],[Calories]]</f>
        <v>9.2844827586206879E-2</v>
      </c>
      <c r="AU136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36" s="10">
        <f>COUNTIF(Table1[Trainer],Table1[[#This Row],[Trainer]])</f>
        <v>29</v>
      </c>
      <c r="AW136" s="10" t="str">
        <f>UPPER(LEFT(TEXT(Table1[Date],"mmmm"),3))&amp;" "&amp;TEXT(Table1[Date],"yyyy")</f>
        <v>FEB 2020</v>
      </c>
      <c r="AX136" s="10">
        <f>VLOOKUP(Table1[[#This Row],[Location]],'Tab for Charts'!$A$93:$B$103,2,FALSE)</f>
        <v>38.916486999999996</v>
      </c>
      <c r="AY136" s="10">
        <f>VLOOKUP(Table1[[#This Row],[Location]],'Tab for Charts'!$A$93:$C$103,3,FALSE)</f>
        <v>-77.031514000000001</v>
      </c>
    </row>
    <row r="137" spans="1:51">
      <c r="A137">
        <v>136</v>
      </c>
      <c r="B137">
        <f t="shared" si="162"/>
        <v>8</v>
      </c>
      <c r="C137" s="1">
        <v>43893</v>
      </c>
      <c r="D137" s="8">
        <f>59+9/60</f>
        <v>59.15</v>
      </c>
      <c r="E137">
        <f>12+ROW()/1000000000000</f>
        <v>12.000000000137</v>
      </c>
      <c r="F137">
        <f>575+ROW()/100000000000000</f>
        <v>575.00000000000136</v>
      </c>
      <c r="G137">
        <f>119</f>
        <v>119</v>
      </c>
      <c r="H137">
        <v>167</v>
      </c>
      <c r="I137">
        <f>22+28/60</f>
        <v>22.466666666666665</v>
      </c>
      <c r="J137">
        <f>14+16/60</f>
        <v>14.266666666666667</v>
      </c>
      <c r="K137">
        <f>10+33/60</f>
        <v>10.55</v>
      </c>
      <c r="L137">
        <f>10+43/60</f>
        <v>10.716666666666667</v>
      </c>
      <c r="M137">
        <f>1+9/60</f>
        <v>1.1499999999999999</v>
      </c>
      <c r="N137" t="s">
        <v>6</v>
      </c>
      <c r="O137" t="s">
        <v>45</v>
      </c>
      <c r="P137" t="s">
        <v>115</v>
      </c>
      <c r="Q137" s="34">
        <f t="shared" ref="Q137:Q144" si="178">C137-C136</f>
        <v>3</v>
      </c>
      <c r="R137" s="10" t="str">
        <f t="shared" ref="R137:R144" si="179">IF(ROUND(E137,1)-ROUND(L137+M137,0)=0,"Correct",IF(ROUND(E137,1)-ROUND(L137+M137,0)=1,"Gain","Loss"))</f>
        <v>Correct</v>
      </c>
      <c r="S137" t="str">
        <f t="shared" ref="S137:S144" si="180">MONTH(C137)&amp;"-"&amp;YEAR(C137)</f>
        <v>3-2020</v>
      </c>
      <c r="T137" t="str">
        <f t="shared" ref="T137:T144" si="181">IF(WEEKDAY(C137)=1,"Sunday",IF(WEEKDAY(C137)=2,"Monday",IF(WEEKDAY(C137)=3,"Tuesday",IF(WEEKDAY(C137)=4,"Wednesday",IF(WEEKDAY(C137)=5,"Thursday",IF(WEEKDAY(C137)=6,"Friday","Saturday"))))))</f>
        <v>Tuesday</v>
      </c>
      <c r="U137">
        <f t="shared" ref="U137:U144" si="182">IF(E137&gt;=12,1,0)</f>
        <v>1</v>
      </c>
      <c r="V137" s="8">
        <f>IFERROR(Table1[[#This Row],[ClassLength]]/Table1[[#This Row],[Splat]],0)</f>
        <v>4.9291666666103922</v>
      </c>
      <c r="W137" s="10">
        <f t="shared" ref="W137:W144" si="183">IF(ROUND($E137,1)-ROUND($L137+$M137,0)=0,1,0)</f>
        <v>1</v>
      </c>
      <c r="X137" s="10">
        <f t="shared" ref="X137:X144" si="184">IF(ROUND($E137,1)-ROUND($L137+$M137,0)=1,1,0)</f>
        <v>0</v>
      </c>
      <c r="Y137" s="10">
        <f t="shared" ref="Y137:Y144" si="185">IF(ROUND($E137,1)-ROUND($L137+$M137,0)=-1,1,0)</f>
        <v>0</v>
      </c>
      <c r="Z137" s="5">
        <f t="shared" si="177"/>
        <v>0.37982530290222594</v>
      </c>
      <c r="AA137" s="5">
        <f t="shared" si="177"/>
        <v>0.24119470273316429</v>
      </c>
      <c r="AB137" s="5">
        <f t="shared" si="177"/>
        <v>0.17836010143702452</v>
      </c>
      <c r="AC137" s="5">
        <f t="shared" si="177"/>
        <v>0.18117779656241195</v>
      </c>
      <c r="AD137" s="5">
        <f t="shared" si="177"/>
        <v>1.9442096365173286E-2</v>
      </c>
      <c r="AE137" s="7">
        <f t="shared" ref="AE137:AE144" si="186">232.14+AJ137</f>
        <v>232.14</v>
      </c>
      <c r="AF137" s="7">
        <f t="shared" ref="AF137:AF144" si="187">AE137/B137</f>
        <v>29.017499999999998</v>
      </c>
      <c r="AG137" s="8">
        <f t="shared" si="163"/>
        <v>589.00000000005491</v>
      </c>
      <c r="AH137" s="8">
        <f t="shared" si="164"/>
        <v>13.00000000040418</v>
      </c>
      <c r="AI137">
        <f>YEAR(Table1[[#This Row],[Date]])</f>
        <v>2020</v>
      </c>
      <c r="AK137">
        <v>12</v>
      </c>
      <c r="AL137" s="8">
        <f>Table1[[#This Row],[Calories]]/Table1[[#This Row],[ClassLength]]</f>
        <v>9.7210481825866673</v>
      </c>
      <c r="AM137" s="10" t="str">
        <f>RIGHT(Table1[[#This Row],[Time]],2)</f>
        <v>PM</v>
      </c>
      <c r="AN137" s="10" t="str">
        <f>Table1[[#This Row],[Mon_Yr]]&amp;"-"&amp;WEEKNUM(Table1[[#This Row],[Date]],1)-WEEKNUM(DATE(YEAR(Table1[[#This Row],[Date]]),MONTH(Table1[[#This Row],[Date]]),1),1)+1</f>
        <v>3-2020-1</v>
      </c>
      <c r="AO137" s="10">
        <f>MONTH(Table1[[#This Row],[Date]])</f>
        <v>3</v>
      </c>
      <c r="AP137" s="8">
        <f>IFERROR(Table1[[#This Row],[Calories]]/Table1[[#This Row],[Splat]],0)</f>
        <v>47.916666666119731</v>
      </c>
      <c r="AQ137" s="10">
        <f>COUNTIF(Table1[Location],Table1[[#This Row],[Location]])</f>
        <v>35</v>
      </c>
      <c r="AR137" s="10">
        <f>IF(AND(Table1[[#This Row],[Calories]]&gt;=600,Table1[[#This Row],[Splat]]&gt;=12),1,0)</f>
        <v>0</v>
      </c>
      <c r="AS137" s="10">
        <f>IF(AND(Table1[[#This Row],[Calories]]&gt;=500,Table1[[#This Row],[Splat]]&gt;=12),1,0)</f>
        <v>1</v>
      </c>
      <c r="AT137" s="8">
        <f>Table1[[#This Row],[ClassLength]]/Table1[[#This Row],[Calories]]</f>
        <v>0.10286956521739106</v>
      </c>
      <c r="AU137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37" s="10">
        <f>COUNTIF(Table1[Trainer],Table1[[#This Row],[Trainer]])</f>
        <v>4</v>
      </c>
      <c r="AW137" s="10" t="str">
        <f>UPPER(LEFT(TEXT(Table1[Date],"mmmm"),3))&amp;" "&amp;TEXT(Table1[Date],"yyyy")</f>
        <v>MAR 2020</v>
      </c>
      <c r="AX137" s="10">
        <f>VLOOKUP(Table1[[#This Row],[Location]],'Tab for Charts'!$A$93:$B$103,2,FALSE)</f>
        <v>38.881884999999997</v>
      </c>
      <c r="AY137" s="10">
        <f>VLOOKUP(Table1[[#This Row],[Location]],'Tab for Charts'!$A$93:$C$103,3,FALSE)</f>
        <v>-77.229702000000003</v>
      </c>
    </row>
    <row r="138" spans="1:51">
      <c r="A138">
        <v>137</v>
      </c>
      <c r="B138">
        <f t="shared" si="162"/>
        <v>8</v>
      </c>
      <c r="C138" s="1">
        <v>43894</v>
      </c>
      <c r="D138" s="8">
        <f>57+2/60</f>
        <v>57.033333333333331</v>
      </c>
      <c r="E138">
        <f>18+ROW()/1000000000000000</f>
        <v>18.000000000000139</v>
      </c>
      <c r="F138">
        <f>596+ROW()/10000000000000000</f>
        <v>596</v>
      </c>
      <c r="G138">
        <f>123</f>
        <v>123</v>
      </c>
      <c r="H138">
        <f>170</f>
        <v>170</v>
      </c>
      <c r="I138">
        <f>20+26/60</f>
        <v>20.433333333333334</v>
      </c>
      <c r="J138">
        <f>10+20/60</f>
        <v>10.333333333333334</v>
      </c>
      <c r="K138">
        <f>8+35/60</f>
        <v>8.5833333333333339</v>
      </c>
      <c r="L138">
        <f>14+38/60</f>
        <v>14.633333333333333</v>
      </c>
      <c r="M138">
        <f>3+3/60</f>
        <v>3.05</v>
      </c>
      <c r="N138" t="s">
        <v>21</v>
      </c>
      <c r="O138" t="s">
        <v>7</v>
      </c>
      <c r="P138" t="s">
        <v>23</v>
      </c>
      <c r="Q138" s="34">
        <f t="shared" si="178"/>
        <v>1</v>
      </c>
      <c r="R138" s="10" t="str">
        <f t="shared" si="179"/>
        <v>Correct</v>
      </c>
      <c r="S138" t="str">
        <f t="shared" si="180"/>
        <v>3-2020</v>
      </c>
      <c r="T138" t="str">
        <f t="shared" si="181"/>
        <v>Wednesday</v>
      </c>
      <c r="U138">
        <f t="shared" si="182"/>
        <v>1</v>
      </c>
      <c r="V138" s="8">
        <f>IFERROR(Table1[[#This Row],[ClassLength]]/Table1[[#This Row],[Splat]],0)</f>
        <v>3.1685185185184941</v>
      </c>
      <c r="W138" s="10">
        <f t="shared" si="183"/>
        <v>1</v>
      </c>
      <c r="X138" s="10">
        <f t="shared" si="184"/>
        <v>0</v>
      </c>
      <c r="Y138" s="10">
        <f t="shared" si="185"/>
        <v>0</v>
      </c>
      <c r="Z138" s="5">
        <f t="shared" si="177"/>
        <v>0.3582700175336061</v>
      </c>
      <c r="AA138" s="5">
        <f t="shared" si="177"/>
        <v>0.18118059614260668</v>
      </c>
      <c r="AB138" s="5">
        <f t="shared" si="177"/>
        <v>0.15049678550555232</v>
      </c>
      <c r="AC138" s="5">
        <f t="shared" si="177"/>
        <v>0.25657510227936881</v>
      </c>
      <c r="AD138" s="5">
        <f t="shared" si="177"/>
        <v>5.3477498538866158E-2</v>
      </c>
      <c r="AE138" s="7">
        <f t="shared" si="186"/>
        <v>232.14</v>
      </c>
      <c r="AF138" s="7">
        <f t="shared" si="187"/>
        <v>29.017499999999998</v>
      </c>
      <c r="AG138" s="8">
        <f t="shared" si="163"/>
        <v>589.00000000005491</v>
      </c>
      <c r="AH138" s="8">
        <f t="shared" si="164"/>
        <v>13.00000000040418</v>
      </c>
      <c r="AI138">
        <f>YEAR(Table1[[#This Row],[Date]])</f>
        <v>2020</v>
      </c>
      <c r="AK138">
        <v>12</v>
      </c>
      <c r="AL138" s="8">
        <f>Table1[[#This Row],[Calories]]/Table1[[#This Row],[ClassLength]]</f>
        <v>10.450029222676797</v>
      </c>
      <c r="AM138" s="10" t="str">
        <f>RIGHT(Table1[[#This Row],[Time]],2)</f>
        <v>PM</v>
      </c>
      <c r="AN138" s="10" t="str">
        <f>Table1[[#This Row],[Mon_Yr]]&amp;"-"&amp;WEEKNUM(Table1[[#This Row],[Date]],1)-WEEKNUM(DATE(YEAR(Table1[[#This Row],[Date]]),MONTH(Table1[[#This Row],[Date]]),1),1)+1</f>
        <v>3-2020-1</v>
      </c>
      <c r="AO138" s="10">
        <f>MONTH(Table1[[#This Row],[Date]])</f>
        <v>3</v>
      </c>
      <c r="AP138" s="8">
        <f>IFERROR(Table1[[#This Row],[Calories]]/Table1[[#This Row],[Splat]],0)</f>
        <v>33.111111111110858</v>
      </c>
      <c r="AQ138" s="10">
        <f>COUNTIF(Table1[Location],Table1[[#This Row],[Location]])</f>
        <v>37</v>
      </c>
      <c r="AR138" s="10">
        <f>IF(AND(Table1[[#This Row],[Calories]]&gt;=600,Table1[[#This Row],[Splat]]&gt;=12),1,0)</f>
        <v>0</v>
      </c>
      <c r="AS138" s="10">
        <f>IF(AND(Table1[[#This Row],[Calories]]&gt;=500,Table1[[#This Row],[Splat]]&gt;=12),1,0)</f>
        <v>1</v>
      </c>
      <c r="AT138" s="8">
        <f>Table1[[#This Row],[ClassLength]]/Table1[[#This Row],[Calories]]</f>
        <v>9.569351230425055E-2</v>
      </c>
      <c r="AU138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38" s="10">
        <f>COUNTIF(Table1[Trainer],Table1[[#This Row],[Trainer]])</f>
        <v>20</v>
      </c>
      <c r="AW138" s="10" t="str">
        <f>UPPER(LEFT(TEXT(Table1[Date],"mmmm"),3))&amp;" "&amp;TEXT(Table1[Date],"yyyy")</f>
        <v>MAR 2020</v>
      </c>
      <c r="AX138" s="10">
        <f>VLOOKUP(Table1[[#This Row],[Location]],'Tab for Charts'!$A$93:$B$103,2,FALSE)</f>
        <v>38.903509999999997</v>
      </c>
      <c r="AY138" s="10">
        <f>VLOOKUP(Table1[[#This Row],[Location]],'Tab for Charts'!$A$93:$C$103,3,FALSE)</f>
        <v>-77.051809000000006</v>
      </c>
    </row>
    <row r="139" spans="1:51">
      <c r="A139">
        <v>138</v>
      </c>
      <c r="B139">
        <f t="shared" si="162"/>
        <v>8</v>
      </c>
      <c r="C139" s="1">
        <v>43895</v>
      </c>
      <c r="D139" s="8">
        <f>55+53/60</f>
        <v>55.883333333333333</v>
      </c>
      <c r="E139">
        <f>21+ROW()/100000000000</f>
        <v>21.000000001389999</v>
      </c>
      <c r="F139">
        <f>663+ROW()/1000000000000</f>
        <v>663.00000000013904</v>
      </c>
      <c r="G139">
        <f>133</f>
        <v>133</v>
      </c>
      <c r="H139">
        <v>165</v>
      </c>
      <c r="I139">
        <f>8+46/60</f>
        <v>8.7666666666666675</v>
      </c>
      <c r="J139">
        <f>11+11/60</f>
        <v>11.183333333333334</v>
      </c>
      <c r="K139">
        <f>15+2/60</f>
        <v>15.033333333333333</v>
      </c>
      <c r="L139">
        <f>18+53/60</f>
        <v>18.883333333333333</v>
      </c>
      <c r="M139">
        <f>2+1/60</f>
        <v>2.0166666666666666</v>
      </c>
      <c r="N139" t="s">
        <v>198</v>
      </c>
      <c r="O139" t="s">
        <v>45</v>
      </c>
      <c r="P139" t="s">
        <v>200</v>
      </c>
      <c r="Q139" s="34">
        <f t="shared" si="178"/>
        <v>1</v>
      </c>
      <c r="R139" s="10" t="str">
        <f t="shared" si="179"/>
        <v>Correct</v>
      </c>
      <c r="S139" t="str">
        <f t="shared" si="180"/>
        <v>3-2020</v>
      </c>
      <c r="T139" t="str">
        <f t="shared" si="181"/>
        <v>Thursday</v>
      </c>
      <c r="U139">
        <f t="shared" si="182"/>
        <v>1</v>
      </c>
      <c r="V139" s="8">
        <f>IFERROR(Table1[[#This Row],[ClassLength]]/Table1[[#This Row],[Splat]],0)</f>
        <v>2.661111110934971</v>
      </c>
      <c r="W139" s="10">
        <f t="shared" si="183"/>
        <v>1</v>
      </c>
      <c r="X139" s="10">
        <f t="shared" si="184"/>
        <v>0</v>
      </c>
      <c r="Y139" s="10">
        <f t="shared" si="185"/>
        <v>0</v>
      </c>
      <c r="Z139" s="5">
        <f t="shared" ref="Z139:AD140" si="188">IFERROR(I139/$D139,"")</f>
        <v>0.15687444079928423</v>
      </c>
      <c r="AA139" s="5">
        <f t="shared" si="188"/>
        <v>0.20011929615269908</v>
      </c>
      <c r="AB139" s="5">
        <f t="shared" si="188"/>
        <v>0.26901282433641516</v>
      </c>
      <c r="AC139" s="5">
        <f t="shared" si="188"/>
        <v>0.33790635252013124</v>
      </c>
      <c r="AD139" s="5">
        <f t="shared" si="188"/>
        <v>3.6087086191470323E-2</v>
      </c>
      <c r="AE139" s="7">
        <f t="shared" si="186"/>
        <v>232.14</v>
      </c>
      <c r="AF139" s="7">
        <f t="shared" si="187"/>
        <v>29.017499999999998</v>
      </c>
      <c r="AG139" s="8">
        <f t="shared" si="163"/>
        <v>589.00000000005491</v>
      </c>
      <c r="AH139" s="8">
        <f t="shared" si="164"/>
        <v>13.00000000040418</v>
      </c>
      <c r="AI139">
        <f>YEAR(Table1[[#This Row],[Date]])</f>
        <v>2020</v>
      </c>
      <c r="AK139">
        <v>12</v>
      </c>
      <c r="AL139" s="8">
        <f>Table1[[#This Row],[Calories]]/Table1[[#This Row],[ClassLength]]</f>
        <v>11.864002385925541</v>
      </c>
      <c r="AM139" s="10" t="str">
        <f>RIGHT(Table1[[#This Row],[Time]],2)</f>
        <v>PM</v>
      </c>
      <c r="AN139" s="10" t="str">
        <f>Table1[[#This Row],[Mon_Yr]]&amp;"-"&amp;WEEKNUM(Table1[[#This Row],[Date]],1)-WEEKNUM(DATE(YEAR(Table1[[#This Row],[Date]]),MONTH(Table1[[#This Row],[Date]]),1),1)+1</f>
        <v>3-2020-1</v>
      </c>
      <c r="AO139" s="10">
        <f>MONTH(Table1[[#This Row],[Date]])</f>
        <v>3</v>
      </c>
      <c r="AP139" s="8">
        <f>IFERROR(Table1[[#This Row],[Calories]]/Table1[[#This Row],[Splat]],0)</f>
        <v>31.571428569345464</v>
      </c>
      <c r="AQ139" s="10">
        <f>COUNTIF(Table1[Location],Table1[[#This Row],[Location]])</f>
        <v>3</v>
      </c>
      <c r="AR139" s="10">
        <f>IF(AND(Table1[[#This Row],[Calories]]&gt;=600,Table1[[#This Row],[Splat]]&gt;=12),1,0)</f>
        <v>1</v>
      </c>
      <c r="AS139" s="10">
        <f>IF(AND(Table1[[#This Row],[Calories]]&gt;=500,Table1[[#This Row],[Splat]]&gt;=12),1,0)</f>
        <v>1</v>
      </c>
      <c r="AT139" s="8">
        <f>Table1[[#This Row],[ClassLength]]/Table1[[#This Row],[Calories]]</f>
        <v>8.4288587229746026E-2</v>
      </c>
      <c r="AU139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39" s="10">
        <f>COUNTIF(Table1[Trainer],Table1[[#This Row],[Trainer]])</f>
        <v>3</v>
      </c>
      <c r="AW139" s="10" t="str">
        <f>UPPER(LEFT(TEXT(Table1[Date],"mmmm"),3))&amp;" "&amp;TEXT(Table1[Date],"yyyy")</f>
        <v>MAR 2020</v>
      </c>
      <c r="AX139" s="10">
        <f>VLOOKUP(Table1[[#This Row],[Location]],'Tab for Charts'!$A$93:$B$103,2,FALSE)</f>
        <v>38.915415000000003</v>
      </c>
      <c r="AY139" s="10">
        <f>VLOOKUP(Table1[[#This Row],[Location]],'Tab for Charts'!$A$93:$C$103,3,FALSE)</f>
        <v>-77.067172999999997</v>
      </c>
    </row>
    <row r="140" spans="1:51">
      <c r="A140">
        <v>139</v>
      </c>
      <c r="B140">
        <f t="shared" si="162"/>
        <v>8</v>
      </c>
      <c r="C140" s="1">
        <v>43897</v>
      </c>
      <c r="D140" s="8">
        <f>55+18/60</f>
        <v>55.3</v>
      </c>
      <c r="E140">
        <f>14+ROW()/1000000000000</f>
        <v>14.00000000014</v>
      </c>
      <c r="F140">
        <f>623+ROW()/1000000000000</f>
        <v>623.00000000013995</v>
      </c>
      <c r="G140">
        <f>129</f>
        <v>129</v>
      </c>
      <c r="H140">
        <v>166</v>
      </c>
      <c r="I140">
        <f>8+48/60</f>
        <v>8.8000000000000007</v>
      </c>
      <c r="J140">
        <f>15+33/60</f>
        <v>15.55</v>
      </c>
      <c r="K140">
        <f>17+39/60</f>
        <v>17.649999999999999</v>
      </c>
      <c r="L140">
        <f>12+36/60</f>
        <v>12.6</v>
      </c>
      <c r="M140">
        <f>0+42/60</f>
        <v>0.7</v>
      </c>
      <c r="N140" t="s">
        <v>15</v>
      </c>
      <c r="O140" t="s">
        <v>24</v>
      </c>
      <c r="P140" t="s">
        <v>17</v>
      </c>
      <c r="Q140" s="34">
        <f t="shared" si="178"/>
        <v>2</v>
      </c>
      <c r="R140" s="10" t="str">
        <f t="shared" si="179"/>
        <v>Gain</v>
      </c>
      <c r="S140" t="str">
        <f t="shared" si="180"/>
        <v>3-2020</v>
      </c>
      <c r="T140" t="str">
        <f t="shared" si="181"/>
        <v>Saturday</v>
      </c>
      <c r="U140">
        <f t="shared" si="182"/>
        <v>1</v>
      </c>
      <c r="V140" s="8">
        <f>IFERROR(Table1[[#This Row],[ClassLength]]/Table1[[#This Row],[Splat]],0)</f>
        <v>3.9499999999604998</v>
      </c>
      <c r="W140" s="10">
        <f t="shared" si="183"/>
        <v>0</v>
      </c>
      <c r="X140" s="10">
        <f t="shared" si="184"/>
        <v>1</v>
      </c>
      <c r="Y140" s="10">
        <f t="shared" si="185"/>
        <v>0</v>
      </c>
      <c r="Z140" s="5">
        <f t="shared" si="188"/>
        <v>0.15913200723327309</v>
      </c>
      <c r="AA140" s="5">
        <f t="shared" si="188"/>
        <v>0.2811934900542496</v>
      </c>
      <c r="AB140" s="5">
        <f t="shared" si="188"/>
        <v>0.31916817359855332</v>
      </c>
      <c r="AC140" s="5">
        <f t="shared" si="188"/>
        <v>0.22784810126582278</v>
      </c>
      <c r="AD140" s="5">
        <f t="shared" si="188"/>
        <v>1.2658227848101266E-2</v>
      </c>
      <c r="AE140" s="7">
        <f t="shared" si="186"/>
        <v>232.14</v>
      </c>
      <c r="AF140" s="7">
        <f t="shared" si="187"/>
        <v>29.017499999999998</v>
      </c>
      <c r="AG140" s="8">
        <f t="shared" si="163"/>
        <v>589.00000000005491</v>
      </c>
      <c r="AH140" s="8">
        <f t="shared" si="164"/>
        <v>13.00000000040418</v>
      </c>
      <c r="AI140">
        <f>YEAR(Table1[[#This Row],[Date]])</f>
        <v>2020</v>
      </c>
      <c r="AK140">
        <v>12</v>
      </c>
      <c r="AL140" s="8">
        <f>Table1[[#This Row],[Calories]]/Table1[[#This Row],[ClassLength]]</f>
        <v>11.265822784812658</v>
      </c>
      <c r="AM140" s="10" t="str">
        <f>RIGHT(Table1[[#This Row],[Time]],2)</f>
        <v>AM</v>
      </c>
      <c r="AN140" s="10" t="str">
        <f>Table1[[#This Row],[Mon_Yr]]&amp;"-"&amp;WEEKNUM(Table1[[#This Row],[Date]],1)-WEEKNUM(DATE(YEAR(Table1[[#This Row],[Date]]),MONTH(Table1[[#This Row],[Date]]),1),1)+1</f>
        <v>3-2020-1</v>
      </c>
      <c r="AO140" s="10">
        <f>MONTH(Table1[[#This Row],[Date]])</f>
        <v>3</v>
      </c>
      <c r="AP140" s="8">
        <f>IFERROR(Table1[[#This Row],[Calories]]/Table1[[#This Row],[Splat]],0)</f>
        <v>44.499999999564999</v>
      </c>
      <c r="AQ140" s="10">
        <f>COUNTIF(Table1[Location],Table1[[#This Row],[Location]])</f>
        <v>48</v>
      </c>
      <c r="AR140" s="10">
        <f>IF(AND(Table1[[#This Row],[Calories]]&gt;=600,Table1[[#This Row],[Splat]]&gt;=12),1,0)</f>
        <v>1</v>
      </c>
      <c r="AS140" s="10">
        <f>IF(AND(Table1[[#This Row],[Calories]]&gt;=500,Table1[[#This Row],[Splat]]&gt;=12),1,0)</f>
        <v>1</v>
      </c>
      <c r="AT140" s="8">
        <f>Table1[[#This Row],[ClassLength]]/Table1[[#This Row],[Calories]]</f>
        <v>8.8764044943800274E-2</v>
      </c>
      <c r="AU140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1</v>
      </c>
      <c r="AV140" s="10">
        <f>COUNTIF(Table1[Trainer],Table1[[#This Row],[Trainer]])</f>
        <v>29</v>
      </c>
      <c r="AW140" s="10" t="str">
        <f>UPPER(LEFT(TEXT(Table1[Date],"mmmm"),3))&amp;" "&amp;TEXT(Table1[Date],"yyyy")</f>
        <v>MAR 2020</v>
      </c>
      <c r="AX140" s="10">
        <f>VLOOKUP(Table1[[#This Row],[Location]],'Tab for Charts'!$A$93:$B$103,2,FALSE)</f>
        <v>38.916486999999996</v>
      </c>
      <c r="AY140" s="10">
        <f>VLOOKUP(Table1[[#This Row],[Location]],'Tab for Charts'!$A$93:$C$103,3,FALSE)</f>
        <v>-77.031514000000001</v>
      </c>
    </row>
    <row r="141" spans="1:51">
      <c r="A141">
        <v>140</v>
      </c>
      <c r="B141">
        <f t="shared" si="162"/>
        <v>8</v>
      </c>
      <c r="C141" s="1">
        <v>43899</v>
      </c>
      <c r="D141" s="8">
        <f>58+24/60</f>
        <v>58.4</v>
      </c>
      <c r="E141">
        <f>18+ROW()/100000000000</f>
        <v>18.000000001410001</v>
      </c>
      <c r="F141">
        <f>584+ROW()/10000000000000</f>
        <v>584.0000000000141</v>
      </c>
      <c r="G141">
        <f>120</f>
        <v>120</v>
      </c>
      <c r="H141">
        <v>168</v>
      </c>
      <c r="I141">
        <f>24+14/60</f>
        <v>24.233333333333334</v>
      </c>
      <c r="J141">
        <f>5+57/60</f>
        <v>5.95</v>
      </c>
      <c r="K141">
        <f>10+19/60</f>
        <v>10.316666666666666</v>
      </c>
      <c r="L141">
        <f>15+9/60</f>
        <v>15.15</v>
      </c>
      <c r="M141">
        <f>2+45/60</f>
        <v>2.75</v>
      </c>
      <c r="N141" t="s">
        <v>21</v>
      </c>
      <c r="O141" t="s">
        <v>7</v>
      </c>
      <c r="P141" t="s">
        <v>103</v>
      </c>
      <c r="Q141" s="34">
        <f t="shared" si="178"/>
        <v>2</v>
      </c>
      <c r="R141" s="10" t="str">
        <f t="shared" si="179"/>
        <v>Correct</v>
      </c>
      <c r="S141" t="str">
        <f t="shared" si="180"/>
        <v>3-2020</v>
      </c>
      <c r="T141" t="str">
        <f t="shared" si="181"/>
        <v>Monday</v>
      </c>
      <c r="U141">
        <f t="shared" si="182"/>
        <v>1</v>
      </c>
      <c r="V141" s="8">
        <f>IFERROR(Table1[[#This Row],[ClassLength]]/Table1[[#This Row],[Splat]],0)</f>
        <v>3.2444444441902962</v>
      </c>
      <c r="W141" s="10">
        <f t="shared" si="183"/>
        <v>1</v>
      </c>
      <c r="X141" s="10">
        <f t="shared" si="184"/>
        <v>0</v>
      </c>
      <c r="Y141" s="10">
        <f t="shared" si="185"/>
        <v>0</v>
      </c>
      <c r="Z141" s="5">
        <f t="shared" ref="Z141:AD144" si="189">IFERROR(I141/$D141,"")</f>
        <v>0.41495433789954339</v>
      </c>
      <c r="AA141" s="5">
        <f t="shared" si="189"/>
        <v>0.10188356164383562</v>
      </c>
      <c r="AB141" s="5">
        <f t="shared" si="189"/>
        <v>0.17665525114155251</v>
      </c>
      <c r="AC141" s="5">
        <f t="shared" si="189"/>
        <v>0.25941780821917809</v>
      </c>
      <c r="AD141" s="5">
        <f t="shared" si="189"/>
        <v>4.7089041095890412E-2</v>
      </c>
      <c r="AE141" s="7">
        <f t="shared" si="186"/>
        <v>232.14</v>
      </c>
      <c r="AF141" s="7">
        <f t="shared" si="187"/>
        <v>29.017499999999998</v>
      </c>
      <c r="AG141" s="8">
        <f t="shared" si="163"/>
        <v>589.00000000005491</v>
      </c>
      <c r="AH141" s="8">
        <f t="shared" si="164"/>
        <v>13.00000000040418</v>
      </c>
      <c r="AI141">
        <f>YEAR(Table1[[#This Row],[Date]])</f>
        <v>2020</v>
      </c>
      <c r="AK141">
        <v>12</v>
      </c>
      <c r="AL141" s="8">
        <f>Table1[[#This Row],[Calories]]/Table1[[#This Row],[ClassLength]]</f>
        <v>10.000000000000242</v>
      </c>
      <c r="AM141" s="10" t="str">
        <f>RIGHT(Table1[[#This Row],[Time]],2)</f>
        <v>PM</v>
      </c>
      <c r="AN141" s="10" t="str">
        <f>Table1[[#This Row],[Mon_Yr]]&amp;"-"&amp;WEEKNUM(Table1[[#This Row],[Date]],1)-WEEKNUM(DATE(YEAR(Table1[[#This Row],[Date]]),MONTH(Table1[[#This Row],[Date]]),1),1)+1</f>
        <v>3-2020-2</v>
      </c>
      <c r="AO141" s="10">
        <f>MONTH(Table1[[#This Row],[Date]])</f>
        <v>3</v>
      </c>
      <c r="AP141" s="8">
        <f>IFERROR(Table1[[#This Row],[Calories]]/Table1[[#This Row],[Splat]],0)</f>
        <v>32.444444441903741</v>
      </c>
      <c r="AQ141" s="10">
        <f>COUNTIF(Table1[Location],Table1[[#This Row],[Location]])</f>
        <v>37</v>
      </c>
      <c r="AR141" s="10">
        <f>IF(AND(Table1[[#This Row],[Calories]]&gt;=600,Table1[[#This Row],[Splat]]&gt;=12),1,0)</f>
        <v>0</v>
      </c>
      <c r="AS141" s="10">
        <f>IF(AND(Table1[[#This Row],[Calories]]&gt;=500,Table1[[#This Row],[Splat]]&gt;=12),1,0)</f>
        <v>1</v>
      </c>
      <c r="AT141" s="8">
        <f>Table1[[#This Row],[ClassLength]]/Table1[[#This Row],[Calories]]</f>
        <v>9.9999999999997577E-2</v>
      </c>
      <c r="AU141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41" s="10">
        <f>COUNTIF(Table1[Trainer],Table1[[#This Row],[Trainer]])</f>
        <v>8</v>
      </c>
      <c r="AW141" s="10" t="str">
        <f>UPPER(LEFT(TEXT(Table1[Date],"mmmm"),3))&amp;" "&amp;TEXT(Table1[Date],"yyyy")</f>
        <v>MAR 2020</v>
      </c>
      <c r="AX141" s="10">
        <f>VLOOKUP(Table1[[#This Row],[Location]],'Tab for Charts'!$A$93:$B$103,2,FALSE)</f>
        <v>38.903509999999997</v>
      </c>
      <c r="AY141" s="10">
        <f>VLOOKUP(Table1[[#This Row],[Location]],'Tab for Charts'!$A$93:$C$103,3,FALSE)</f>
        <v>-77.051809000000006</v>
      </c>
    </row>
    <row r="142" spans="1:51">
      <c r="A142">
        <v>141</v>
      </c>
      <c r="B142">
        <f t="shared" si="162"/>
        <v>8</v>
      </c>
      <c r="C142" s="1">
        <v>43900</v>
      </c>
      <c r="D142" s="8">
        <f>58+56/60</f>
        <v>58.93333333333333</v>
      </c>
      <c r="E142">
        <f>7+ROW()/1000000000000</f>
        <v>7.0000000001420002</v>
      </c>
      <c r="F142">
        <f>570+ROW()/100000000000000</f>
        <v>570.00000000000136</v>
      </c>
      <c r="G142">
        <f>118</f>
        <v>118</v>
      </c>
      <c r="H142">
        <v>162</v>
      </c>
      <c r="I142">
        <f>20+9/60</f>
        <v>20.149999999999999</v>
      </c>
      <c r="J142">
        <f>12+18/60</f>
        <v>12.3</v>
      </c>
      <c r="K142">
        <f>19+25/60</f>
        <v>19.416666666666668</v>
      </c>
      <c r="L142">
        <f>6+59/60</f>
        <v>6.9833333333333334</v>
      </c>
      <c r="M142">
        <f>0+5/60</f>
        <v>8.3333333333333329E-2</v>
      </c>
      <c r="N142" t="s">
        <v>21</v>
      </c>
      <c r="O142" t="s">
        <v>45</v>
      </c>
      <c r="P142" t="s">
        <v>209</v>
      </c>
      <c r="Q142" s="34">
        <f t="shared" si="178"/>
        <v>1</v>
      </c>
      <c r="R142" s="10" t="str">
        <f t="shared" si="179"/>
        <v>Correct</v>
      </c>
      <c r="S142" t="str">
        <f t="shared" si="180"/>
        <v>3-2020</v>
      </c>
      <c r="T142" t="str">
        <f t="shared" si="181"/>
        <v>Tuesday</v>
      </c>
      <c r="U142">
        <f t="shared" si="182"/>
        <v>0</v>
      </c>
      <c r="V142" s="8">
        <f>IFERROR(Table1[[#This Row],[ClassLength]]/Table1[[#This Row],[Splat]],0)</f>
        <v>8.4190476188768315</v>
      </c>
      <c r="W142" s="10">
        <f t="shared" si="183"/>
        <v>1</v>
      </c>
      <c r="X142" s="10">
        <f t="shared" si="184"/>
        <v>0</v>
      </c>
      <c r="Y142" s="10">
        <f t="shared" si="185"/>
        <v>0</v>
      </c>
      <c r="Z142" s="5">
        <f t="shared" si="189"/>
        <v>0.34191176470588236</v>
      </c>
      <c r="AA142" s="5">
        <f t="shared" si="189"/>
        <v>0.20871040723981904</v>
      </c>
      <c r="AB142" s="5">
        <f t="shared" si="189"/>
        <v>0.32946832579185525</v>
      </c>
      <c r="AC142" s="5">
        <f t="shared" si="189"/>
        <v>0.11849547511312218</v>
      </c>
      <c r="AD142" s="5">
        <f t="shared" si="189"/>
        <v>1.4140271493212669E-3</v>
      </c>
      <c r="AE142" s="7">
        <f t="shared" si="186"/>
        <v>232.14</v>
      </c>
      <c r="AF142" s="7">
        <f t="shared" si="187"/>
        <v>29.017499999999998</v>
      </c>
      <c r="AG142" s="8">
        <f t="shared" si="163"/>
        <v>589.00000000005491</v>
      </c>
      <c r="AH142" s="8">
        <f t="shared" si="164"/>
        <v>13.00000000040418</v>
      </c>
      <c r="AI142">
        <f>YEAR(Table1[[#This Row],[Date]])</f>
        <v>2020</v>
      </c>
      <c r="AK142">
        <v>12</v>
      </c>
      <c r="AL142" s="8">
        <f>Table1[[#This Row],[Calories]]/Table1[[#This Row],[ClassLength]]</f>
        <v>9.6719457013574903</v>
      </c>
      <c r="AM142" s="10" t="str">
        <f>RIGHT(Table1[[#This Row],[Time]],2)</f>
        <v>PM</v>
      </c>
      <c r="AN142" s="10" t="str">
        <f>Table1[[#This Row],[Mon_Yr]]&amp;"-"&amp;WEEKNUM(Table1[[#This Row],[Date]],1)-WEEKNUM(DATE(YEAR(Table1[[#This Row],[Date]]),MONTH(Table1[[#This Row],[Date]]),1),1)+1</f>
        <v>3-2020-2</v>
      </c>
      <c r="AO142" s="10">
        <f>MONTH(Table1[[#This Row],[Date]])</f>
        <v>3</v>
      </c>
      <c r="AP142" s="8">
        <f>IFERROR(Table1[[#This Row],[Calories]]/Table1[[#This Row],[Splat]],0)</f>
        <v>81.428571426919788</v>
      </c>
      <c r="AQ142" s="10">
        <f>COUNTIF(Table1[Location],Table1[[#This Row],[Location]])</f>
        <v>37</v>
      </c>
      <c r="AR142" s="10">
        <f>IF(AND(Table1[[#This Row],[Calories]]&gt;=600,Table1[[#This Row],[Splat]]&gt;=12),1,0)</f>
        <v>0</v>
      </c>
      <c r="AS142" s="10">
        <f>IF(AND(Table1[[#This Row],[Calories]]&gt;=500,Table1[[#This Row],[Splat]]&gt;=12),1,0)</f>
        <v>0</v>
      </c>
      <c r="AT142" s="8">
        <f>Table1[[#This Row],[ClassLength]]/Table1[[#This Row],[Calories]]</f>
        <v>0.10339181286549683</v>
      </c>
      <c r="AU142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42" s="10">
        <f>COUNTIF(Table1[Trainer],Table1[[#This Row],[Trainer]])</f>
        <v>1</v>
      </c>
      <c r="AW142" s="10" t="str">
        <f>UPPER(LEFT(TEXT(Table1[Date],"mmmm"),3))&amp;" "&amp;TEXT(Table1[Date],"yyyy")</f>
        <v>MAR 2020</v>
      </c>
      <c r="AX142" s="10">
        <f>VLOOKUP(Table1[[#This Row],[Location]],'Tab for Charts'!$A$93:$B$103,2,FALSE)</f>
        <v>38.903509999999997</v>
      </c>
      <c r="AY142" s="10">
        <f>VLOOKUP(Table1[[#This Row],[Location]],'Tab for Charts'!$A$93:$C$103,3,FALSE)</f>
        <v>-77.051809000000006</v>
      </c>
    </row>
    <row r="143" spans="1:51">
      <c r="A143">
        <v>142</v>
      </c>
      <c r="B143">
        <f t="shared" si="162"/>
        <v>8</v>
      </c>
      <c r="C143" s="1">
        <v>43902</v>
      </c>
      <c r="D143" s="8">
        <f>59+29/60</f>
        <v>59.483333333333334</v>
      </c>
      <c r="E143">
        <f>14+ROW()/10000000000000</f>
        <v>14.0000000000143</v>
      </c>
      <c r="F143">
        <f>576+ROW()/1000000000000</f>
        <v>576.00000000014302</v>
      </c>
      <c r="G143">
        <f>118</f>
        <v>118</v>
      </c>
      <c r="H143">
        <v>169</v>
      </c>
      <c r="I143">
        <f>25+10/60</f>
        <v>25.166666666666668</v>
      </c>
      <c r="J143">
        <f>7+34/60</f>
        <v>7.5666666666666664</v>
      </c>
      <c r="K143">
        <f>12+22/60</f>
        <v>12.366666666666667</v>
      </c>
      <c r="L143">
        <f>13+ROW()/100000000000000</f>
        <v>13.00000000000143</v>
      </c>
      <c r="M143">
        <f>1+23/60</f>
        <v>1.3833333333333333</v>
      </c>
      <c r="N143" t="s">
        <v>198</v>
      </c>
      <c r="O143" t="s">
        <v>45</v>
      </c>
      <c r="P143" t="s">
        <v>200</v>
      </c>
      <c r="Q143" s="34">
        <f t="shared" si="178"/>
        <v>2</v>
      </c>
      <c r="R143" s="10" t="str">
        <f t="shared" si="179"/>
        <v>Correct</v>
      </c>
      <c r="S143" t="str">
        <f t="shared" si="180"/>
        <v>3-2020</v>
      </c>
      <c r="T143" t="str">
        <f t="shared" si="181"/>
        <v>Thursday</v>
      </c>
      <c r="U143">
        <f t="shared" si="182"/>
        <v>1</v>
      </c>
      <c r="V143" s="8">
        <f>IFERROR(Table1[[#This Row],[ClassLength]]/Table1[[#This Row],[Splat]],0)</f>
        <v>4.2488095238051837</v>
      </c>
      <c r="W143" s="10">
        <f t="shared" si="183"/>
        <v>1</v>
      </c>
      <c r="X143" s="10">
        <f t="shared" si="184"/>
        <v>0</v>
      </c>
      <c r="Y143" s="10">
        <f t="shared" si="185"/>
        <v>0</v>
      </c>
      <c r="Z143" s="5">
        <f t="shared" si="189"/>
        <v>0.42308769963575232</v>
      </c>
      <c r="AA143" s="5">
        <f t="shared" si="189"/>
        <v>0.12720650042028578</v>
      </c>
      <c r="AB143" s="5">
        <f t="shared" si="189"/>
        <v>0.20790137293359484</v>
      </c>
      <c r="AC143" s="5">
        <f t="shared" si="189"/>
        <v>0.21854861305690271</v>
      </c>
      <c r="AD143" s="5">
        <f t="shared" si="189"/>
        <v>2.3255813953488372E-2</v>
      </c>
      <c r="AE143" s="7">
        <f t="shared" si="186"/>
        <v>232.14</v>
      </c>
      <c r="AF143" s="7">
        <f t="shared" si="187"/>
        <v>29.017499999999998</v>
      </c>
      <c r="AG143" s="8">
        <f t="shared" si="163"/>
        <v>589.00000000005491</v>
      </c>
      <c r="AH143" s="8">
        <f t="shared" si="164"/>
        <v>13.00000000040418</v>
      </c>
      <c r="AI143">
        <f>YEAR(Table1[[#This Row],[Date]])</f>
        <v>2020</v>
      </c>
      <c r="AK143">
        <v>12</v>
      </c>
      <c r="AL143" s="8">
        <f>Table1[[#This Row],[Calories]]/Table1[[#This Row],[ClassLength]]</f>
        <v>9.6833847015994898</v>
      </c>
      <c r="AM143" s="10" t="str">
        <f>RIGHT(Table1[[#This Row],[Time]],2)</f>
        <v>PM</v>
      </c>
      <c r="AN143" s="10" t="str">
        <f>Table1[[#This Row],[Mon_Yr]]&amp;"-"&amp;WEEKNUM(Table1[[#This Row],[Date]],1)-WEEKNUM(DATE(YEAR(Table1[[#This Row],[Date]]),MONTH(Table1[[#This Row],[Date]]),1),1)+1</f>
        <v>3-2020-2</v>
      </c>
      <c r="AO143" s="10">
        <f>MONTH(Table1[[#This Row],[Date]])</f>
        <v>3</v>
      </c>
      <c r="AP143" s="8">
        <f>IFERROR(Table1[[#This Row],[Calories]]/Table1[[#This Row],[Splat]],0)</f>
        <v>41.142857142825335</v>
      </c>
      <c r="AQ143" s="10">
        <f>COUNTIF(Table1[Location],Table1[[#This Row],[Location]])</f>
        <v>3</v>
      </c>
      <c r="AR143" s="10">
        <f>IF(AND(Table1[[#This Row],[Calories]]&gt;=600,Table1[[#This Row],[Splat]]&gt;=12),1,0)</f>
        <v>0</v>
      </c>
      <c r="AS143" s="10">
        <f>IF(AND(Table1[[#This Row],[Calories]]&gt;=500,Table1[[#This Row],[Splat]]&gt;=12),1,0)</f>
        <v>1</v>
      </c>
      <c r="AT143" s="8">
        <f>Table1[[#This Row],[ClassLength]]/Table1[[#This Row],[Calories]]</f>
        <v>0.10326967592590029</v>
      </c>
      <c r="AU143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43" s="10">
        <f>COUNTIF(Table1[Trainer],Table1[[#This Row],[Trainer]])</f>
        <v>3</v>
      </c>
      <c r="AW143" s="10" t="str">
        <f>UPPER(LEFT(TEXT(Table1[Date],"mmmm"),3))&amp;" "&amp;TEXT(Table1[Date],"yyyy")</f>
        <v>MAR 2020</v>
      </c>
      <c r="AX143" s="10">
        <f>VLOOKUP(Table1[[#This Row],[Location]],'Tab for Charts'!$A$93:$B$103,2,FALSE)</f>
        <v>38.915415000000003</v>
      </c>
      <c r="AY143" s="10">
        <f>VLOOKUP(Table1[[#This Row],[Location]],'Tab for Charts'!$A$93:$C$103,3,FALSE)</f>
        <v>-77.067172999999997</v>
      </c>
    </row>
    <row r="144" spans="1:51">
      <c r="A144">
        <v>143</v>
      </c>
      <c r="B144">
        <f t="shared" si="162"/>
        <v>8</v>
      </c>
      <c r="C144" s="1">
        <v>43904</v>
      </c>
      <c r="D144" s="8">
        <f>56+14/60</f>
        <v>56.233333333333334</v>
      </c>
      <c r="E144">
        <f>0</f>
        <v>0</v>
      </c>
      <c r="F144">
        <f>525+ROW()/1000000000000000000</f>
        <v>525</v>
      </c>
      <c r="G144">
        <f>116</f>
        <v>116</v>
      </c>
      <c r="H144">
        <v>146</v>
      </c>
      <c r="I144">
        <f>16+38/60</f>
        <v>16.633333333333333</v>
      </c>
      <c r="J144">
        <f>20+16/60</f>
        <v>20.266666666666666</v>
      </c>
      <c r="K144">
        <f>19+20/60</f>
        <v>19.333333333333332</v>
      </c>
      <c r="L144">
        <v>0</v>
      </c>
      <c r="M144">
        <v>0</v>
      </c>
      <c r="N144" t="s">
        <v>210</v>
      </c>
      <c r="O144" t="s">
        <v>211</v>
      </c>
      <c r="P144" t="s">
        <v>212</v>
      </c>
      <c r="Q144" s="34">
        <f t="shared" si="178"/>
        <v>2</v>
      </c>
      <c r="R144" s="10" t="str">
        <f t="shared" si="179"/>
        <v>Correct</v>
      </c>
      <c r="S144" t="str">
        <f t="shared" si="180"/>
        <v>3-2020</v>
      </c>
      <c r="T144" t="str">
        <f t="shared" si="181"/>
        <v>Saturday</v>
      </c>
      <c r="U144">
        <f t="shared" si="182"/>
        <v>0</v>
      </c>
      <c r="V144" s="8">
        <f>IFERROR(Table1[[#This Row],[ClassLength]]/Table1[[#This Row],[Splat]],0)</f>
        <v>0</v>
      </c>
      <c r="W144" s="10">
        <f t="shared" si="183"/>
        <v>1</v>
      </c>
      <c r="X144" s="10">
        <f t="shared" si="184"/>
        <v>0</v>
      </c>
      <c r="Y144" s="10">
        <f t="shared" si="185"/>
        <v>0</v>
      </c>
      <c r="Z144" s="5">
        <f t="shared" si="189"/>
        <v>0.29579134558387671</v>
      </c>
      <c r="AA144" s="5">
        <f t="shared" si="189"/>
        <v>0.36040308239478364</v>
      </c>
      <c r="AB144" s="5">
        <f t="shared" si="189"/>
        <v>0.34380557202133966</v>
      </c>
      <c r="AC144" s="5">
        <f t="shared" si="189"/>
        <v>0</v>
      </c>
      <c r="AD144" s="5">
        <f t="shared" si="189"/>
        <v>0</v>
      </c>
      <c r="AE144" s="7">
        <f t="shared" si="186"/>
        <v>232.14</v>
      </c>
      <c r="AF144" s="7">
        <f t="shared" si="187"/>
        <v>29.017499999999998</v>
      </c>
      <c r="AG144" s="8">
        <f t="shared" si="163"/>
        <v>589.00000000005491</v>
      </c>
      <c r="AH144" s="8">
        <f t="shared" si="164"/>
        <v>13.00000000040418</v>
      </c>
      <c r="AI144">
        <f>YEAR(Table1[[#This Row],[Date]])</f>
        <v>2020</v>
      </c>
      <c r="AK144">
        <v>12</v>
      </c>
      <c r="AL144" s="8">
        <f>Table1[[#This Row],[Calories]]/Table1[[#This Row],[ClassLength]]</f>
        <v>9.3360995850622412</v>
      </c>
      <c r="AM144" s="10" t="str">
        <f>RIGHT(Table1[[#This Row],[Time]],2)</f>
        <v>AM</v>
      </c>
      <c r="AN144" s="10" t="str">
        <f>Table1[[#This Row],[Mon_Yr]]&amp;"-"&amp;WEEKNUM(Table1[[#This Row],[Date]],1)-WEEKNUM(DATE(YEAR(Table1[[#This Row],[Date]]),MONTH(Table1[[#This Row],[Date]]),1),1)+1</f>
        <v>3-2020-2</v>
      </c>
      <c r="AO144" s="10">
        <f>MONTH(Table1[[#This Row],[Date]])</f>
        <v>3</v>
      </c>
      <c r="AP144" s="8">
        <f>IFERROR(Table1[[#This Row],[Calories]]/Table1[[#This Row],[Splat]],0)</f>
        <v>0</v>
      </c>
      <c r="AQ144" s="10">
        <f>COUNTIF(Table1[Location],Table1[[#This Row],[Location]])</f>
        <v>1</v>
      </c>
      <c r="AR144" s="10">
        <f>IF(AND(Table1[[#This Row],[Calories]]&gt;=600,Table1[[#This Row],[Splat]]&gt;=12),1,0)</f>
        <v>0</v>
      </c>
      <c r="AS144" s="10">
        <f>IF(AND(Table1[[#This Row],[Calories]]&gt;=500,Table1[[#This Row],[Splat]]&gt;=12),1,0)</f>
        <v>0</v>
      </c>
      <c r="AT144" s="8">
        <f>Table1[[#This Row],[ClassLength]]/Table1[[#This Row],[Calories]]</f>
        <v>0.10711111111111112</v>
      </c>
      <c r="AU144" s="10">
        <f>IF(AND(Table1[[#This Row],[BlueMin]] &lt;Table1[[#This Row],[GreenMin]],Table1[[#This Row],[OrangeMin]]&lt;Table1[[#This Row],[GreenMin]],Table1[[#This Row],[RedMin]]&lt;Table1[[#This Row],[OrangeMin]],Table1[[#This Row],[GrayMin]]&lt;Table1[[#This Row],[BlueMin]]),1,0)</f>
        <v>0</v>
      </c>
      <c r="AV144" s="10">
        <f>COUNTIF(Table1[Trainer],Table1[[#This Row],[Trainer]])</f>
        <v>1</v>
      </c>
      <c r="AW144" s="10" t="str">
        <f>UPPER(LEFT(TEXT(Table1[Date],"mmmm"),3))&amp;" "&amp;TEXT(Table1[Date],"yyyy")</f>
        <v>MAR 2020</v>
      </c>
      <c r="AX144" s="10">
        <f>VLOOKUP(Table1[[#This Row],[Location]],'Tab for Charts'!$A$93:$B$103,2,FALSE)</f>
        <v>38.934710000000003</v>
      </c>
      <c r="AY144" s="10">
        <f>VLOOKUP(Table1[[#This Row],[Location]],'Tab for Charts'!$A$93:$C$103,3,FALSE)</f>
        <v>-77.058222999999998</v>
      </c>
    </row>
  </sheetData>
  <pageMargins left="0.7" right="0.7" top="0.75" bottom="0.75" header="0.3" footer="0.3"/>
  <ignoredErrors>
    <ignoredError sqref="K105" formula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87E5-3733-DB48-87EC-7E1C61485511}">
  <dimension ref="A1:M15"/>
  <sheetViews>
    <sheetView workbookViewId="0">
      <selection activeCell="A21" sqref="A21"/>
    </sheetView>
  </sheetViews>
  <sheetFormatPr baseColWidth="10" defaultRowHeight="16"/>
  <cols>
    <col min="1" max="1" width="11.1640625" customWidth="1"/>
    <col min="4" max="4" width="11.6640625" customWidth="1"/>
    <col min="5" max="5" width="12.6640625" customWidth="1"/>
    <col min="8" max="8" width="11.1640625" customWidth="1"/>
    <col min="11" max="11" width="11.6640625" customWidth="1"/>
    <col min="12" max="12" width="12.6640625" customWidth="1"/>
  </cols>
  <sheetData>
    <row r="1" spans="1:13">
      <c r="A1" s="78" t="s">
        <v>72</v>
      </c>
      <c r="B1" s="78"/>
      <c r="C1" s="78"/>
      <c r="D1" s="78"/>
      <c r="E1" s="78"/>
      <c r="F1" s="78"/>
      <c r="H1" s="78" t="s">
        <v>73</v>
      </c>
      <c r="I1" s="78"/>
      <c r="J1" s="78"/>
      <c r="K1" s="78"/>
      <c r="L1" s="78"/>
      <c r="M1" s="78"/>
    </row>
    <row r="2" spans="1:13">
      <c r="A2" s="2" t="s">
        <v>47</v>
      </c>
      <c r="B2" s="2" t="s">
        <v>79</v>
      </c>
      <c r="C2" s="2" t="s">
        <v>80</v>
      </c>
      <c r="D2" s="2" t="s">
        <v>81</v>
      </c>
      <c r="E2" s="2" t="s">
        <v>82</v>
      </c>
      <c r="F2" s="2" t="s">
        <v>83</v>
      </c>
      <c r="H2" s="2" t="s">
        <v>47</v>
      </c>
      <c r="I2" s="2" t="s">
        <v>74</v>
      </c>
      <c r="J2" s="2" t="s">
        <v>75</v>
      </c>
      <c r="K2" s="2" t="s">
        <v>76</v>
      </c>
      <c r="L2" s="2" t="s">
        <v>77</v>
      </c>
      <c r="M2" s="2" t="s">
        <v>78</v>
      </c>
    </row>
    <row r="3" spans="1:13">
      <c r="A3" s="4" t="s">
        <v>54</v>
      </c>
      <c r="B3" s="8">
        <f>AVERAGEIF(Table1[Mon_Yr],TimelineData!A3,Table1[GrayMin])</f>
        <v>15.666666666666666</v>
      </c>
      <c r="C3" s="8">
        <f>AVERAGEIF(Table1[Mon_Yr],TimelineData!$A3,Table1[BlueMin])</f>
        <v>18</v>
      </c>
      <c r="D3" s="8">
        <f>AVERAGEIF(Table1[Mon_Yr],TimelineData!$A3,Table1[GreenMin])</f>
        <v>21.666666666666668</v>
      </c>
      <c r="E3" s="8">
        <f>AVERAGEIF(Table1[Mon_Yr],TimelineData!$A3,Table1[OrangeMin])</f>
        <v>1.3333333333333333</v>
      </c>
      <c r="F3" s="8">
        <f>AVERAGEIF(Table1[Mon_Yr],TimelineData!$A3,Table1[RedMin])</f>
        <v>0</v>
      </c>
      <c r="H3" s="4" t="s">
        <v>54</v>
      </c>
      <c r="I3" s="5">
        <f>AVERAGEIF(Table1[Mon_Yr],TimelineData!$H3,Table1[Gray_Perc])</f>
        <v>0.27706832389228037</v>
      </c>
      <c r="J3" s="5">
        <f>AVERAGEIF(Table1[Mon_Yr],TimelineData!$H3,Table1[Blue_Perc])</f>
        <v>0.31832847531577113</v>
      </c>
      <c r="K3" s="5">
        <f>AVERAGEIF(Table1[Mon_Yr],TimelineData!$H3,Table1[Green_Perc])</f>
        <v>0.38109956186181232</v>
      </c>
      <c r="L3" s="5">
        <f>AVERAGEIF(Table1[Mon_Yr],TimelineData!$H3,Table1[Orange_Perc])</f>
        <v>2.3503638930136208E-2</v>
      </c>
      <c r="M3" s="5">
        <f>AVERAGEIF(Table1[Mon_Yr],TimelineData!$H3,Table1[Red_Perc])</f>
        <v>0</v>
      </c>
    </row>
    <row r="4" spans="1:13">
      <c r="A4" s="4" t="s">
        <v>55</v>
      </c>
      <c r="B4" s="8">
        <f>AVERAGEIF(Table1[Mon_Yr],TimelineData!A4,Table1[GrayMin])</f>
        <v>27.205555555555552</v>
      </c>
      <c r="C4" s="8">
        <f>AVERAGEIF(Table1[Mon_Yr],TimelineData!$A4,Table1[BlueMin])</f>
        <v>9.0722222222222229</v>
      </c>
      <c r="D4" s="8">
        <f>AVERAGEIF(Table1[Mon_Yr],TimelineData!$A4,Table1[GreenMin])</f>
        <v>12.4</v>
      </c>
      <c r="E4" s="8">
        <f>AVERAGEIF(Table1[Mon_Yr],TimelineData!$A4,Table1[OrangeMin])</f>
        <v>7.7388888888888898</v>
      </c>
      <c r="F4" s="8">
        <f>AVERAGEIF(Table1[Mon_Yr],TimelineData!$A4,Table1[RedMin])</f>
        <v>0.59444444444444444</v>
      </c>
      <c r="H4" s="4" t="s">
        <v>55</v>
      </c>
      <c r="I4" s="5">
        <f>AVERAGEIF(Table1[Mon_Yr],TimelineData!$H4,Table1[Gray_Perc])</f>
        <v>0.47719936245575295</v>
      </c>
      <c r="J4" s="5">
        <f>AVERAGEIF(Table1[Mon_Yr],TimelineData!$H4,Table1[Blue_Perc])</f>
        <v>0.15911422819663615</v>
      </c>
      <c r="K4" s="5">
        <f>AVERAGEIF(Table1[Mon_Yr],TimelineData!$H4,Table1[Green_Perc])</f>
        <v>0.21751851054351903</v>
      </c>
      <c r="L4" s="5">
        <f>AVERAGEIF(Table1[Mon_Yr],TimelineData!$H4,Table1[Orange_Perc])</f>
        <v>0.1357451440797591</v>
      </c>
      <c r="M4" s="5">
        <f>AVERAGEIF(Table1[Mon_Yr],TimelineData!$H4,Table1[Red_Perc])</f>
        <v>1.0422754724332748E-2</v>
      </c>
    </row>
    <row r="5" spans="1:13">
      <c r="A5" s="4" t="s">
        <v>56</v>
      </c>
      <c r="B5" s="8">
        <f>AVERAGEIF(Table1[Mon_Yr],TimelineData!A5,Table1[GrayMin])</f>
        <v>15.195833333333333</v>
      </c>
      <c r="C5" s="8">
        <f>AVERAGEIF(Table1[Mon_Yr],TimelineData!$A5,Table1[BlueMin])</f>
        <v>14.745833333333334</v>
      </c>
      <c r="D5" s="8">
        <f>AVERAGEIF(Table1[Mon_Yr],TimelineData!$A5,Table1[GreenMin])</f>
        <v>16.183333333333334</v>
      </c>
      <c r="E5" s="8">
        <f>AVERAGEIF(Table1[Mon_Yr],TimelineData!$A5,Table1[OrangeMin])</f>
        <v>9.1708333333333343</v>
      </c>
      <c r="F5" s="8">
        <f>AVERAGEIF(Table1[Mon_Yr],TimelineData!$A5,Table1[RedMin])</f>
        <v>1.2916666666666665</v>
      </c>
      <c r="H5" s="4" t="s">
        <v>56</v>
      </c>
      <c r="I5" s="5">
        <f>AVERAGEIF(Table1[Mon_Yr],TimelineData!$H5,Table1[Gray_Perc])</f>
        <v>0.27203768853031596</v>
      </c>
      <c r="J5" s="5">
        <f>AVERAGEIF(Table1[Mon_Yr],TimelineData!$H5,Table1[Blue_Perc])</f>
        <v>0.26083170177607595</v>
      </c>
      <c r="K5" s="5">
        <f>AVERAGEIF(Table1[Mon_Yr],TimelineData!$H5,Table1[Green_Perc])</f>
        <v>0.28304226173380065</v>
      </c>
      <c r="L5" s="5">
        <f>AVERAGEIF(Table1[Mon_Yr],TimelineData!$H5,Table1[Orange_Perc])</f>
        <v>0.1607347206109071</v>
      </c>
      <c r="M5" s="5">
        <f>AVERAGEIF(Table1[Mon_Yr],TimelineData!$H5,Table1[Red_Perc])</f>
        <v>2.3353627348900376E-2</v>
      </c>
    </row>
    <row r="6" spans="1:13">
      <c r="A6" s="4" t="s">
        <v>57</v>
      </c>
      <c r="B6" s="8">
        <f>AVERAGEIF(Table1[Mon_Yr],TimelineData!A6,Table1[GrayMin])</f>
        <v>11.856666666666666</v>
      </c>
      <c r="C6" s="8">
        <f>AVERAGEIF(Table1[Mon_Yr],TimelineData!$A6,Table1[BlueMin])</f>
        <v>17.556666666666665</v>
      </c>
      <c r="D6" s="8">
        <f>AVERAGEIF(Table1[Mon_Yr],TimelineData!$A6,Table1[GreenMin])</f>
        <v>17.653333333333332</v>
      </c>
      <c r="E6" s="8">
        <f>AVERAGEIF(Table1[Mon_Yr],TimelineData!$A6,Table1[OrangeMin])</f>
        <v>10.113333333333333</v>
      </c>
      <c r="F6" s="8">
        <f>AVERAGEIF(Table1[Mon_Yr],TimelineData!$A6,Table1[RedMin])</f>
        <v>0.17833333333333332</v>
      </c>
      <c r="H6" s="4" t="s">
        <v>57</v>
      </c>
      <c r="I6" s="5">
        <f>AVERAGEIF(Table1[Mon_Yr],TimelineData!$H6,Table1[Gray_Perc])</f>
        <v>0.20478277660480509</v>
      </c>
      <c r="J6" s="5">
        <f>AVERAGEIF(Table1[Mon_Yr],TimelineData!$H6,Table1[Blue_Perc])</f>
        <v>0.30606149951907741</v>
      </c>
      <c r="K6" s="5">
        <f>AVERAGEIF(Table1[Mon_Yr],TimelineData!$H6,Table1[Green_Perc])</f>
        <v>0.30918357486522041</v>
      </c>
      <c r="L6" s="5">
        <f>AVERAGEIF(Table1[Mon_Yr],TimelineData!$H6,Table1[Orange_Perc])</f>
        <v>0.1768114836292031</v>
      </c>
      <c r="M6" s="5">
        <f>AVERAGEIF(Table1[Mon_Yr],TimelineData!$H6,Table1[Red_Perc])</f>
        <v>3.1606653816939967E-3</v>
      </c>
    </row>
    <row r="7" spans="1:13">
      <c r="A7" s="4" t="s">
        <v>58</v>
      </c>
      <c r="B7" s="8">
        <f>AVERAGEIF(Table1[Mon_Yr],TimelineData!A7,Table1[GrayMin])</f>
        <v>11.06969696969697</v>
      </c>
      <c r="C7" s="8">
        <f>AVERAGEIF(Table1[Mon_Yr],TimelineData!$A7,Table1[BlueMin])</f>
        <v>15.69090909090909</v>
      </c>
      <c r="D7" s="8">
        <f>AVERAGEIF(Table1[Mon_Yr],TimelineData!$A7,Table1[GreenMin])</f>
        <v>16.08939393939394</v>
      </c>
      <c r="E7" s="8">
        <f>AVERAGEIF(Table1[Mon_Yr],TimelineData!$A7,Table1[OrangeMin])</f>
        <v>11.612121212121211</v>
      </c>
      <c r="F7" s="8">
        <f>AVERAGEIF(Table1[Mon_Yr],TimelineData!$A7,Table1[RedMin])</f>
        <v>3.8318181818181816</v>
      </c>
      <c r="H7" s="4" t="s">
        <v>58</v>
      </c>
      <c r="I7" s="5">
        <f>AVERAGEIF(Table1[Mon_Yr],TimelineData!$H7,Table1[Gray_Perc])</f>
        <v>0.18885720168154263</v>
      </c>
      <c r="J7" s="5">
        <f>AVERAGEIF(Table1[Mon_Yr],TimelineData!$H7,Table1[Blue_Perc])</f>
        <v>0.26945907330852464</v>
      </c>
      <c r="K7" s="5">
        <f>AVERAGEIF(Table1[Mon_Yr],TimelineData!$H7,Table1[Green_Perc])</f>
        <v>0.27658223359366263</v>
      </c>
      <c r="L7" s="5">
        <f>AVERAGEIF(Table1[Mon_Yr],TimelineData!$H7,Table1[Orange_Perc])</f>
        <v>0.19894553602165885</v>
      </c>
      <c r="M7" s="5">
        <f>AVERAGEIF(Table1[Mon_Yr],TimelineData!$H7,Table1[Red_Perc])</f>
        <v>6.6155955394611263E-2</v>
      </c>
    </row>
    <row r="8" spans="1:13">
      <c r="A8" s="4" t="s">
        <v>59</v>
      </c>
      <c r="B8" s="8">
        <f>AVERAGEIF(Table1[Mon_Yr],TimelineData!A8,Table1[GrayMin])</f>
        <v>14.172727272727274</v>
      </c>
      <c r="C8" s="8">
        <f>AVERAGEIF(Table1[Mon_Yr],TimelineData!$A8,Table1[BlueMin])</f>
        <v>11.633333333333333</v>
      </c>
      <c r="D8" s="8">
        <f>AVERAGEIF(Table1[Mon_Yr],TimelineData!$A8,Table1[GreenMin])</f>
        <v>16.986363636363635</v>
      </c>
      <c r="E8" s="8">
        <f>AVERAGEIF(Table1[Mon_Yr],TimelineData!$A8,Table1[OrangeMin])</f>
        <v>11.059090909090909</v>
      </c>
      <c r="F8" s="8">
        <f>AVERAGEIF(Table1[Mon_Yr],TimelineData!$A8,Table1[RedMin])</f>
        <v>4.0545454545454547</v>
      </c>
      <c r="H8" s="4" t="s">
        <v>59</v>
      </c>
      <c r="I8" s="5">
        <f>AVERAGEIF(Table1[Mon_Yr],TimelineData!$H8,Table1[Gray_Perc])</f>
        <v>0.24397065144204369</v>
      </c>
      <c r="J8" s="5">
        <f>AVERAGEIF(Table1[Mon_Yr],TimelineData!$H8,Table1[Blue_Perc])</f>
        <v>0.20133535350256027</v>
      </c>
      <c r="K8" s="5">
        <f>AVERAGEIF(Table1[Mon_Yr],TimelineData!$H8,Table1[Green_Perc])</f>
        <v>0.29342364323187659</v>
      </c>
      <c r="L8" s="5">
        <f>AVERAGEIF(Table1[Mon_Yr],TimelineData!$H8,Table1[Orange_Perc])</f>
        <v>0.19115502624378813</v>
      </c>
      <c r="M8" s="5">
        <f>AVERAGEIF(Table1[Mon_Yr],TimelineData!$H8,Table1[Red_Perc])</f>
        <v>7.011532557973138E-2</v>
      </c>
    </row>
    <row r="9" spans="1:13">
      <c r="A9" s="4" t="s">
        <v>60</v>
      </c>
      <c r="B9" s="8">
        <f>AVERAGEIF(Table1[Mon_Yr],TimelineData!A9,Table1[GrayMin])</f>
        <v>16.990196078431367</v>
      </c>
      <c r="C9" s="8">
        <f>AVERAGEIF(Table1[Mon_Yr],TimelineData!$A9,Table1[BlueMin])</f>
        <v>12.701960784313725</v>
      </c>
      <c r="D9" s="8">
        <f>AVERAGEIF(Table1[Mon_Yr],TimelineData!$A9,Table1[GreenMin])</f>
        <v>14.050980392156864</v>
      </c>
      <c r="E9" s="8">
        <f>AVERAGEIF(Table1[Mon_Yr],TimelineData!$A9,Table1[OrangeMin])</f>
        <v>10.620588235294118</v>
      </c>
      <c r="F9" s="8">
        <f>AVERAGEIF(Table1[Mon_Yr],TimelineData!$A9,Table1[RedMin])</f>
        <v>2.9294117647058817</v>
      </c>
      <c r="H9" s="4" t="s">
        <v>60</v>
      </c>
      <c r="I9" s="5">
        <f>AVERAGEIF(Table1[Mon_Yr],TimelineData!$H9,Table1[Gray_Perc])</f>
        <v>0.29492243487848513</v>
      </c>
      <c r="J9" s="5">
        <f>AVERAGEIF(Table1[Mon_Yr],TimelineData!$H9,Table1[Blue_Perc])</f>
        <v>0.22268801751770675</v>
      </c>
      <c r="K9" s="5">
        <f>AVERAGEIF(Table1[Mon_Yr],TimelineData!$H9,Table1[Green_Perc])</f>
        <v>0.24575403151209371</v>
      </c>
      <c r="L9" s="5">
        <f>AVERAGEIF(Table1[Mon_Yr],TimelineData!$H9,Table1[Orange_Perc])</f>
        <v>0.1854359683296713</v>
      </c>
      <c r="M9" s="5">
        <f>AVERAGEIF(Table1[Mon_Yr],TimelineData!$H9,Table1[Red_Perc])</f>
        <v>5.1199547762043128E-2</v>
      </c>
    </row>
    <row r="10" spans="1:13">
      <c r="A10" s="4" t="s">
        <v>106</v>
      </c>
      <c r="B10" s="8">
        <f>AVERAGEIF(Table1[Mon_Yr],TimelineData!A10,Table1[GrayMin])</f>
        <v>17.269607843137251</v>
      </c>
      <c r="C10" s="8">
        <f>AVERAGEIF(Table1[Mon_Yr],TimelineData!$A10,Table1[BlueMin])</f>
        <v>10.725490196078434</v>
      </c>
      <c r="D10" s="8">
        <f>AVERAGEIF(Table1[Mon_Yr],TimelineData!$A10,Table1[GreenMin])</f>
        <v>14.466666666666665</v>
      </c>
      <c r="E10" s="8">
        <f>AVERAGEIF(Table1[Mon_Yr],TimelineData!$A10,Table1[OrangeMin])</f>
        <v>10.942156862745099</v>
      </c>
      <c r="F10" s="8">
        <f>AVERAGEIF(Table1[Mon_Yr],TimelineData!$A10,Table1[RedMin])</f>
        <v>2.9078431372549023</v>
      </c>
      <c r="H10" s="4" t="s">
        <v>106</v>
      </c>
      <c r="I10" s="5">
        <f>AVERAGEIF(Table1[Mon_Yr],TimelineData!$H10,Table1[Gray_Perc])</f>
        <v>0.30619591165745436</v>
      </c>
      <c r="J10" s="5">
        <f>AVERAGEIF(Table1[Mon_Yr],TimelineData!$H10,Table1[Blue_Perc])</f>
        <v>0.19092940311322337</v>
      </c>
      <c r="K10" s="5">
        <f>AVERAGEIF(Table1[Mon_Yr],TimelineData!$H10,Table1[Green_Perc])</f>
        <v>0.25768734159019546</v>
      </c>
      <c r="L10" s="5">
        <f>AVERAGEIF(Table1[Mon_Yr],TimelineData!$H10,Table1[Orange_Perc])</f>
        <v>0.1938432248630437</v>
      </c>
      <c r="M10" s="5">
        <f>AVERAGEIF(Table1[Mon_Yr],TimelineData!$H10,Table1[Red_Perc])</f>
        <v>5.1344118776083157E-2</v>
      </c>
    </row>
    <row r="11" spans="1:13">
      <c r="A11" s="4" t="s">
        <v>159</v>
      </c>
      <c r="B11" s="8">
        <f>AVERAGEIF(Table1[Mon_Yr],TimelineData!A11,Table1[GrayMin])</f>
        <v>14.382222222222222</v>
      </c>
      <c r="C11" s="8">
        <f>AVERAGEIF(Table1[Mon_Yr],TimelineData!$A11,Table1[BlueMin])</f>
        <v>11.887777777777778</v>
      </c>
      <c r="D11" s="8">
        <f>AVERAGEIF(Table1[Mon_Yr],TimelineData!$A11,Table1[GreenMin])</f>
        <v>14.547777777777778</v>
      </c>
      <c r="E11" s="8">
        <f>AVERAGEIF(Table1[Mon_Yr],TimelineData!$A11,Table1[OrangeMin])</f>
        <v>11.21111111111111</v>
      </c>
      <c r="F11" s="8">
        <f>AVERAGEIF(Table1[Mon_Yr],TimelineData!$A11,Table1[RedMin])</f>
        <v>3.7855555555555549</v>
      </c>
      <c r="H11" s="4" t="s">
        <v>159</v>
      </c>
      <c r="I11" s="5">
        <f>AVERAGEIF(Table1[Mon_Yr],TimelineData!$H11,Table1[Gray_Perc])</f>
        <v>0.25708717986612684</v>
      </c>
      <c r="J11" s="5">
        <f>AVERAGEIF(Table1[Mon_Yr],TimelineData!$H11,Table1[Blue_Perc])</f>
        <v>0.21278833722747459</v>
      </c>
      <c r="K11" s="5">
        <f>AVERAGEIF(Table1[Mon_Yr],TimelineData!$H11,Table1[Green_Perc])</f>
        <v>0.25899982568459123</v>
      </c>
      <c r="L11" s="5">
        <f>AVERAGEIF(Table1[Mon_Yr],TimelineData!$H11,Table1[Orange_Perc])</f>
        <v>0.20224244702236499</v>
      </c>
      <c r="M11" s="5">
        <f>AVERAGEIF(Table1[Mon_Yr],TimelineData!$H11,Table1[Red_Perc])</f>
        <v>6.8740254440630436E-2</v>
      </c>
    </row>
    <row r="12" spans="1:13">
      <c r="A12" s="4" t="s">
        <v>174</v>
      </c>
      <c r="B12" s="8">
        <f>AVERAGEIF(Table1[Mon_Yr],TimelineData!A12,Table1[GrayMin])</f>
        <v>13.767857142857141</v>
      </c>
      <c r="C12" s="8">
        <f>AVERAGEIF(Table1[Mon_Yr],TimelineData!$A12,Table1[BlueMin])</f>
        <v>12.204761904761906</v>
      </c>
      <c r="D12" s="8">
        <f>AVERAGEIF(Table1[Mon_Yr],TimelineData!$A12,Table1[GreenMin])</f>
        <v>16.659523809523812</v>
      </c>
      <c r="E12" s="8">
        <f>AVERAGEIF(Table1[Mon_Yr],TimelineData!$A12,Table1[OrangeMin])</f>
        <v>13.352380952380951</v>
      </c>
      <c r="F12" s="8">
        <f>AVERAGEIF(Table1[Mon_Yr],TimelineData!$A12,Table1[RedMin])</f>
        <v>1.6976190476190478</v>
      </c>
      <c r="H12" s="4" t="s">
        <v>174</v>
      </c>
      <c r="I12" s="5">
        <f>AVERAGEIF(Table1[Mon_Yr],TimelineData!$H12,Table1[Gray_Perc])</f>
        <v>0.23697437558364939</v>
      </c>
      <c r="J12" s="5">
        <f>AVERAGEIF(Table1[Mon_Yr],TimelineData!$H12,Table1[Blue_Perc])</f>
        <v>0.21260839673273818</v>
      </c>
      <c r="K12" s="5">
        <f>AVERAGEIF(Table1[Mon_Yr],TimelineData!$H12,Table1[Green_Perc])</f>
        <v>0.28983138919321283</v>
      </c>
      <c r="L12" s="5">
        <f>AVERAGEIF(Table1[Mon_Yr],TimelineData!$H12,Table1[Orange_Perc])</f>
        <v>0.23098092705401421</v>
      </c>
      <c r="M12" s="5">
        <f>AVERAGEIF(Table1[Mon_Yr],TimelineData!$H12,Table1[Red_Perc])</f>
        <v>2.9667576273468801E-2</v>
      </c>
    </row>
    <row r="13" spans="1:13">
      <c r="A13" s="4" t="s">
        <v>188</v>
      </c>
      <c r="B13" s="8">
        <f>AVERAGEIF(Table1[Mon_Yr],TimelineData!A13,Table1[GrayMin])</f>
        <v>15.824999999999999</v>
      </c>
      <c r="C13" s="8">
        <f>AVERAGEIF(Table1[Mon_Yr],TimelineData!$A13,Table1[BlueMin])</f>
        <v>11.761904761904761</v>
      </c>
      <c r="D13" s="8">
        <f>AVERAGEIF(Table1[Mon_Yr],TimelineData!$A13,Table1[GreenMin])</f>
        <v>15.298809523809522</v>
      </c>
      <c r="E13" s="8">
        <f>AVERAGEIF(Table1[Mon_Yr],TimelineData!$A13,Table1[OrangeMin])</f>
        <v>10.219047619047618</v>
      </c>
      <c r="F13" s="8">
        <f>AVERAGEIF(Table1[Mon_Yr],TimelineData!$A13,Table1[RedMin])</f>
        <v>4.3071428571428569</v>
      </c>
      <c r="H13" s="4" t="s">
        <v>188</v>
      </c>
      <c r="I13" s="5">
        <f>AVERAGEIF(Table1[Mon_Yr],TimelineData!$H13,Table1[Gray_Perc])</f>
        <v>0.27485360241678175</v>
      </c>
      <c r="J13" s="5">
        <f>AVERAGEIF(Table1[Mon_Yr],TimelineData!$H13,Table1[Blue_Perc])</f>
        <v>0.20448266714039848</v>
      </c>
      <c r="K13" s="5">
        <f>AVERAGEIF(Table1[Mon_Yr],TimelineData!$H13,Table1[Green_Perc])</f>
        <v>0.2685049527308131</v>
      </c>
      <c r="L13" s="5">
        <f>AVERAGEIF(Table1[Mon_Yr],TimelineData!$H13,Table1[Orange_Perc])</f>
        <v>0.17768836474155253</v>
      </c>
      <c r="M13" s="5">
        <f>AVERAGEIF(Table1[Mon_Yr],TimelineData!$H13,Table1[Red_Perc])</f>
        <v>7.430839959628259E-2</v>
      </c>
    </row>
    <row r="14" spans="1:13">
      <c r="A14" s="4" t="s">
        <v>193</v>
      </c>
      <c r="B14" s="8">
        <f>AVERAGEIF(Table1[Mon_Yr],TimelineData!A14,Table1[GrayMin])</f>
        <v>15.013541666666667</v>
      </c>
      <c r="C14" s="8">
        <f>AVERAGEIF(Table1[Mon_Yr],TimelineData!$A14,Table1[BlueMin])</f>
        <v>12.853124999999999</v>
      </c>
      <c r="D14" s="8">
        <f>AVERAGEIF(Table1[Mon_Yr],TimelineData!$A14,Table1[GreenMin])</f>
        <v>14.897916666666665</v>
      </c>
      <c r="E14" s="8">
        <f>AVERAGEIF(Table1[Mon_Yr],TimelineData!$A14,Table1[OrangeMin])</f>
        <v>10.447916666666668</v>
      </c>
      <c r="F14" s="8">
        <f>AVERAGEIF(Table1[Mon_Yr],TimelineData!$A14,Table1[RedMin])</f>
        <v>3.1187499999999995</v>
      </c>
      <c r="H14" s="4" t="s">
        <v>193</v>
      </c>
      <c r="I14" s="5">
        <f>AVERAGEIF(Table1[Mon_Yr],TimelineData!$H14,Table1[Gray_Perc])</f>
        <v>0.2623863802483109</v>
      </c>
      <c r="J14" s="5">
        <f>AVERAGEIF(Table1[Mon_Yr],TimelineData!$H14,Table1[Blue_Perc])</f>
        <v>0.22970079548853786</v>
      </c>
      <c r="K14" s="5">
        <f>AVERAGEIF(Table1[Mon_Yr],TimelineData!$H14,Table1[Green_Perc])</f>
        <v>0.26702216632960163</v>
      </c>
      <c r="L14" s="5">
        <f>AVERAGEIF(Table1[Mon_Yr],TimelineData!$H14,Table1[Orange_Perc])</f>
        <v>0.18537238859752858</v>
      </c>
      <c r="M14" s="5">
        <f>AVERAGEIF(Table1[Mon_Yr],TimelineData!$H14,Table1[Red_Perc])</f>
        <v>5.5502153707721678E-2</v>
      </c>
    </row>
    <row r="15" spans="1:13">
      <c r="A15" s="4" t="s">
        <v>208</v>
      </c>
      <c r="B15" s="8">
        <f>AVERAGEIF(Table1[Mon_Yr],TimelineData!A15,Table1[GrayMin])</f>
        <v>18.331249999999997</v>
      </c>
      <c r="C15" s="8">
        <f>AVERAGEIF(Table1[Mon_Yr],TimelineData!$A15,Table1[BlueMin])</f>
        <v>12.177083333333332</v>
      </c>
      <c r="D15" s="8">
        <f>AVERAGEIF(Table1[Mon_Yr],TimelineData!$A15,Table1[GreenMin])</f>
        <v>14.156249999999998</v>
      </c>
      <c r="E15" s="8">
        <f>AVERAGEIF(Table1[Mon_Yr],TimelineData!$A15,Table1[OrangeMin])</f>
        <v>11.495833333333513</v>
      </c>
      <c r="F15" s="8">
        <f>AVERAGEIF(Table1[Mon_Yr],TimelineData!$A15,Table1[RedMin])</f>
        <v>1.3916666666666666</v>
      </c>
      <c r="H15" s="4" t="s">
        <v>208</v>
      </c>
      <c r="I15" s="5">
        <f>AVERAGEIF(Table1[Mon_Yr],TimelineData!$H15,Table1[Gray_Perc])</f>
        <v>0.31623086453668048</v>
      </c>
      <c r="J15" s="5">
        <f>AVERAGEIF(Table1[Mon_Yr],TimelineData!$H15,Table1[Blue_Perc])</f>
        <v>0.21273645459768048</v>
      </c>
      <c r="K15" s="5">
        <f>AVERAGEIF(Table1[Mon_Yr],TimelineData!$H15,Table1[Green_Perc])</f>
        <v>0.24685855084573594</v>
      </c>
      <c r="L15" s="5">
        <f>AVERAGEIF(Table1[Mon_Yr],TimelineData!$H15,Table1[Orange_Perc])</f>
        <v>0.19999615612711724</v>
      </c>
      <c r="M15" s="5">
        <f>AVERAGEIF(Table1[Mon_Yr],TimelineData!$H15,Table1[Red_Perc])</f>
        <v>2.4177973892788883E-2</v>
      </c>
    </row>
  </sheetData>
  <mergeCells count="2">
    <mergeCell ref="A1:F1"/>
    <mergeCell ref="H1:M1"/>
  </mergeCells>
  <phoneticPr fontId="4" type="noConversion"/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FB827-E5C4-CF46-AC8F-0E3CA77124CC}">
  <dimension ref="A1:AD103"/>
  <sheetViews>
    <sheetView tabSelected="1" topLeftCell="A45" zoomScaleNormal="100" workbookViewId="0">
      <selection activeCell="E48" sqref="E48"/>
    </sheetView>
  </sheetViews>
  <sheetFormatPr baseColWidth="10" defaultRowHeight="16"/>
  <cols>
    <col min="1" max="1" width="11.1640625" customWidth="1"/>
    <col min="2" max="2" width="16.83203125" customWidth="1"/>
    <col min="3" max="3" width="12" customWidth="1"/>
    <col min="4" max="4" width="13.83203125" customWidth="1"/>
    <col min="9" max="9" width="25" customWidth="1"/>
    <col min="10" max="10" width="18.33203125" customWidth="1"/>
    <col min="11" max="11" width="15.1640625" customWidth="1"/>
    <col min="12" max="12" width="17.5" customWidth="1"/>
    <col min="13" max="13" width="16.83203125" customWidth="1"/>
    <col min="14" max="14" width="10.83203125" style="10"/>
    <col min="22" max="22" width="11.5" customWidth="1"/>
    <col min="25" max="25" width="29" bestFit="1" customWidth="1"/>
    <col min="29" max="29" width="29" bestFit="1" customWidth="1"/>
    <col min="30" max="30" width="11.5" customWidth="1"/>
  </cols>
  <sheetData>
    <row r="1" spans="1:30">
      <c r="A1" s="14" t="s">
        <v>176</v>
      </c>
      <c r="B1" s="13"/>
      <c r="C1" s="13"/>
      <c r="D1" s="13"/>
      <c r="E1" s="13"/>
      <c r="F1" s="13"/>
      <c r="G1" s="13"/>
      <c r="H1" s="13"/>
      <c r="I1" t="s">
        <v>96</v>
      </c>
      <c r="J1" t="s">
        <v>97</v>
      </c>
      <c r="K1" t="s">
        <v>98</v>
      </c>
      <c r="L1" t="s">
        <v>197</v>
      </c>
      <c r="M1" t="s">
        <v>100</v>
      </c>
      <c r="N1" s="10" t="s">
        <v>196</v>
      </c>
      <c r="P1" t="s">
        <v>123</v>
      </c>
      <c r="Q1" s="2" t="s">
        <v>5</v>
      </c>
      <c r="R1" t="s">
        <v>125</v>
      </c>
      <c r="T1" t="s">
        <v>169</v>
      </c>
      <c r="V1">
        <v>3</v>
      </c>
      <c r="X1" t="s">
        <v>123</v>
      </c>
      <c r="Y1" t="s">
        <v>4</v>
      </c>
      <c r="Z1" t="s">
        <v>168</v>
      </c>
      <c r="AB1" t="s">
        <v>169</v>
      </c>
      <c r="AD1">
        <v>3</v>
      </c>
    </row>
    <row r="2" spans="1:30">
      <c r="A2" s="41" t="s">
        <v>179</v>
      </c>
      <c r="B2" s="42"/>
      <c r="C2" s="42"/>
      <c r="D2" s="42"/>
      <c r="E2" s="42"/>
      <c r="F2" s="42"/>
      <c r="G2" s="42"/>
      <c r="H2" s="42"/>
      <c r="I2" s="4" t="s">
        <v>180</v>
      </c>
      <c r="J2" s="43"/>
      <c r="K2" s="7"/>
      <c r="L2" s="10" t="e">
        <f>NA()</f>
        <v>#N/A</v>
      </c>
      <c r="M2" s="43" t="e">
        <f>NA()</f>
        <v>#N/A</v>
      </c>
      <c r="N2" s="71" t="e">
        <f>NA()</f>
        <v>#N/A</v>
      </c>
      <c r="P2">
        <v>1</v>
      </c>
      <c r="Q2" t="str">
        <f t="array" ref="Q2">IFERROR(INDEX(Table1[Trainer],MATCH(0,COUNTIF('Tab for Charts'!$Q$1:'Tab for Charts'!Q1,Table1[Trainer]),0)),"")</f>
        <v>Audrey</v>
      </c>
      <c r="R2">
        <f>COUNTIF(Table1[Trainer],Table4[[#This Row],[Trainer]])</f>
        <v>13</v>
      </c>
      <c r="T2" t="s">
        <v>123</v>
      </c>
      <c r="U2" t="s">
        <v>5</v>
      </c>
      <c r="V2" t="s">
        <v>168</v>
      </c>
      <c r="X2">
        <v>1</v>
      </c>
      <c r="Y2" s="11" t="str">
        <f t="array" ref="Y2">IFERROR(INDEX(Table1[Location],MATCH(0,COUNTIF('Tab for Charts'!$Q$1:'Tab for Charts'!Y1,Table1[Location]),0)),"")</f>
        <v>Dunn Lorring, VA</v>
      </c>
      <c r="Z2">
        <f>COUNTIF(Table1[Location],Table8[[#This Row],[Location]])</f>
        <v>35</v>
      </c>
      <c r="AB2" t="s">
        <v>123</v>
      </c>
      <c r="AC2" t="s">
        <v>4</v>
      </c>
      <c r="AD2" t="s">
        <v>168</v>
      </c>
    </row>
    <row r="3" spans="1:30">
      <c r="A3" t="s">
        <v>120</v>
      </c>
      <c r="B3">
        <v>2</v>
      </c>
      <c r="I3" s="4" t="s">
        <v>181</v>
      </c>
      <c r="J3" s="43"/>
      <c r="K3" s="7"/>
      <c r="L3" s="10" t="e">
        <f>NA()</f>
        <v>#N/A</v>
      </c>
      <c r="M3" s="43" t="e">
        <f>NA()</f>
        <v>#N/A</v>
      </c>
      <c r="N3" s="71" t="e">
        <f>NA()</f>
        <v>#N/A</v>
      </c>
      <c r="P3">
        <f>P2+1</f>
        <v>2</v>
      </c>
      <c r="Q3" t="str">
        <f t="array" ref="Q3">IFERROR(INDEX(Table1[Trainer],MATCH(0,COUNTIF('Tab for Charts'!$Q$1:'Tab for Charts'!Q2,Table1[Trainer]),0)),"")</f>
        <v>Kandace</v>
      </c>
      <c r="R3">
        <f>COUNTIF(Table1[Trainer],Table4[[#This Row],[Trainer]])</f>
        <v>10</v>
      </c>
      <c r="T3">
        <v>1</v>
      </c>
      <c r="U3" t="str">
        <f>IFERROR(INDEX(Table4[Trainer],SMALL(IF(Table4[Column1]&gt;=$V$1,ROW(Table4[Trainer])),ROW(1:1))-1,1),"")</f>
        <v>Audrey</v>
      </c>
      <c r="V3">
        <f>INDEX(Table4[Column1],MATCH(U3,Table4[Trainer],0))</f>
        <v>13</v>
      </c>
      <c r="X3">
        <v>2</v>
      </c>
      <c r="Y3" t="str">
        <f t="array" ref="Y3">IFERROR(INDEX(Table1[Location],MATCH(0,COUNTIF('Tab for Charts'!$Q$1:'Tab for Charts'!Y2,Table1[Location]),0)),"")</f>
        <v>Rosslyn, VA</v>
      </c>
      <c r="Z3">
        <f>COUNTIF(Table1[Location],Table8[[#This Row],[Location]])</f>
        <v>1</v>
      </c>
      <c r="AB3">
        <v>1</v>
      </c>
      <c r="AC3" t="str">
        <f t="array" ref="AC3">IFERROR(INDEX(Table8[Location],SMALL(IF(Table8[Workouts]&gt;=$AD$1,ROW(Table8[Location])),ROW(1:1))-1,1),"")</f>
        <v>Dunn Lorring, VA</v>
      </c>
      <c r="AD3">
        <f>INDEX(Table8[Workouts],MATCH(AC3,Table8[Location],0))</f>
        <v>35</v>
      </c>
    </row>
    <row r="4" spans="1:30">
      <c r="I4" s="4" t="s">
        <v>54</v>
      </c>
      <c r="J4" s="7">
        <f>(199/12)*L4</f>
        <v>49.75</v>
      </c>
      <c r="K4" s="7">
        <v>83.74</v>
      </c>
      <c r="L4" s="10">
        <f>COUNTIF(Data!$S:$S,'Tab for Charts'!I4)</f>
        <v>3</v>
      </c>
      <c r="M4" s="43">
        <f t="shared" ref="M4:M13" si="0">SUM(J4:K4)/L4</f>
        <v>44.49666666666667</v>
      </c>
      <c r="N4" s="71">
        <v>12</v>
      </c>
      <c r="P4">
        <f t="shared" ref="P4:P23" si="1">P3+1</f>
        <v>3</v>
      </c>
      <c r="Q4" t="str">
        <f t="array" ref="Q4">IFERROR(INDEX(Table1[Trainer],MATCH(0,COUNTIF('Tab for Charts'!$Q$1:'Tab for Charts'!Q3,Table1[Trainer]),0)),"")</f>
        <v>Kacie</v>
      </c>
      <c r="R4">
        <f>COUNTIF(Table1[Trainer],Table4[[#This Row],[Trainer]])</f>
        <v>2</v>
      </c>
      <c r="T4">
        <f>T3+1</f>
        <v>2</v>
      </c>
      <c r="U4" t="str">
        <f t="array" ref="U4">IFERROR(INDEX(Table4[Trainer],SMALL(IF(Table4[Column1]&gt;=$V$1,ROW(Table4[Trainer])),ROW(2:2))-1,1),"")</f>
        <v>Kandace</v>
      </c>
      <c r="V4">
        <f>INDEX(Table4[Column1],MATCH(U4,Table4[Trainer],0))</f>
        <v>10</v>
      </c>
      <c r="X4">
        <v>3</v>
      </c>
      <c r="Y4" s="11" t="str">
        <f t="array" ref="Y4">IFERROR(INDEX(Table1[Location],MATCH(0,COUNTIF('Tab for Charts'!$Q$1:'Tab for Charts'!Y3,Table1[Location]),0)),"")</f>
        <v>14th Street, DC</v>
      </c>
      <c r="Z4">
        <f>COUNTIF(Table1[Location],Table8[[#This Row],[Location]])</f>
        <v>48</v>
      </c>
      <c r="AB4">
        <f>AB3+1</f>
        <v>2</v>
      </c>
      <c r="AC4" t="str">
        <f t="array" ref="AC4">IFERROR(INDEX(Table8[Location],SMALL(IF(Table8[Workouts]&gt;=$AD$1,ROW(Table8[Location])),ROW(2:2))-1,1),"")</f>
        <v>14th Street, DC</v>
      </c>
      <c r="AD4">
        <f>INDEX(Table8[Workouts],MATCH(AC4,Table8[Location],0))</f>
        <v>48</v>
      </c>
    </row>
    <row r="5" spans="1:30">
      <c r="A5" t="s">
        <v>41</v>
      </c>
      <c r="B5" t="s">
        <v>42</v>
      </c>
      <c r="C5" t="s">
        <v>43</v>
      </c>
      <c r="I5" s="4" t="s">
        <v>55</v>
      </c>
      <c r="J5" s="7">
        <f>(199/12)*L5</f>
        <v>49.75</v>
      </c>
      <c r="K5" s="7"/>
      <c r="L5" s="10">
        <f>COUNTIF(Data!$S:$S,'Tab for Charts'!I5)</f>
        <v>3</v>
      </c>
      <c r="M5" s="43">
        <f t="shared" si="0"/>
        <v>16.583333333333332</v>
      </c>
      <c r="N5" s="71">
        <v>12</v>
      </c>
      <c r="P5">
        <f t="shared" si="1"/>
        <v>4</v>
      </c>
      <c r="Q5" t="str">
        <f t="array" ref="Q5">IFERROR(INDEX(Table1[Trainer],MATCH(0,COUNTIF('Tab for Charts'!$Q$1:'Tab for Charts'!Q4,Table1[Trainer]),0)),"")</f>
        <v>Courtney</v>
      </c>
      <c r="R5">
        <f>COUNTIF(Table1[Trainer],Table4[[#This Row],[Trainer]])</f>
        <v>1</v>
      </c>
      <c r="T5">
        <f t="shared" ref="T5:T10" si="2">T4+1</f>
        <v>3</v>
      </c>
      <c r="U5" t="str">
        <f t="array" ref="U5">IFERROR(INDEX(Table4[Trainer],SMALL(IF(Table4[Column1]&gt;=$V$1,ROW(Table4[Trainer])),ROW(3:3))-1,1),"")</f>
        <v>Tiffany</v>
      </c>
      <c r="V5">
        <f>INDEX(Table4[Column1],MATCH(U5,Table4[Trainer],0))</f>
        <v>29</v>
      </c>
      <c r="X5">
        <v>4</v>
      </c>
      <c r="Y5" t="str">
        <f t="array" ref="Y5">IFERROR(INDEX(Table1[Location],MATCH(0,COUNTIF('Tab for Charts'!$Q$1:'Tab for Charts'!Y4,Table1[Location]),0)),"")</f>
        <v>Foggy Bottom, DC</v>
      </c>
      <c r="Z5">
        <f>COUNTIF(Table1[Location],Table8[[#This Row],[Location]])</f>
        <v>37</v>
      </c>
      <c r="AB5">
        <f t="shared" ref="AB5:AB6" si="3">AB4+1</f>
        <v>3</v>
      </c>
      <c r="AC5" t="str">
        <f t="array" ref="AC5">IFERROR(INDEX(Table8[Location],SMALL(IF(Table8[Workouts]&gt;=$AD$1,ROW(Table8[Location])),ROW(3:3))-1,1),"")</f>
        <v>Foggy Bottom, DC</v>
      </c>
      <c r="AD5">
        <f>INDEX(Table8[Workouts],MATCH(AC5,Table8[Location],0))</f>
        <v>37</v>
      </c>
    </row>
    <row r="6" spans="1:30">
      <c r="A6">
        <f>COUNTIF(Data!$R:$R,"Correct")</f>
        <v>113</v>
      </c>
      <c r="B6">
        <f>COUNTIF(Data!$R:$R,"Gain")</f>
        <v>17</v>
      </c>
      <c r="C6">
        <f>COUNTIF(Data!$R:$R,"Loss")</f>
        <v>13</v>
      </c>
      <c r="I6" s="4" t="s">
        <v>56</v>
      </c>
      <c r="J6" s="7">
        <f>(199/12)*L6</f>
        <v>66.333333333333329</v>
      </c>
      <c r="K6" s="7"/>
      <c r="L6" s="10">
        <f>COUNTIF(Data!$S:$S,'Tab for Charts'!I6)</f>
        <v>4</v>
      </c>
      <c r="M6" s="43">
        <f t="shared" si="0"/>
        <v>16.583333333333332</v>
      </c>
      <c r="N6" s="71">
        <v>12</v>
      </c>
      <c r="P6">
        <f t="shared" si="1"/>
        <v>5</v>
      </c>
      <c r="Q6" t="str">
        <f t="array" ref="Q6">IFERROR(INDEX(Table1[Trainer],MATCH(0,COUNTIF('Tab for Charts'!$Q$1:'Tab for Charts'!Q5,Table1[Trainer]),0)),"")</f>
        <v>Tiffany</v>
      </c>
      <c r="R6">
        <f>COUNTIF(Table1[Trainer],Table4[[#This Row],[Trainer]])</f>
        <v>29</v>
      </c>
      <c r="T6">
        <f t="shared" si="2"/>
        <v>4</v>
      </c>
      <c r="U6" t="str">
        <f t="array" ref="U6">IFERROR(INDEX(Table4[Trainer],SMALL(IF(Table4[Column1]&gt;=$V$1,ROW(Table4[Trainer])),ROW(4:4))-1,1),"")</f>
        <v>Demi</v>
      </c>
      <c r="V6">
        <f>INDEX(Table4[Column1],MATCH(U6,Table4[Trainer],0))</f>
        <v>12</v>
      </c>
      <c r="X6">
        <v>5</v>
      </c>
      <c r="Y6" t="str">
        <f t="array" ref="Y6">IFERROR(INDEX(Table1[Location],MATCH(0,COUNTIF('Tab for Charts'!$Q$1:'Tab for Charts'!Y5,Table1[Location]),0)),"")</f>
        <v>Thomas Circle, DC</v>
      </c>
      <c r="Z6">
        <f>COUNTIF(Table1[Location],Table8[[#This Row],[Location]])</f>
        <v>3</v>
      </c>
      <c r="AB6">
        <f t="shared" si="3"/>
        <v>4</v>
      </c>
      <c r="AC6" t="str">
        <f t="array" ref="AC6">IFERROR(INDEX(Table8[Location],SMALL(IF(Table8[Workouts]&gt;=$AD$1,ROW(Table8[Location])),ROW(4:4))-1,1),"")</f>
        <v>Thomas Circle, DC</v>
      </c>
      <c r="AD6">
        <f>INDEX(Table8[Workouts],MATCH(AC6,Table8[Location],0))</f>
        <v>3</v>
      </c>
    </row>
    <row r="7" spans="1:30">
      <c r="A7" t="s">
        <v>89</v>
      </c>
      <c r="B7" t="s">
        <v>90</v>
      </c>
      <c r="C7" t="s">
        <v>91</v>
      </c>
      <c r="D7" t="s">
        <v>92</v>
      </c>
      <c r="E7" t="s">
        <v>93</v>
      </c>
      <c r="F7" t="s">
        <v>94</v>
      </c>
      <c r="G7" t="s">
        <v>95</v>
      </c>
      <c r="I7" s="4" t="s">
        <v>57</v>
      </c>
      <c r="J7" s="7">
        <f>232.14+((199/12)*2)</f>
        <v>265.30666666666667</v>
      </c>
      <c r="K7" s="7">
        <v>21.2</v>
      </c>
      <c r="L7" s="10">
        <f>COUNTIF(Data!$S:$S,'Tab for Charts'!I7)</f>
        <v>10</v>
      </c>
      <c r="M7" s="43">
        <f t="shared" si="0"/>
        <v>28.650666666666666</v>
      </c>
      <c r="N7" s="71">
        <v>12</v>
      </c>
      <c r="P7">
        <f t="shared" si="1"/>
        <v>6</v>
      </c>
      <c r="Q7" t="str">
        <f t="array" ref="Q7">IFERROR(INDEX(Table1[Trainer],MATCH(0,COUNTIF('Tab for Charts'!$Q$1:'Tab for Charts'!Q6,Table1[Trainer]),0)),"")</f>
        <v>Demi</v>
      </c>
      <c r="R7">
        <f>COUNTIF(Table1[Trainer],Table4[[#This Row],[Trainer]])</f>
        <v>12</v>
      </c>
      <c r="T7">
        <f t="shared" si="2"/>
        <v>5</v>
      </c>
      <c r="U7" t="str">
        <f t="array" ref="U7">IFERROR(INDEX(Table4[Trainer],SMALL(IF(Table4[Column1]&gt;=$V$1,ROW(Table4[Trainer])),ROW(5:5))-1,1),"")</f>
        <v>Damani</v>
      </c>
      <c r="V7">
        <f>INDEX(Table4[Column1],MATCH(U7,Table4[Trainer],0))</f>
        <v>20</v>
      </c>
      <c r="X7">
        <v>6</v>
      </c>
      <c r="Y7" t="str">
        <f t="array" ref="Y7">IFERROR(INDEX(Table1[Location],MATCH(0,COUNTIF('Tab for Charts'!$Q$1:'Tab for Charts'!Y6,Table1[Location]),0)),"")</f>
        <v>Mt. Vernon Triangle/Shaw, DC</v>
      </c>
      <c r="Z7">
        <f>COUNTIF(Table1[Location],Table8[[#This Row],[Location]])</f>
        <v>3</v>
      </c>
      <c r="AB7">
        <f t="shared" ref="AB7:AB8" si="4">AB6+1</f>
        <v>5</v>
      </c>
      <c r="AC7" t="str">
        <f t="array" ref="AC7">IFERROR(INDEX(Table8[Location],SMALL(IF(Table8[Workouts]&gt;=$AD$1,ROW(Table8[Location])),ROW(5:5))-1,1),"")</f>
        <v>Mt. Vernon Triangle/Shaw, DC</v>
      </c>
      <c r="AD7">
        <f>INDEX(Table8[Workouts],MATCH(AC7,Table8[Location],0))</f>
        <v>3</v>
      </c>
    </row>
    <row r="8" spans="1:30">
      <c r="A8">
        <f>COUNTIF(Data!$T:$T,"Sunday")</f>
        <v>14</v>
      </c>
      <c r="B8">
        <f>COUNTIF(Data!$T:$T,"Monday")</f>
        <v>13</v>
      </c>
      <c r="C8">
        <f>COUNTIF(Data!$T:$T,"Tuesday")</f>
        <v>27</v>
      </c>
      <c r="D8">
        <f>COUNTIF(Data!$T:$T,"Wednesday")</f>
        <v>23</v>
      </c>
      <c r="E8">
        <f>COUNTIF(Data!$T:$T,"Thursday")</f>
        <v>27</v>
      </c>
      <c r="F8">
        <f>COUNTIF(Data!$T:$T,"Friday")</f>
        <v>20</v>
      </c>
      <c r="G8">
        <f>COUNTIF(Data!$T:$T,"Saturday")</f>
        <v>19</v>
      </c>
      <c r="I8" s="4" t="s">
        <v>58</v>
      </c>
      <c r="J8" s="7">
        <v>232.14</v>
      </c>
      <c r="K8" s="7"/>
      <c r="L8" s="10">
        <f>COUNTIF(Data!$S:$S,'Tab for Charts'!I8)</f>
        <v>11</v>
      </c>
      <c r="M8" s="43">
        <f t="shared" si="0"/>
        <v>21.103636363636362</v>
      </c>
      <c r="N8" s="71">
        <v>12</v>
      </c>
      <c r="P8">
        <f t="shared" si="1"/>
        <v>7</v>
      </c>
      <c r="Q8" t="str">
        <f t="array" ref="Q8">IFERROR(INDEX(Table1[Trainer],MATCH(0,COUNTIF('Tab for Charts'!$Q$1:'Tab for Charts'!Q7,Table1[Trainer]),0)),"")</f>
        <v>Damani</v>
      </c>
      <c r="R8">
        <f>COUNTIF(Table1[Trainer],Table4[[#This Row],[Trainer]])</f>
        <v>20</v>
      </c>
      <c r="T8">
        <f t="shared" si="2"/>
        <v>6</v>
      </c>
      <c r="U8" t="str">
        <f t="array" ref="U8">IFERROR(INDEX(Table4[Trainer],SMALL(IF(Table4[Column1]&gt;=$V$1,ROW(Table4[Trainer])),ROW(6:6))-1,1),"")</f>
        <v>Joe</v>
      </c>
      <c r="V8">
        <f>INDEX(Table4[Column1],MATCH(U8,Table4[Trainer],0))</f>
        <v>9</v>
      </c>
      <c r="X8">
        <v>7</v>
      </c>
      <c r="Y8" s="11" t="str">
        <f t="array" ref="Y8">IFERROR(INDEX(Table1[Location],MATCH(0,COUNTIF('Tab for Charts'!$Q$1:'Tab for Charts'!Y7,Table1[Location]),0)),"")</f>
        <v>Navy Yard, DC</v>
      </c>
      <c r="Z8">
        <f>COUNTIF(Table1[Location],Table8[[#This Row],[Location]])</f>
        <v>10</v>
      </c>
      <c r="AB8">
        <f t="shared" si="4"/>
        <v>6</v>
      </c>
      <c r="AC8" t="str">
        <f t="array" ref="AC8">IFERROR(INDEX(Table8[Location],SMALL(IF(Table8[Workouts]&gt;=$AD$1,ROW(Table8[Location])),ROW(6:6))-1,1),"")</f>
        <v>Navy Yard, DC</v>
      </c>
      <c r="AD8">
        <f>INDEX(Table8[Workouts],MATCH(AC8,Table8[Location],0))</f>
        <v>10</v>
      </c>
    </row>
    <row r="9" spans="1:30">
      <c r="A9" s="41" t="s">
        <v>177</v>
      </c>
      <c r="B9" s="42"/>
      <c r="C9" s="42"/>
      <c r="D9" s="42"/>
      <c r="E9" s="42"/>
      <c r="F9" s="42"/>
      <c r="G9" s="42"/>
      <c r="H9" s="42"/>
      <c r="I9" s="4" t="s">
        <v>59</v>
      </c>
      <c r="J9" s="7">
        <v>232.14</v>
      </c>
      <c r="K9" s="7"/>
      <c r="L9" s="10">
        <f>COUNTIF(Data!$S:$S,'Tab for Charts'!I9)</f>
        <v>11</v>
      </c>
      <c r="M9" s="43">
        <f t="shared" si="0"/>
        <v>21.103636363636362</v>
      </c>
      <c r="N9" s="71">
        <v>12</v>
      </c>
      <c r="P9">
        <f t="shared" si="1"/>
        <v>8</v>
      </c>
      <c r="Q9" t="str">
        <f t="array" ref="Q9">IFERROR(INDEX(Table1[Trainer],MATCH(0,COUNTIF('Tab for Charts'!$Q$1:'Tab for Charts'!Q8,Table1[Trainer]),0)),"")</f>
        <v>Chuck</v>
      </c>
      <c r="R9">
        <f>COUNTIF(Table1[Trainer],Table4[[#This Row],[Trainer]])</f>
        <v>1</v>
      </c>
      <c r="T9">
        <f t="shared" si="2"/>
        <v>7</v>
      </c>
      <c r="U9" t="str">
        <f t="array" ref="U9">IFERROR(INDEX(Table4[Trainer],SMALL(IF(Table4[Column1]&gt;=$V$1,ROW(Table4[Trainer])),ROW(7:7))-1,1),"")</f>
        <v>Marcus</v>
      </c>
      <c r="V9">
        <f>INDEX(Table4[Column1],MATCH(U9,Table4[Trainer],0))</f>
        <v>8</v>
      </c>
      <c r="X9">
        <v>8</v>
      </c>
      <c r="Y9" t="str">
        <f t="array" ref="Y9">IFERROR(INDEX(Table1[Location],MATCH(0,COUNTIF('Tab for Charts'!$Q$1:'Tab for Charts'!Y8,Table1[Location]),0)),"")</f>
        <v>Jersey City, NJ</v>
      </c>
      <c r="Z9" s="10">
        <f>COUNTIF(Table1[Location],Table8[[#This Row],[Location]])</f>
        <v>2</v>
      </c>
      <c r="AB9">
        <f>AB8+1</f>
        <v>7</v>
      </c>
      <c r="AC9" t="str">
        <f t="array" ref="AC9">IFERROR(INDEX(Table8[Location],SMALL(IF(Table8[Workouts]&gt;=$AD$1,ROW(Table8[Location])),ROW(7:7))-1,1),"")</f>
        <v>Georgetown, DC</v>
      </c>
      <c r="AD9">
        <f>INDEX(Table8[Workouts],MATCH(AC9,Table8[Location],0))</f>
        <v>3</v>
      </c>
    </row>
    <row r="10" spans="1:30">
      <c r="I10" s="4" t="s">
        <v>60</v>
      </c>
      <c r="J10" s="7">
        <v>232.14</v>
      </c>
      <c r="K10" s="7"/>
      <c r="L10" s="10">
        <f>COUNTIF(Data!$S:$S,'Tab for Charts'!I10)</f>
        <v>17</v>
      </c>
      <c r="M10" s="43">
        <f t="shared" si="0"/>
        <v>13.655294117647058</v>
      </c>
      <c r="N10" s="71">
        <v>12</v>
      </c>
      <c r="P10">
        <f t="shared" si="1"/>
        <v>9</v>
      </c>
      <c r="Q10" t="str">
        <f t="array" ref="Q10">IFERROR(INDEX(Table1[Trainer],MATCH(0,COUNTIF('Tab for Charts'!$Q$1:'Tab for Charts'!Q9,Table1[Trainer]),0)),"")</f>
        <v>Phil</v>
      </c>
      <c r="R10">
        <f>COUNTIF(Table1[Trainer],Table4[[#This Row],[Trainer]])</f>
        <v>1</v>
      </c>
      <c r="T10">
        <f t="shared" si="2"/>
        <v>8</v>
      </c>
      <c r="U10" t="str">
        <f t="array" ref="U10">IFERROR(INDEX(Table4[Trainer],SMALL(IF(Table4[Column1]&gt;=$V$1,ROW(Table4[Trainer])),ROW(8:8))-1,1),"")</f>
        <v>Kara</v>
      </c>
      <c r="V10">
        <f>INDEX(Table4[Column1],MATCH(U10,Table4[Trainer],0))</f>
        <v>5</v>
      </c>
      <c r="X10">
        <v>9</v>
      </c>
      <c r="Y10" s="11" t="str">
        <f t="array" ref="Y10">IFERROR(INDEX(Table1[Location],MATCH(0,COUNTIF('Tab for Charts'!$Q$1:'Tab for Charts'!Y9,Table1[Location]),0)),"")</f>
        <v>Georgetown, DC</v>
      </c>
      <c r="Z10" s="10">
        <f>COUNTIF(Table1[Location],Table8[[#This Row],[Location]])</f>
        <v>3</v>
      </c>
    </row>
    <row r="11" spans="1:30">
      <c r="A11" t="s">
        <v>130</v>
      </c>
      <c r="B11">
        <v>4</v>
      </c>
      <c r="E11" t="s">
        <v>121</v>
      </c>
      <c r="F11">
        <v>8</v>
      </c>
      <c r="I11" s="4" t="s">
        <v>106</v>
      </c>
      <c r="J11" s="7">
        <v>232.14</v>
      </c>
      <c r="K11" s="7">
        <v>95</v>
      </c>
      <c r="L11" s="10">
        <f>COUNTIF(Data!$S:$S,'Tab for Charts'!I11)</f>
        <v>17</v>
      </c>
      <c r="M11" s="43">
        <f t="shared" si="0"/>
        <v>19.243529411764705</v>
      </c>
      <c r="N11" s="71">
        <v>12</v>
      </c>
      <c r="P11">
        <f t="shared" si="1"/>
        <v>10</v>
      </c>
      <c r="Q11" t="str">
        <f t="array" ref="Q11">IFERROR(INDEX(Table1[Trainer],MATCH(0,COUNTIF('Tab for Charts'!$Q$1:'Tab for Charts'!Q10,Table1[Trainer]),0)),"")</f>
        <v>Ash</v>
      </c>
      <c r="R11">
        <f>COUNTIF(Table1[Trainer],Table4[[#This Row],[Trainer]])</f>
        <v>1</v>
      </c>
      <c r="T11">
        <f t="shared" ref="T11" si="5">T10+1</f>
        <v>9</v>
      </c>
      <c r="U11" s="10" t="str">
        <f t="array" ref="U11">IFERROR(INDEX(Table4[Trainer],SMALL(IF(Table4[Column1]&gt;=$V$1,ROW(Table4[Trainer])),ROW(9:9))-1,1),"")</f>
        <v>Darrell</v>
      </c>
      <c r="V11">
        <f>INDEX(Table4[Column1],MATCH(U11,Table4[Trainer],0))</f>
        <v>4</v>
      </c>
      <c r="X11">
        <v>10</v>
      </c>
      <c r="Y11" t="str">
        <f t="array" ref="Y11">IFERROR(INDEX(Table1[Location],MATCH(0,COUNTIF('Tab for Charts'!$Q$1:'Tab for Charts'!Y10,Table1[Location]),0)),"")</f>
        <v>Cleveland Park, DC</v>
      </c>
      <c r="Z11" s="10">
        <f>COUNTIF(Table1[Location],Table8[[#This Row],[Location]])</f>
        <v>1</v>
      </c>
      <c r="AC11" t="str">
        <f t="array" ref="AC11">IFERROR(INDEX(Table8[Location],SMALL(IF(Table8[Workouts]&gt;=$AD$1,ROW(Table8[Location])),ROW(9:9))-1,1),"")</f>
        <v/>
      </c>
    </row>
    <row r="12" spans="1:30">
      <c r="A12" t="s">
        <v>128</v>
      </c>
      <c r="E12" t="s">
        <v>116</v>
      </c>
      <c r="I12" s="4" t="s">
        <v>159</v>
      </c>
      <c r="J12" s="7">
        <v>232.14</v>
      </c>
      <c r="L12">
        <f>COUNTIF(Data!$S:$S,'Tab for Charts'!I12)</f>
        <v>15</v>
      </c>
      <c r="M12" s="43">
        <f t="shared" si="0"/>
        <v>15.475999999999999</v>
      </c>
      <c r="N12" s="71">
        <v>12</v>
      </c>
      <c r="P12">
        <f t="shared" si="1"/>
        <v>11</v>
      </c>
      <c r="Q12" t="str">
        <f t="array" ref="Q12">IFERROR(INDEX(Table1[Trainer],MATCH(0,COUNTIF('Tab for Charts'!$Q$1:'Tab for Charts'!Q11,Table1[Trainer]),0)),"")</f>
        <v>Erich</v>
      </c>
      <c r="R12">
        <f>COUNTIF(Table1[Trainer],Table4[[#This Row],[Trainer]])</f>
        <v>1</v>
      </c>
      <c r="T12">
        <f>T11+1</f>
        <v>10</v>
      </c>
      <c r="U12" s="10" t="str">
        <f t="array" ref="U12">IFERROR(INDEX(Table4[Trainer],SMALL(IF(Table4[Column1]&gt;=$V$1,ROW(Table4[Trainer])),ROW(10:10))-1,1),"")</f>
        <v>Luke</v>
      </c>
      <c r="V12">
        <f>INDEX(Table4[Column1],MATCH(U12,Table4[Trainer],0))</f>
        <v>3</v>
      </c>
    </row>
    <row r="13" spans="1:30">
      <c r="B13" t="s">
        <v>4</v>
      </c>
      <c r="C13" t="s">
        <v>129</v>
      </c>
      <c r="F13" t="s">
        <v>5</v>
      </c>
      <c r="G13" t="s">
        <v>117</v>
      </c>
      <c r="I13" s="4" t="s">
        <v>174</v>
      </c>
      <c r="J13" s="7">
        <v>232.14</v>
      </c>
      <c r="K13" s="7"/>
      <c r="L13">
        <f>COUNTIF(Data!$S:$S,'Tab for Charts'!I13)</f>
        <v>14</v>
      </c>
      <c r="M13" s="43">
        <f t="shared" si="0"/>
        <v>16.581428571428571</v>
      </c>
      <c r="N13" s="71">
        <v>12</v>
      </c>
      <c r="P13">
        <f t="shared" si="1"/>
        <v>12</v>
      </c>
      <c r="Q13" t="str">
        <f t="array" ref="Q13">IFERROR(INDEX(Table1[Trainer],MATCH(0,COUNTIF('Tab for Charts'!$Q$1:'Tab for Charts'!Q12,Table1[Trainer]),0)),"")</f>
        <v>Rachel1</v>
      </c>
      <c r="R13">
        <f>COUNTIF(Table1[Trainer],Table4[[#This Row],[Trainer]])</f>
        <v>1</v>
      </c>
      <c r="T13">
        <f>T12+1</f>
        <v>11</v>
      </c>
      <c r="U13" s="10" t="str">
        <f t="array" ref="U13">IFERROR(INDEX(Table4[Trainer],SMALL(IF(Table4[Column1]&gt;=$V$1,ROW(Table4[Trainer])),ROW(11:11))-1,1),"")</f>
        <v>Rachel2</v>
      </c>
      <c r="V13">
        <f>INDEX(Table4[Column1],MATCH(U13,Table4[Trainer],0))</f>
        <v>3</v>
      </c>
      <c r="AC13" t="str">
        <f t="array" ref="AC13">IFERROR(INDEX(Table8[Location],SMALL(IF(Table8[Workouts]&gt;=$AD$1,ROW(Table8[Location])),ROW(11:11))-1,1),"")</f>
        <v/>
      </c>
    </row>
    <row r="14" spans="1:30">
      <c r="B14" t="str">
        <f>INDEX(Table7[Location],MATCH(B11,Table7[Num],0))</f>
        <v>Thomas Circle, DC</v>
      </c>
      <c r="C14" t="s">
        <v>129</v>
      </c>
      <c r="F14" t="str">
        <f>INDEX(Table5[Trainer],MATCH($F$11,Table5[Num],0))</f>
        <v>Kara</v>
      </c>
      <c r="G14" t="s">
        <v>117</v>
      </c>
      <c r="I14" s="4" t="s">
        <v>188</v>
      </c>
      <c r="J14" s="7">
        <v>232.14</v>
      </c>
      <c r="K14" s="7"/>
      <c r="L14" s="10">
        <f>COUNTIF(Data!$S:$S,'Tab for Charts'!I14)</f>
        <v>14</v>
      </c>
      <c r="M14" s="43">
        <f>SUM(J14:K14)/L14</f>
        <v>16.581428571428571</v>
      </c>
      <c r="N14" s="71">
        <v>12</v>
      </c>
      <c r="P14">
        <f t="shared" si="1"/>
        <v>13</v>
      </c>
      <c r="Q14" t="str">
        <f t="array" ref="Q14">IFERROR(INDEX(Table1[Trainer],MATCH(0,COUNTIF('Tab for Charts'!$Q$1:'Tab for Charts'!Q13,Table1[Trainer]),0)),"")</f>
        <v>Abbey</v>
      </c>
      <c r="R14">
        <f>COUNTIF(Table1[Trainer],Table4[[#This Row],[Trainer]])</f>
        <v>1</v>
      </c>
      <c r="U14" s="10"/>
    </row>
    <row r="15" spans="1:30">
      <c r="A15" t="s">
        <v>118</v>
      </c>
      <c r="B15" s="8">
        <f>AVERAGEIF(Table1[Location],'Tab for Charts'!B14,Table1[Calories])</f>
        <v>616.00000000269858</v>
      </c>
      <c r="C15" s="8">
        <f>AVERAGEIF(Table1[Location],"&lt;&gt;"&amp;'Tab for Charts'!B14,Table1[Calories])</f>
        <v>611.82142857436236</v>
      </c>
      <c r="E15" t="s">
        <v>118</v>
      </c>
      <c r="F15" s="8">
        <f>AVERAGEIF(Table1[Trainer],'Tab for Charts'!F14,Table1[Calories])</f>
        <v>606.80000000149869</v>
      </c>
      <c r="G15" s="8">
        <f>AVERAGEIF(Table1[Trainer],"&lt;&gt;"&amp;'Tab for Charts'!F14,Table1[Calories])</f>
        <v>612.09420290153139</v>
      </c>
      <c r="I15" s="4" t="s">
        <v>193</v>
      </c>
      <c r="J15" s="7">
        <v>232.14</v>
      </c>
      <c r="K15" s="7"/>
      <c r="L15" s="10">
        <f>COUNTIF(Data!$S:$S,'Tab for Charts'!I15)</f>
        <v>16</v>
      </c>
      <c r="M15" s="43">
        <f>SUM(J15:K15)/L15</f>
        <v>14.508749999999999</v>
      </c>
      <c r="N15" s="71">
        <v>12</v>
      </c>
      <c r="P15">
        <f t="shared" si="1"/>
        <v>14</v>
      </c>
      <c r="Q15" t="str">
        <f t="array" ref="Q15">IFERROR(INDEX(Table1[Trainer],MATCH(0,COUNTIF('Tab for Charts'!$Q$1:'Tab for Charts'!Q14,Table1[Trainer]),0)),"")</f>
        <v>Joe</v>
      </c>
      <c r="R15">
        <f>COUNTIF(Table1[Trainer],Table4[[#This Row],[Trainer]])</f>
        <v>9</v>
      </c>
      <c r="U15" s="10"/>
      <c r="AC15" t="str">
        <f t="array" ref="AC15">IFERROR(INDEX(Table8[Location],SMALL(IF(Table8[Workouts]&gt;=$AD$1,ROW(Table8[Location])),ROW(13:13))-1,1),"")</f>
        <v/>
      </c>
    </row>
    <row r="16" spans="1:30">
      <c r="A16" t="s">
        <v>119</v>
      </c>
      <c r="B16" s="8">
        <f>AVERAGEIF(Table1[Location],'Tab for Charts'!B14,Table1[Splat])</f>
        <v>17.333333339199999</v>
      </c>
      <c r="C16" s="8">
        <f>AVERAGEIF(Table1[Location],"&lt;&gt;"&amp;'Tab for Charts'!B14,Table1[Splat])</f>
        <v>13.485714288233554</v>
      </c>
      <c r="E16" t="s">
        <v>119</v>
      </c>
      <c r="F16" s="8">
        <f>AVERAGEIF(Table1[Trainer],'Tab for Charts'!F14,Table1[Splat])</f>
        <v>17.000000003102191</v>
      </c>
      <c r="G16" s="8">
        <f>AVERAGEIF(Table1[Trainer],"&lt;&gt;"&amp;'Tab for Charts'!F14,Table1[Splat])</f>
        <v>13.44202898807816</v>
      </c>
      <c r="I16" s="4" t="s">
        <v>208</v>
      </c>
      <c r="J16" s="7">
        <v>232.14</v>
      </c>
      <c r="K16" s="7"/>
      <c r="L16" s="10">
        <f>COUNTIF(Data!$S:$S,'Tab for Charts'!I16)</f>
        <v>8</v>
      </c>
      <c r="M16" s="43">
        <f>SUM(J16:K16)/L16</f>
        <v>29.017499999999998</v>
      </c>
      <c r="N16" s="71">
        <v>12</v>
      </c>
      <c r="P16">
        <f t="shared" si="1"/>
        <v>15</v>
      </c>
      <c r="Q16" t="str">
        <f t="array" ref="Q16">IFERROR(INDEX(Table1[Trainer],MATCH(0,COUNTIF('Tab for Charts'!$Q$1:'Tab for Charts'!Q15,Table1[Trainer]),0)),"")</f>
        <v>Ron</v>
      </c>
      <c r="R16">
        <f>COUNTIF(Table1[Trainer],Table4[[#This Row],[Trainer]])</f>
        <v>2</v>
      </c>
      <c r="U16" s="10"/>
      <c r="AC16" t="str">
        <f t="array" ref="AC16">IFERROR(INDEX(Table8[Location],SMALL(IF(Table8[Workouts]&gt;=$AD$1,ROW(Table8[Location])),ROW(14:14))-1,1),"")</f>
        <v/>
      </c>
    </row>
    <row r="17" spans="1:26">
      <c r="A17" t="s">
        <v>122</v>
      </c>
      <c r="B17">
        <f>COUNTIF(Table1[Location],'Tab for Charts'!B14)</f>
        <v>3</v>
      </c>
      <c r="C17">
        <f>COUNTIF(Table1[Location],"&lt;&gt;"&amp;'Tab for Charts'!B14)</f>
        <v>140</v>
      </c>
      <c r="E17" t="s">
        <v>122</v>
      </c>
      <c r="F17">
        <f>COUNTIF(Table1[Trainer],'Tab for Charts'!F14)</f>
        <v>5</v>
      </c>
      <c r="G17">
        <f>COUNTIF(Table1[Trainer],"&lt;&gt;"&amp;'Tab for Charts'!F14)</f>
        <v>138</v>
      </c>
      <c r="K17" s="38"/>
      <c r="L17" s="38"/>
      <c r="P17">
        <f t="shared" si="1"/>
        <v>16</v>
      </c>
      <c r="Q17" t="str">
        <f t="array" ref="Q17">IFERROR(INDEX(Table1[Trainer],MATCH(0,COUNTIF('Tab for Charts'!$Q$1:'Tab for Charts'!Q16,Table1[Trainer]),0)),"")</f>
        <v>Myke</v>
      </c>
      <c r="R17">
        <f>COUNTIF(Table1[Trainer],Table4[[#This Row],[Trainer]])</f>
        <v>1</v>
      </c>
      <c r="U17" s="10"/>
      <c r="Z17" t="str">
        <f t="array" ref="Z17">IFERROR(INDEX(Table8[Location],SMALL(IF(Table8[Workouts]&gt;=$AD$1,ROW(Table8[Location])),ROW(15:15))-1,1),"")</f>
        <v/>
      </c>
    </row>
    <row r="18" spans="1:26">
      <c r="A18" t="s">
        <v>135</v>
      </c>
      <c r="B18">
        <f>_xlfn.MINIFS(Table1[Calories],Table1[Location],'Tab for Charts'!$B$14)</f>
        <v>578.0000000046</v>
      </c>
      <c r="C18">
        <f>_xlfn.MINIFS(Table1[Calories],Table1[Location],"&lt;&gt;"&amp;'Tab for Charts'!$B$14)</f>
        <v>447.00000000000074</v>
      </c>
      <c r="E18" t="s">
        <v>135</v>
      </c>
      <c r="F18">
        <f>_xlfn.MINIFS(Table1[Calories],Table1[Trainer],'Tab for Charts'!$F$14)</f>
        <v>550.00000000089005</v>
      </c>
      <c r="G18">
        <f>_xlfn.MINIFS(Table1[Calories],Table1[Trainer],"&lt;&gt;"&amp;'Tab for Charts'!$F$14)</f>
        <v>447.00000000000074</v>
      </c>
      <c r="K18" s="38"/>
      <c r="L18" s="38"/>
      <c r="P18">
        <f t="shared" si="1"/>
        <v>17</v>
      </c>
      <c r="Q18" t="str">
        <f t="array" ref="Q18">IFERROR(INDEX(Table1[Trainer],MATCH(0,COUNTIF('Tab for Charts'!$Q$1:'Tab for Charts'!Q17,Table1[Trainer]),0)),"")</f>
        <v>Marcus</v>
      </c>
      <c r="R18">
        <f>COUNTIF(Table1[Trainer],Table4[[#This Row],[Trainer]])</f>
        <v>8</v>
      </c>
    </row>
    <row r="19" spans="1:26">
      <c r="A19" t="s">
        <v>136</v>
      </c>
      <c r="B19">
        <f>_xlfn.MAXIFS(Table1[Calories],Table1[Location],'Tab for Charts'!$B$14)</f>
        <v>678.00000000009595</v>
      </c>
      <c r="C19">
        <f>_xlfn.MAXIFS(Table1[Calories],Table1[Location],"&lt;&gt;"&amp;'Tab for Charts'!$B$14)</f>
        <v>725.00000000329999</v>
      </c>
      <c r="E19" t="s">
        <v>136</v>
      </c>
      <c r="F19">
        <f>_xlfn.MAXIFS(Table1[Calories],Table1[Trainer],'Tab for Charts'!$F$14)</f>
        <v>715.00000000010198</v>
      </c>
      <c r="G19">
        <f>_xlfn.MAXIFS(Table1[Calories],Table1[Trainer],"&lt;&gt;"&amp;'Tab for Charts'!$F$14)</f>
        <v>725.00000000329999</v>
      </c>
      <c r="K19" s="38"/>
      <c r="L19" s="38"/>
      <c r="P19">
        <f t="shared" si="1"/>
        <v>18</v>
      </c>
      <c r="Q19" t="str">
        <f t="array" ref="Q19">IFERROR(INDEX(Table1[Trainer],MATCH(0,COUNTIF('Tab for Charts'!$Q$1:'Tab for Charts'!Q18,Table1[Trainer]),0)),"")</f>
        <v>Robin</v>
      </c>
      <c r="R19">
        <f>COUNTIF(Table1[Trainer],Table4[[#This Row],[Trainer]])</f>
        <v>1</v>
      </c>
    </row>
    <row r="20" spans="1:26">
      <c r="A20" t="s">
        <v>137</v>
      </c>
      <c r="B20">
        <f>ROUND(_xlfn.MINIFS(Table1[Splat],Table1[Location],'Tab for Charts'!$B$14),2)</f>
        <v>16</v>
      </c>
      <c r="C20">
        <f>_xlfn.MINIFS(Table1[Splat],Table1[Location],"&lt;&gt;"&amp;'Tab for Charts'!$B$14)</f>
        <v>0</v>
      </c>
      <c r="E20" t="s">
        <v>137</v>
      </c>
      <c r="F20">
        <f>ROUND(_xlfn.MINIFS(Table1[Splat],Table1[Trainer],'Tab for Charts'!$F$14),2)</f>
        <v>15</v>
      </c>
      <c r="G20">
        <f>_xlfn.MINIFS(Table1[Splat],Table1[Trainer],"&lt;&gt;"&amp;'Tab for Charts'!$F$14)</f>
        <v>0</v>
      </c>
      <c r="K20" s="38"/>
      <c r="L20" s="38"/>
      <c r="P20">
        <f t="shared" si="1"/>
        <v>19</v>
      </c>
      <c r="Q20" t="str">
        <f t="array" ref="Q20">IFERROR(INDEX(Table1[Trainer],MATCH(0,COUNTIF('Tab for Charts'!$Q$1:'Tab for Charts'!Q19,Table1[Trainer]),0)),"")</f>
        <v>Kenna</v>
      </c>
      <c r="R20">
        <f>COUNTIF(Table1[Trainer],Table4[[#This Row],[Trainer]])</f>
        <v>1</v>
      </c>
    </row>
    <row r="21" spans="1:26">
      <c r="A21" t="s">
        <v>138</v>
      </c>
      <c r="B21" s="34">
        <f>_xlfn.MAXIFS(Table1[Splat],Table1[Location],'Tab for Charts'!$B$14)</f>
        <v>20.0000000046</v>
      </c>
      <c r="C21" s="34">
        <f>_xlfn.MAXIFS(Table1[Splat],Table1[Location],"&lt;&gt;"&amp;'Tab for Charts'!$B$14)</f>
        <v>23.000000009499999</v>
      </c>
      <c r="E21" t="s">
        <v>138</v>
      </c>
      <c r="F21">
        <f>_xlfn.MAXIFS(Table1[Splat],Table1[Trainer],'Tab for Charts'!$F$14)</f>
        <v>19.000000006499999</v>
      </c>
      <c r="G21">
        <f>_xlfn.MAXIFS(Table1[Splat],Table1[Trainer],"&lt;&gt;"&amp;'Tab for Charts'!$F$14)</f>
        <v>23.000000009499999</v>
      </c>
      <c r="P21">
        <f t="shared" si="1"/>
        <v>20</v>
      </c>
      <c r="Q21" t="str">
        <f t="array" ref="Q21">IFERROR(INDEX(Table1[Trainer],MATCH(0,COUNTIF('Tab for Charts'!$Q$1:'Tab for Charts'!Q20,Table1[Trainer]),0)),"")</f>
        <v>Georgia</v>
      </c>
      <c r="R21">
        <f>COUNTIF(Table1[Trainer],Table4[[#This Row],[Trainer]])</f>
        <v>2</v>
      </c>
      <c r="U21" t="str">
        <f>IFERROR(INDEX(Table4[Trainer],SMALL(IF(Table4[Column1]&gt;=$V$1,ROW(Table4[Trainer])),ROW(#REF!))-1,1),"")</f>
        <v/>
      </c>
    </row>
    <row r="22" spans="1:26">
      <c r="A22" t="s">
        <v>139</v>
      </c>
      <c r="B22" s="34">
        <f t="array" ref="B22">MEDIAN(IF(Table1[Location]='Tab for Charts'!$B$14,Table1[Calories],""))</f>
        <v>592.00000000340003</v>
      </c>
      <c r="C22" s="34">
        <f t="array" ref="C22">MEDIAN(IF(Table1[Location]&lt;&gt;'Tab for Charts'!$B$14,Table1[Calories],""))</f>
        <v>611.00000000475006</v>
      </c>
      <c r="E22" t="s">
        <v>139</v>
      </c>
      <c r="F22">
        <f t="array" ref="F22">MEDIAN(IF(Table1[Trainer]='Tab for Charts'!$F$14,Table1[Calories],""))</f>
        <v>572.00000000650004</v>
      </c>
      <c r="G22">
        <f t="array" ref="G22">MEDIAN(IF(Table1[Trainer]&lt;&gt;'Tab for Charts'!$F$14,Table1[Calories],""))</f>
        <v>611.00000000475006</v>
      </c>
      <c r="P22">
        <f t="shared" si="1"/>
        <v>21</v>
      </c>
      <c r="Q22" t="str">
        <f t="array" ref="Q22">IFERROR(INDEX(Table1[Trainer],MATCH(0,COUNTIF('Tab for Charts'!$Q$1:'Tab for Charts'!Q21,Table1[Trainer]),0)),"")</f>
        <v>Kara</v>
      </c>
      <c r="R22">
        <f>COUNTIF(Table1[Trainer],Table4[[#This Row],[Trainer]])</f>
        <v>5</v>
      </c>
    </row>
    <row r="23" spans="1:26">
      <c r="A23" t="s">
        <v>140</v>
      </c>
      <c r="B23" s="34">
        <f t="array" ref="B23">MEDIAN(IF(Table1[Location]='Tab for Charts'!$B$14,Table1[Splat],""))</f>
        <v>16.000000009600001</v>
      </c>
      <c r="C23" s="34">
        <f t="array" ref="C23">MEDIAN(IF(Table1[Location]&lt;&gt;'Tab for Charts'!$B$14,Table1[Splat],""))</f>
        <v>14.000000001204999</v>
      </c>
      <c r="E23" t="s">
        <v>140</v>
      </c>
      <c r="F23">
        <f t="array" ref="F23">MEDIAN(IF(Table1[Trainer]='Tab for Charts'!$F$14,Table1[Splat],""))</f>
        <v>17.0000000000081</v>
      </c>
      <c r="G23">
        <f t="array" ref="G23">MEDIAN(IF(Table1[Trainer]&lt;&gt;'Tab for Charts'!$F$14,Table1[Splat],""))</f>
        <v>14.000000001035</v>
      </c>
      <c r="P23">
        <f t="shared" si="1"/>
        <v>22</v>
      </c>
      <c r="Q23" t="str">
        <f t="array" ref="Q23">IFERROR(INDEX(Table1[Trainer],MATCH(0,COUNTIF('Tab for Charts'!$Q$1:'Tab for Charts'!Q22,Table1[Trainer]),0)),"")</f>
        <v>Darrell</v>
      </c>
      <c r="R23">
        <f>COUNTIF(Table1[Trainer],Table4[[#This Row],[Trainer]])</f>
        <v>4</v>
      </c>
    </row>
    <row r="24" spans="1:26">
      <c r="A24" t="s">
        <v>141</v>
      </c>
      <c r="B24" s="34">
        <f t="array" ref="B24">_xlfn.QUARTILE.INC(IF(Table1[Location]='Tab for Charts'!$B$14,Table1[Calories],""),1)</f>
        <v>585.00000000399996</v>
      </c>
      <c r="C24" s="34">
        <f t="array" ref="C24">_xlfn.QUARTILE.INC(IF(Table1[Location]&lt;&gt;'Tab for Charts'!$B$14,Table1[Calories],""),1)</f>
        <v>577.00000000627506</v>
      </c>
      <c r="E24" t="s">
        <v>141</v>
      </c>
      <c r="F24">
        <f t="array" ref="F24">_xlfn.QUARTILE.INC(IF(Table1[Trainer]='Tab for Charts'!$F$14,Table1[Calories],""),1)</f>
        <v>566.0000000000008</v>
      </c>
      <c r="G24">
        <f t="array" ref="G24">_xlfn.QUARTILE.INC(IF(Table1[Trainer]&lt;&gt;'Tab for Charts'!$F$14,Table1[Calories],""),1)</f>
        <v>578.50000000345005</v>
      </c>
      <c r="P24">
        <f t="shared" ref="P24:P29" si="6">P23+1</f>
        <v>23</v>
      </c>
      <c r="Q24" t="str">
        <f t="array" ref="Q24">IFERROR(INDEX(Table1[Trainer],MATCH(0,COUNTIF('Tab for Charts'!$Q$1:'Tab for Charts'!Q23,Table1[Trainer]),0)),"")</f>
        <v>Luke</v>
      </c>
      <c r="R24">
        <f>COUNTIF(Table1[Trainer],Table4[[#This Row],[Trainer]])</f>
        <v>3</v>
      </c>
    </row>
    <row r="25" spans="1:26">
      <c r="A25" t="s">
        <v>142</v>
      </c>
      <c r="B25" s="34">
        <f t="array" ref="B25">_xlfn.QUARTILE.INC(IF(Table1[Location]='Tab for Charts'!$B$14,Table1[Calories],""),3)</f>
        <v>635.00000000174805</v>
      </c>
      <c r="C25" s="34">
        <f t="array" ref="C25">_xlfn.QUARTILE.INC(IF(Table1[Location]&lt;&gt;'Tab for Charts'!$B$14,Table1[Calories],""),3)</f>
        <v>647.25000000495027</v>
      </c>
      <c r="E25" t="s">
        <v>142</v>
      </c>
      <c r="F25">
        <f t="array" ref="F25">_xlfn.QUARTILE.INC(IF(Table1[Trainer]='Tab for Charts'!$F$14,Table1[Calories],""),3)</f>
        <v>631.0000000000008</v>
      </c>
      <c r="G25">
        <f t="array" ref="G25">_xlfn.QUARTILE.INC(IF(Table1[Trainer]&lt;&gt;'Tab for Charts'!$F$14,Table1[Calories],""),3)</f>
        <v>647.75000000165085</v>
      </c>
      <c r="P25">
        <f t="shared" si="6"/>
        <v>24</v>
      </c>
      <c r="Q25" t="str">
        <f t="array" ref="Q25">IFERROR(INDEX(Table1[Trainer],MATCH(0,COUNTIF('Tab for Charts'!$Q$1:'Tab for Charts'!Q24,Table1[Trainer]),0)),"")</f>
        <v>Madison</v>
      </c>
      <c r="R25">
        <f>COUNTIF(Table1[Trainer],Table4[[#This Row],[Trainer]])</f>
        <v>1</v>
      </c>
    </row>
    <row r="26" spans="1:26">
      <c r="A26" t="s">
        <v>144</v>
      </c>
      <c r="B26" s="34">
        <f t="array" ref="B26">_xlfn.QUARTILE.INC(IF(Table1[Location]='Tab for Charts'!$B$14,Table1[Splat],""),1)</f>
        <v>16.000000006500002</v>
      </c>
      <c r="C26" s="34">
        <f t="array" ref="C26">_xlfn.QUARTILE.INC(IF(Table1[Location]&lt;&gt;'Tab for Charts'!$B$14,Table1[Splat],""),1)</f>
        <v>10.750000002357801</v>
      </c>
      <c r="E26" t="s">
        <v>144</v>
      </c>
      <c r="F26">
        <f t="array" ref="F26">_xlfn.QUARTILE.INC(IF(Table1[Trainer]='Tab for Charts'!$F$14,Table1[Splat],""),1)</f>
        <v>16.000000008899999</v>
      </c>
      <c r="G26">
        <f t="array" ref="G26">_xlfn.QUARTILE.INC(IF(Table1[Trainer]&lt;&gt;'Tab for Charts'!$F$14,Table1[Splat],""),1)</f>
        <v>10.2500000070526</v>
      </c>
      <c r="P26">
        <f t="shared" si="6"/>
        <v>25</v>
      </c>
      <c r="Q26" s="10" t="str">
        <f t="array" ref="Q26">IFERROR(INDEX(Table1[Trainer],MATCH(0,COUNTIF('Tab for Charts'!$Q$1:'Tab for Charts'!Q25,Table1[Trainer]),0)),"")</f>
        <v>Shayna</v>
      </c>
      <c r="R26" s="10">
        <f>COUNTIF(Table1[Trainer],Table4[[#This Row],[Trainer]])</f>
        <v>2</v>
      </c>
    </row>
    <row r="27" spans="1:26">
      <c r="A27" t="s">
        <v>143</v>
      </c>
      <c r="B27" s="34">
        <f t="array" ref="B27">_xlfn.QUARTILE.INC(IF(Table1[Location]='Tab for Charts'!$B$14,Table1[Splat],""),3)</f>
        <v>18.000000007099999</v>
      </c>
      <c r="C27" s="34">
        <f t="array" ref="C27">_xlfn.QUARTILE.INC(IF(Table1[Location]&lt;&gt;'Tab for Charts'!$B$14,Table1[Splat],""),3)</f>
        <v>16.000000006699999</v>
      </c>
      <c r="E27" t="s">
        <v>143</v>
      </c>
      <c r="F27">
        <f t="array" ref="F27">_xlfn.QUARTILE.INC(IF(Table1[Trainer]='Tab for Charts'!$F$14,Table1[Splat],""),3)</f>
        <v>18.000000000101998</v>
      </c>
      <c r="G27">
        <f t="array" ref="G27">_xlfn.QUARTILE.INC(IF(Table1[Trainer]&lt;&gt;'Tab for Charts'!$F$14,Table1[Splat],""),3)</f>
        <v>16.000000004625001</v>
      </c>
      <c r="P27">
        <f t="shared" si="6"/>
        <v>26</v>
      </c>
      <c r="Q27" s="10" t="str">
        <f t="array" ref="Q27">IFERROR(INDEX(Table1[Trainer],MATCH(0,COUNTIF('Tab for Charts'!$Q$1:'Tab for Charts'!Q26,Table1[Trainer]),0)),"")</f>
        <v>Dwayne</v>
      </c>
      <c r="R27" s="10">
        <f>COUNTIF(Table1[Trainer],Table4[[#This Row],[Trainer]])</f>
        <v>2</v>
      </c>
    </row>
    <row r="28" spans="1:26">
      <c r="A28" t="s">
        <v>145</v>
      </c>
      <c r="B28" s="34">
        <f>B25-B24</f>
        <v>49.999999997748091</v>
      </c>
      <c r="C28" s="34">
        <f>C25-C24</f>
        <v>70.249999998675207</v>
      </c>
      <c r="E28" t="s">
        <v>145</v>
      </c>
      <c r="F28">
        <f>F25-F24</f>
        <v>65</v>
      </c>
      <c r="G28">
        <f>G25-G24</f>
        <v>69.249999998200792</v>
      </c>
      <c r="P28">
        <f t="shared" si="6"/>
        <v>27</v>
      </c>
      <c r="Q28" s="10" t="str">
        <f t="array" ref="Q28">IFERROR(INDEX(Table1[Trainer],MATCH(0,COUNTIF('Tab for Charts'!$Q$1:'Tab for Charts'!Q27,Table1[Trainer]),0)),"")</f>
        <v>Herlentz</v>
      </c>
      <c r="R28" s="10">
        <f>COUNTIF(Table1[Trainer],Table4[[#This Row],[Trainer]])</f>
        <v>2</v>
      </c>
    </row>
    <row r="29" spans="1:26" ht="17">
      <c r="A29" t="s">
        <v>146</v>
      </c>
      <c r="B29" s="34">
        <f>B27-B26</f>
        <v>2.0000000005999965</v>
      </c>
      <c r="C29" s="34">
        <f>C27-C26</f>
        <v>5.2500000043421977</v>
      </c>
      <c r="E29" t="s">
        <v>146</v>
      </c>
      <c r="F29">
        <f>F27-F26</f>
        <v>1.9999999912019994</v>
      </c>
      <c r="G29">
        <f>G27-G26</f>
        <v>5.7499999975724005</v>
      </c>
      <c r="J29" s="40"/>
      <c r="P29">
        <f t="shared" si="6"/>
        <v>28</v>
      </c>
      <c r="Q29" s="10" t="str">
        <f t="array" ref="Q29">IFERROR(INDEX(Table1[Trainer],MATCH(0,COUNTIF('Tab for Charts'!$Q$1:'Tab for Charts'!Q28,Table1[Trainer]),0)),"")</f>
        <v>Micha</v>
      </c>
      <c r="R29" s="10">
        <f>COUNTIF(Table1[Trainer],Table4[[#This Row],[Trainer]])</f>
        <v>1</v>
      </c>
    </row>
    <row r="30" spans="1:26">
      <c r="A30" t="s">
        <v>147</v>
      </c>
      <c r="B30" s="34">
        <f>B22-B24</f>
        <v>6.9999999994000746</v>
      </c>
      <c r="C30" s="34">
        <f>C22-C24</f>
        <v>33.999999998475005</v>
      </c>
      <c r="E30" t="s">
        <v>147</v>
      </c>
      <c r="F30">
        <f>F22-F24</f>
        <v>6.0000000064992491</v>
      </c>
      <c r="G30">
        <f>G22-G24</f>
        <v>32.500000001300009</v>
      </c>
      <c r="P30">
        <f>P29+1</f>
        <v>29</v>
      </c>
      <c r="Q30" s="10" t="str">
        <f t="array" ref="Q30">IFERROR(INDEX(Table1[Trainer],MATCH(0,COUNTIF('Tab for Charts'!$Q$1:'Tab for Charts'!Q29,Table1[Trainer]),0)),"")</f>
        <v>Rachel2</v>
      </c>
      <c r="R30" s="10">
        <f>COUNTIF(Table1[Trainer],Table4[[#This Row],[Trainer]])</f>
        <v>3</v>
      </c>
    </row>
    <row r="31" spans="1:26">
      <c r="A31" t="s">
        <v>148</v>
      </c>
      <c r="B31" s="34">
        <f>B23-B26</f>
        <v>3.0999984801383107E-9</v>
      </c>
      <c r="C31" s="34">
        <f>C23-C26</f>
        <v>3.2499999988471977</v>
      </c>
      <c r="E31" t="s">
        <v>148</v>
      </c>
      <c r="F31">
        <f>F23-F26</f>
        <v>0.99999999110810123</v>
      </c>
      <c r="G31">
        <f>G23-G26</f>
        <v>3.7499999939823994</v>
      </c>
      <c r="P31">
        <f>P30+1</f>
        <v>30</v>
      </c>
      <c r="Q31" s="10" t="str">
        <f t="array" ref="Q31">IFERROR(INDEX(Table1[Trainer],MATCH(0,COUNTIF('Tab for Charts'!$Q$1:'Tab for Charts'!Q30,Table1[Trainer]),0)),"")</f>
        <v>Jenn</v>
      </c>
      <c r="R31" s="10">
        <f>COUNTIF(Table1[Trainer],Table4[[#This Row],[Trainer]])</f>
        <v>1</v>
      </c>
    </row>
    <row r="32" spans="1:26">
      <c r="A32" t="s">
        <v>149</v>
      </c>
      <c r="B32" s="34">
        <f>B25-B22</f>
        <v>42.999999998348017</v>
      </c>
      <c r="C32" s="34">
        <f>C25-C22</f>
        <v>36.250000000200203</v>
      </c>
      <c r="E32" t="s">
        <v>149</v>
      </c>
      <c r="F32">
        <f>F25-F22</f>
        <v>58.999999993500751</v>
      </c>
      <c r="G32">
        <f>G25-G22</f>
        <v>36.749999996900783</v>
      </c>
      <c r="P32">
        <f>P31+1</f>
        <v>31</v>
      </c>
      <c r="Q32" s="10" t="str">
        <f t="array" ref="Q32">IFERROR(INDEX(Table1[Trainer],MATCH(0,COUNTIF('Tab for Charts'!$Q$1:'Tab for Charts'!Q31,Table1[Trainer]),0)),"")</f>
        <v>Gabi</v>
      </c>
      <c r="R32" s="10">
        <f>COUNTIF(Table1[Trainer],Table4[[#This Row],[Trainer]])</f>
        <v>1</v>
      </c>
    </row>
    <row r="33" spans="1:18">
      <c r="A33" t="s">
        <v>150</v>
      </c>
      <c r="B33" s="34">
        <f>B27-B23</f>
        <v>1.999999997499998</v>
      </c>
      <c r="C33" s="34">
        <f>C27-C23</f>
        <v>2.000000005495</v>
      </c>
      <c r="E33" t="s">
        <v>150</v>
      </c>
      <c r="F33">
        <f>F27-F23</f>
        <v>1.0000000000938982</v>
      </c>
      <c r="G33">
        <f>G27-G23</f>
        <v>2.0000000035900012</v>
      </c>
      <c r="P33">
        <f>P32+1</f>
        <v>32</v>
      </c>
      <c r="Q33" s="10" t="str">
        <f t="array" ref="Q33">IFERROR(INDEX(Table1[Trainer],MATCH(0,COUNTIF('Tab for Charts'!$Q$1:'Tab for Charts'!Q32,Table1[Trainer]),0)),"")</f>
        <v>Eva</v>
      </c>
      <c r="R33" s="10">
        <f>COUNTIF(Table1[Trainer],Table4[[#This Row],[Trainer]])</f>
        <v>1</v>
      </c>
    </row>
    <row r="34" spans="1:18">
      <c r="A34" t="s">
        <v>151</v>
      </c>
      <c r="B34" s="34">
        <f>B19-B25</f>
        <v>42.999999998347903</v>
      </c>
      <c r="C34" s="34">
        <f>C19-C25</f>
        <v>77.749999998349722</v>
      </c>
      <c r="E34" t="s">
        <v>151</v>
      </c>
      <c r="F34">
        <f>F19-F25</f>
        <v>84.000000000101181</v>
      </c>
      <c r="G34">
        <f>G19-G25</f>
        <v>77.250000001649141</v>
      </c>
    </row>
    <row r="35" spans="1:18">
      <c r="A35" t="s">
        <v>152</v>
      </c>
      <c r="B35" s="34">
        <f>B21-B27</f>
        <v>1.9999999975000016</v>
      </c>
      <c r="C35" s="34">
        <f>C21-C27</f>
        <v>7.0000000028000002</v>
      </c>
      <c r="E35" t="s">
        <v>152</v>
      </c>
      <c r="F35">
        <f>F21-F27</f>
        <v>1.0000000063980004</v>
      </c>
      <c r="G35">
        <f>G21-G27</f>
        <v>7.0000000048749982</v>
      </c>
    </row>
    <row r="37" spans="1:18">
      <c r="A37" t="str">
        <f>A18</f>
        <v>Min Calories</v>
      </c>
      <c r="B37">
        <f>B18</f>
        <v>578.0000000046</v>
      </c>
      <c r="C37">
        <f>C18</f>
        <v>447.00000000000074</v>
      </c>
      <c r="E37" t="str">
        <f>E18</f>
        <v>Min Calories</v>
      </c>
      <c r="F37">
        <f>F18</f>
        <v>550.00000000089005</v>
      </c>
      <c r="G37">
        <f>G18</f>
        <v>447.00000000000074</v>
      </c>
    </row>
    <row r="38" spans="1:18">
      <c r="A38" t="s">
        <v>153</v>
      </c>
      <c r="B38" s="34">
        <f>B24-B18</f>
        <v>6.9999999993999609</v>
      </c>
      <c r="C38" s="34">
        <f>C24-C18</f>
        <v>130.00000000627432</v>
      </c>
      <c r="E38" t="s">
        <v>153</v>
      </c>
      <c r="F38" s="34">
        <f>F24-F18</f>
        <v>15.999999999110742</v>
      </c>
      <c r="G38" s="34">
        <f>G24-G18</f>
        <v>131.50000000344932</v>
      </c>
    </row>
    <row r="39" spans="1:18">
      <c r="A39" t="s">
        <v>154</v>
      </c>
      <c r="B39" s="34">
        <f>B22-B24</f>
        <v>6.9999999994000746</v>
      </c>
      <c r="C39" s="34">
        <f>C22-C24</f>
        <v>33.999999998475005</v>
      </c>
      <c r="E39" t="s">
        <v>154</v>
      </c>
      <c r="F39" s="34">
        <f>F22-F24</f>
        <v>6.0000000064992491</v>
      </c>
      <c r="G39" s="34">
        <f>G22-G24</f>
        <v>32.500000001300009</v>
      </c>
    </row>
    <row r="40" spans="1:18">
      <c r="A40" t="s">
        <v>155</v>
      </c>
      <c r="B40" s="34">
        <f>B25-B22</f>
        <v>42.999999998348017</v>
      </c>
      <c r="C40" s="34">
        <f>C25-C22</f>
        <v>36.250000000200203</v>
      </c>
      <c r="E40" t="s">
        <v>155</v>
      </c>
      <c r="F40" s="34">
        <f>F25-F22</f>
        <v>58.999999993500751</v>
      </c>
      <c r="G40" s="34">
        <f>G25-G22</f>
        <v>36.749999996900783</v>
      </c>
    </row>
    <row r="41" spans="1:18">
      <c r="A41" t="s">
        <v>156</v>
      </c>
      <c r="B41" s="34">
        <f>B19-B25</f>
        <v>42.999999998347903</v>
      </c>
      <c r="C41" s="34">
        <f>C19-C25</f>
        <v>77.749999998349722</v>
      </c>
      <c r="E41" t="s">
        <v>156</v>
      </c>
      <c r="F41" s="34">
        <f>F19-F25</f>
        <v>84.000000000101181</v>
      </c>
      <c r="G41" s="34">
        <f>G19-G25</f>
        <v>77.250000001649141</v>
      </c>
    </row>
    <row r="44" spans="1:18">
      <c r="A44" t="s">
        <v>137</v>
      </c>
      <c r="B44">
        <f>B20</f>
        <v>16</v>
      </c>
      <c r="C44">
        <f>C20</f>
        <v>0</v>
      </c>
      <c r="E44" t="s">
        <v>137</v>
      </c>
      <c r="F44">
        <f>F20</f>
        <v>15</v>
      </c>
      <c r="G44">
        <f>G20</f>
        <v>0</v>
      </c>
    </row>
    <row r="45" spans="1:18">
      <c r="A45" t="s">
        <v>153</v>
      </c>
      <c r="B45" s="34">
        <f>B26-B44</f>
        <v>6.5000023141692509E-9</v>
      </c>
      <c r="C45" s="34">
        <f>C26-C44</f>
        <v>10.750000002357801</v>
      </c>
      <c r="E45" t="s">
        <v>153</v>
      </c>
      <c r="F45" s="34">
        <f>F26-F44</f>
        <v>1.000000008899999</v>
      </c>
      <c r="G45" s="34">
        <f>G26-G44</f>
        <v>10.2500000070526</v>
      </c>
    </row>
    <row r="46" spans="1:18">
      <c r="A46" t="s">
        <v>154</v>
      </c>
      <c r="B46" s="34">
        <f>B23-B26</f>
        <v>3.0999984801383107E-9</v>
      </c>
      <c r="C46" s="34">
        <f>C23-C26</f>
        <v>3.2499999988471977</v>
      </c>
      <c r="E46" t="s">
        <v>154</v>
      </c>
      <c r="F46" s="34">
        <f>F23-F26</f>
        <v>0.99999999110810123</v>
      </c>
      <c r="G46" s="34">
        <f>G23-G26</f>
        <v>3.7499999939823994</v>
      </c>
    </row>
    <row r="47" spans="1:18">
      <c r="A47" t="s">
        <v>155</v>
      </c>
      <c r="B47" s="34">
        <f>B27-B23</f>
        <v>1.999999997499998</v>
      </c>
      <c r="C47" s="34">
        <f>C27-C23</f>
        <v>2.000000005495</v>
      </c>
      <c r="E47" t="s">
        <v>155</v>
      </c>
      <c r="F47" s="34">
        <f>F27-F23</f>
        <v>1.0000000000938982</v>
      </c>
      <c r="G47" s="34">
        <f>G27-G23</f>
        <v>2.0000000035900012</v>
      </c>
    </row>
    <row r="48" spans="1:18">
      <c r="A48" t="s">
        <v>156</v>
      </c>
      <c r="B48" s="34">
        <f>B21-B27</f>
        <v>1.9999999975000016</v>
      </c>
      <c r="C48" s="34">
        <f>C21-C27</f>
        <v>7.0000000028000002</v>
      </c>
      <c r="E48" t="s">
        <v>156</v>
      </c>
      <c r="F48" s="34">
        <f>F21-F27</f>
        <v>1.0000000063980004</v>
      </c>
      <c r="G48" s="34">
        <f>G21-G27</f>
        <v>7.0000000048749982</v>
      </c>
    </row>
    <row r="49" spans="1:17">
      <c r="Q49" t="str">
        <f t="array" ref="Q49">IFERROR(INDEX(Table4[Trainer],SMALL(IF(Table4[Column1]&gt;=$V$1,ROW(Table4[Trainer])),ROW(17:17))-1,1),"")</f>
        <v/>
      </c>
    </row>
    <row r="50" spans="1:17">
      <c r="Q50" t="str">
        <f t="array" ref="Q50">IFERROR(INDEX(Table4[Trainer],SMALL(IF(Table4[Column1]&gt;=$V$1,ROW(Table4[Trainer])),ROW(18:18))-1,1),"")</f>
        <v/>
      </c>
    </row>
    <row r="52" spans="1:17">
      <c r="A52" s="41" t="s">
        <v>178</v>
      </c>
      <c r="B52" s="42"/>
      <c r="C52" s="42"/>
      <c r="D52" s="42"/>
      <c r="E52" s="42"/>
      <c r="F52" s="42"/>
      <c r="G52" s="42"/>
      <c r="H52" s="42"/>
    </row>
    <row r="53" spans="1:17" ht="19">
      <c r="A53" s="53" t="str">
        <f>"Cost per Class and Number of Classes Attended in "&amp;C71</f>
        <v>Cost per Class and Number of Classes Attended in 2020</v>
      </c>
    </row>
    <row r="54" spans="1:17">
      <c r="B54" t="s">
        <v>96</v>
      </c>
      <c r="C54" t="s">
        <v>97</v>
      </c>
      <c r="D54" t="s">
        <v>98</v>
      </c>
      <c r="E54" t="s">
        <v>99</v>
      </c>
      <c r="F54" t="s">
        <v>100</v>
      </c>
      <c r="G54" t="s">
        <v>101</v>
      </c>
    </row>
    <row r="55" spans="1:17">
      <c r="A55">
        <v>1</v>
      </c>
      <c r="B55" s="10" t="str">
        <f>IF($C$71=2019,"1-2019","1-2020")</f>
        <v>1-2020</v>
      </c>
      <c r="C55" s="7">
        <f>IF($C$71=2019,NA(),232.14)</f>
        <v>232.14</v>
      </c>
      <c r="D55" s="7">
        <f>SUMIF(Table1[Mon_Yr],Table611[[#This Row],[Month]],Table1[ExtraExpenses])</f>
        <v>0</v>
      </c>
      <c r="E55" s="10">
        <f>IFERROR(AVERAGEIF(Table1[Mon_Yr],Table611[[#This Row],[Month]],Table1[VisitNum_Month]),NA())</f>
        <v>14</v>
      </c>
      <c r="F55" s="44">
        <f>IFERROR(AVERAGEIF(Table1[Mon_Yr],Table611[[#This Row],[Month]],Table1[Cost_Per_Class]),NA())</f>
        <v>16.581428571428571</v>
      </c>
      <c r="G55" s="70">
        <f>IFERROR(AVERAGEIF(Table1[Mon_Yr],Table611[[#This Row],[Month]],Table1[Goal]),NA())</f>
        <v>12</v>
      </c>
    </row>
    <row r="56" spans="1:17">
      <c r="A56">
        <v>2</v>
      </c>
      <c r="B56" s="10" t="str">
        <f>IF($C$71=2019,"2-2019","2-2020")</f>
        <v>2-2020</v>
      </c>
      <c r="C56" s="7">
        <f>IF($C$71=2019,NA(),232.14)</f>
        <v>232.14</v>
      </c>
      <c r="D56" s="7">
        <f>SUMIF(Table1[Mon_Yr],Table611[[#This Row],[Month]],Table1[ExtraExpenses])</f>
        <v>0</v>
      </c>
      <c r="E56" s="10">
        <f>IFERROR(AVERAGEIF(Table1[Mon_Yr],Table611[[#This Row],[Month]],Table1[VisitNum_Month]),NA())</f>
        <v>16</v>
      </c>
      <c r="F56" s="44">
        <f>IFERROR(AVERAGEIF(Table1[Mon_Yr],Table611[[#This Row],[Month]],Table1[Cost_Per_Class]),NA())</f>
        <v>14.508749999999994</v>
      </c>
      <c r="G56" s="70">
        <f>IFERROR(AVERAGEIF(Table1[Mon_Yr],Table611[[#This Row],[Month]],Table1[Goal]),NA())</f>
        <v>12</v>
      </c>
    </row>
    <row r="57" spans="1:17">
      <c r="A57">
        <v>3</v>
      </c>
      <c r="B57" s="10" t="str">
        <f>IF($C$71=2019,"3-2019","3-2020")</f>
        <v>3-2020</v>
      </c>
      <c r="C57" s="7">
        <f>IF($C$71=2019,(199/12)*E57,232.14)</f>
        <v>232.14</v>
      </c>
      <c r="D57" s="7">
        <f>SUMIF(Table1[Mon_Yr],Table611[[#This Row],[Month]],Table1[ExtraExpenses])</f>
        <v>0</v>
      </c>
      <c r="E57" s="10">
        <f>IFERROR(AVERAGEIF(Table1[Mon_Yr],Table611[[#This Row],[Month]],Table1[VisitNum_Month]),NA())</f>
        <v>8</v>
      </c>
      <c r="F57" s="44">
        <f>IFERROR(AVERAGEIF(Table1[Mon_Yr],Table611[[#This Row],[Month]],Table1[Cost_Per_Class]),NA())</f>
        <v>29.017499999999991</v>
      </c>
      <c r="G57" s="70">
        <f>IFERROR(AVERAGEIF(Table1[Mon_Yr],Table611[[#This Row],[Month]],Table1[Goal]),NA())</f>
        <v>12</v>
      </c>
    </row>
    <row r="58" spans="1:17">
      <c r="A58">
        <v>4</v>
      </c>
      <c r="B58" s="10" t="str">
        <f>IF($C$71=2019,"4-2019","4-2020")</f>
        <v>4-2020</v>
      </c>
      <c r="C58" s="7">
        <f>IF($C$71=2019,(199/12)*E58,232.14)</f>
        <v>232.14</v>
      </c>
      <c r="D58" s="7">
        <f>SUMIF(Table1[Mon_Yr],Table611[[#This Row],[Month]],Table1[ExtraExpenses])</f>
        <v>0</v>
      </c>
      <c r="E58" s="10" t="e">
        <f>IFERROR(AVERAGEIF(Table1[Mon_Yr],Table611[[#This Row],[Month]],Table1[VisitNum_Month]),NA())</f>
        <v>#N/A</v>
      </c>
      <c r="F58" s="44" t="e">
        <f>IFERROR(AVERAGEIF(Table1[Mon_Yr],Table611[[#This Row],[Month]],Table1[Cost_Per_Class]),NA())</f>
        <v>#N/A</v>
      </c>
      <c r="G58" s="70" t="e">
        <f>IFERROR(AVERAGEIF(Table1[Mon_Yr],Table611[[#This Row],[Month]],Table1[Goal]),NA())</f>
        <v>#N/A</v>
      </c>
    </row>
    <row r="59" spans="1:17">
      <c r="A59">
        <v>5</v>
      </c>
      <c r="B59" s="10" t="str">
        <f>IF($C$71=2019,"5-2019","5-2020")</f>
        <v>5-2020</v>
      </c>
      <c r="C59" s="7">
        <f>IF($C$71=2019,(199/12)*E59,232.14)</f>
        <v>232.14</v>
      </c>
      <c r="D59" s="7">
        <f>SUMIF(Table1[Mon_Yr],Table611[[#This Row],[Month]],Table1[ExtraExpenses])</f>
        <v>0</v>
      </c>
      <c r="E59" s="10" t="e">
        <f>IFERROR(AVERAGEIF(Table1[Mon_Yr],Table611[[#This Row],[Month]],Table1[VisitNum_Month]),NA())</f>
        <v>#N/A</v>
      </c>
      <c r="F59" s="44" t="e">
        <f>IFERROR(AVERAGEIF(Table1[Mon_Yr],Table611[[#This Row],[Month]],Table1[Cost_Per_Class]),NA())</f>
        <v>#N/A</v>
      </c>
      <c r="G59" s="70" t="e">
        <f>IFERROR(AVERAGEIF(Table1[Mon_Yr],Table611[[#This Row],[Month]],Table1[Goal]),NA())</f>
        <v>#N/A</v>
      </c>
    </row>
    <row r="60" spans="1:17">
      <c r="A60">
        <v>6</v>
      </c>
      <c r="B60" s="10" t="str">
        <f>IF($C$71=2019,"6-2019","6-2020")</f>
        <v>6-2020</v>
      </c>
      <c r="C60" s="7">
        <f>IF($C$71=2019,232.14+((199/12)*2),232.14)</f>
        <v>232.14</v>
      </c>
      <c r="D60" s="7">
        <f>SUMIF(Table1[Mon_Yr],Table611[[#This Row],[Month]],Table1[ExtraExpenses])</f>
        <v>0</v>
      </c>
      <c r="E60" s="10" t="e">
        <f>IFERROR(AVERAGEIF(Table1[Mon_Yr],Table611[[#This Row],[Month]],Table1[VisitNum_Month]),NA())</f>
        <v>#N/A</v>
      </c>
      <c r="F60" s="44" t="e">
        <f>IFERROR(AVERAGEIF(Table1[Mon_Yr],Table611[[#This Row],[Month]],Table1[Cost_Per_Class]),NA())</f>
        <v>#N/A</v>
      </c>
      <c r="G60" s="70" t="e">
        <f>IFERROR(AVERAGEIF(Table1[Mon_Yr],Table611[[#This Row],[Month]],Table1[Goal]),NA())</f>
        <v>#N/A</v>
      </c>
    </row>
    <row r="61" spans="1:17">
      <c r="A61">
        <v>7</v>
      </c>
      <c r="B61" s="10" t="str">
        <f>IF($C$71=2019,"7-2019","7-2020")</f>
        <v>7-2020</v>
      </c>
      <c r="C61" s="7">
        <v>232.14</v>
      </c>
      <c r="D61" s="7">
        <f>SUMIF(Table1[Mon_Yr],Table611[[#This Row],[Month]],Table1[ExtraExpenses])</f>
        <v>0</v>
      </c>
      <c r="E61" s="10" t="e">
        <f>IFERROR(AVERAGEIF(Table1[Mon_Yr],Table611[[#This Row],[Month]],Table1[VisitNum_Month]),NA())</f>
        <v>#N/A</v>
      </c>
      <c r="F61" s="44" t="e">
        <f>IFERROR(AVERAGEIF(Table1[Mon_Yr],Table611[[#This Row],[Month]],Table1[Cost_Per_Class]),NA())</f>
        <v>#N/A</v>
      </c>
      <c r="G61" s="70" t="e">
        <f>IFERROR(AVERAGEIF(Table1[Mon_Yr],Table611[[#This Row],[Month]],Table1[Goal]),NA())</f>
        <v>#N/A</v>
      </c>
    </row>
    <row r="62" spans="1:17">
      <c r="A62">
        <v>8</v>
      </c>
      <c r="B62" s="10" t="str">
        <f>IF($C$71=2019,"8-2019","8-2020")</f>
        <v>8-2020</v>
      </c>
      <c r="C62" s="7">
        <v>232.14</v>
      </c>
      <c r="D62" s="7">
        <f>SUMIF(Table1[Mon_Yr],Table611[[#This Row],[Month]],Table1[ExtraExpenses])</f>
        <v>0</v>
      </c>
      <c r="E62" s="10" t="e">
        <f>IFERROR(AVERAGEIF(Table1[Mon_Yr],Table611[[#This Row],[Month]],Table1[VisitNum_Month]),NA())</f>
        <v>#N/A</v>
      </c>
      <c r="F62" s="44" t="e">
        <f>IFERROR(AVERAGEIF(Table1[Mon_Yr],Table611[[#This Row],[Month]],Table1[Cost_Per_Class]),NA())</f>
        <v>#N/A</v>
      </c>
      <c r="G62" s="70" t="e">
        <f>IFERROR(AVERAGEIF(Table1[Mon_Yr],Table611[[#This Row],[Month]],Table1[Goal]),NA())</f>
        <v>#N/A</v>
      </c>
    </row>
    <row r="63" spans="1:17">
      <c r="A63">
        <v>9</v>
      </c>
      <c r="B63" s="10" t="str">
        <f>IF($C$71=2019,"9-2019","9-2020")</f>
        <v>9-2020</v>
      </c>
      <c r="C63" s="7">
        <v>232.14</v>
      </c>
      <c r="D63" s="7">
        <f>SUMIF(Table1[Mon_Yr],Table611[[#This Row],[Month]],Table1[ExtraExpenses])</f>
        <v>0</v>
      </c>
      <c r="E63" s="10" t="e">
        <f>IFERROR(AVERAGEIF(Table1[Mon_Yr],Table611[[#This Row],[Month]],Table1[VisitNum_Month]),NA())</f>
        <v>#N/A</v>
      </c>
      <c r="F63" s="44" t="e">
        <f>IFERROR(AVERAGEIF(Table1[Mon_Yr],Table611[[#This Row],[Month]],Table1[Cost_Per_Class]),NA())</f>
        <v>#N/A</v>
      </c>
      <c r="G63" s="70" t="e">
        <f>IFERROR(AVERAGEIF(Table1[Mon_Yr],Table611[[#This Row],[Month]],Table1[Goal]),NA())</f>
        <v>#N/A</v>
      </c>
    </row>
    <row r="64" spans="1:17">
      <c r="A64">
        <v>10</v>
      </c>
      <c r="B64" s="10" t="str">
        <f>IF($C$71=2019,"10-2019","10-2020")</f>
        <v>10-2020</v>
      </c>
      <c r="C64" s="7">
        <v>232.14</v>
      </c>
      <c r="D64" s="7">
        <f>SUMIF(Table1[Mon_Yr],Table611[[#This Row],[Month]],Table1[ExtraExpenses])</f>
        <v>0</v>
      </c>
      <c r="E64" s="10" t="e">
        <f>IFERROR(AVERAGEIF(Table1[Mon_Yr],Table611[[#This Row],[Month]],Table1[VisitNum_Month]),NA())</f>
        <v>#N/A</v>
      </c>
      <c r="F64" s="44" t="e">
        <f>IFERROR(AVERAGEIF(Table1[Mon_Yr],Table611[[#This Row],[Month]],Table1[Cost_Per_Class]),NA())</f>
        <v>#N/A</v>
      </c>
      <c r="G64" s="70" t="e">
        <f>IFERROR(AVERAGEIF(Table1[Mon_Yr],Table611[[#This Row],[Month]],Table1[Goal]),NA())</f>
        <v>#N/A</v>
      </c>
    </row>
    <row r="65" spans="1:14">
      <c r="A65">
        <v>11</v>
      </c>
      <c r="B65" s="10" t="str">
        <f>IF($C$71=2019,"11-2019","11-2020")</f>
        <v>11-2020</v>
      </c>
      <c r="C65" s="7">
        <v>232.14</v>
      </c>
      <c r="D65" s="7">
        <f>SUMIF(Table1[Mon_Yr],Table611[[#This Row],[Month]],Table1[ExtraExpenses])</f>
        <v>0</v>
      </c>
      <c r="E65" s="10" t="e">
        <f>IFERROR(AVERAGEIF(Table1[Mon_Yr],Table611[[#This Row],[Month]],Table1[VisitNum_Month]),NA())</f>
        <v>#N/A</v>
      </c>
      <c r="F65" s="44" t="e">
        <f>IFERROR(AVERAGEIF(Table1[Mon_Yr],Table611[[#This Row],[Month]],Table1[Cost_Per_Class]),NA())</f>
        <v>#N/A</v>
      </c>
      <c r="G65" s="70" t="e">
        <f>IFERROR(AVERAGEIF(Table1[Mon_Yr],Table611[[#This Row],[Month]],Table1[Goal]),NA())</f>
        <v>#N/A</v>
      </c>
    </row>
    <row r="66" spans="1:14">
      <c r="A66">
        <v>12</v>
      </c>
      <c r="B66" s="10" t="str">
        <f>IF($C$71=2019,"12-2019","12-2020")</f>
        <v>12-2020</v>
      </c>
      <c r="C66" s="7">
        <v>232.14</v>
      </c>
      <c r="D66" s="7">
        <f>SUMIF(Table1[Mon_Yr],Table611[[#This Row],[Month]],Table1[ExtraExpenses])</f>
        <v>0</v>
      </c>
      <c r="E66" s="10" t="e">
        <f>IFERROR(AVERAGEIF(Table1[Mon_Yr],Table611[[#This Row],[Month]],Table1[VisitNum_Month]),NA())</f>
        <v>#N/A</v>
      </c>
      <c r="F66" s="44" t="e">
        <f>IFERROR(AVERAGEIF(Table1[Mon_Yr],Table611[[#This Row],[Month]],Table1[Cost_Per_Class]),NA())</f>
        <v>#N/A</v>
      </c>
      <c r="G66" s="70" t="e">
        <f>IFERROR(AVERAGEIF(Table1[Mon_Yr],Table611[[#This Row],[Month]],Table1[Goal]),NA())</f>
        <v>#N/A</v>
      </c>
    </row>
    <row r="67" spans="1:14">
      <c r="B67" s="4"/>
      <c r="C67" s="43"/>
      <c r="D67" s="7"/>
      <c r="E67" s="10"/>
      <c r="F67" s="44"/>
      <c r="G67" s="43"/>
    </row>
    <row r="68" spans="1:14">
      <c r="A68" t="s">
        <v>190</v>
      </c>
    </row>
    <row r="69" spans="1:14">
      <c r="B69" t="s">
        <v>184</v>
      </c>
    </row>
    <row r="70" spans="1:14">
      <c r="B70">
        <v>2019</v>
      </c>
      <c r="C70" t="s">
        <v>189</v>
      </c>
    </row>
    <row r="71" spans="1:14">
      <c r="B71">
        <v>2020</v>
      </c>
      <c r="C71">
        <f>Dashboard!$D$30</f>
        <v>2020</v>
      </c>
    </row>
    <row r="73" spans="1:14">
      <c r="A73" t="s">
        <v>183</v>
      </c>
    </row>
    <row r="74" spans="1:14">
      <c r="A74" s="41" t="s">
        <v>182</v>
      </c>
      <c r="B74" s="42"/>
      <c r="C74" s="42"/>
      <c r="D74" s="42"/>
      <c r="E74" s="42"/>
      <c r="F74" s="42"/>
      <c r="G74" s="42"/>
      <c r="H74" s="42"/>
    </row>
    <row r="75" spans="1:14" s="12" customFormat="1">
      <c r="A75" s="52" t="str">
        <f>"Average Calories Burned and Splat Points Earned by Month in "&amp;F79</f>
        <v>Average Calories Burned and Splat Points Earned by Month in 2020</v>
      </c>
      <c r="I75"/>
      <c r="J75"/>
      <c r="K75"/>
      <c r="L75"/>
      <c r="M75"/>
      <c r="N75" s="10"/>
    </row>
    <row r="76" spans="1:14" s="12" customFormat="1">
      <c r="A76" s="46"/>
      <c r="I76"/>
      <c r="J76"/>
      <c r="K76"/>
      <c r="L76"/>
      <c r="M76"/>
      <c r="N76" s="10"/>
    </row>
    <row r="77" spans="1:14" s="12" customFormat="1">
      <c r="A77"/>
      <c r="B77" t="s">
        <v>47</v>
      </c>
      <c r="C77" t="s">
        <v>119</v>
      </c>
      <c r="D77" t="s">
        <v>118</v>
      </c>
      <c r="E77"/>
      <c r="N77" s="72"/>
    </row>
    <row r="78" spans="1:14" s="12" customFormat="1">
      <c r="A78">
        <v>1</v>
      </c>
      <c r="B78" s="10" t="str">
        <f>IF(F79=2019,"1-2019","1-2020")</f>
        <v>1-2020</v>
      </c>
      <c r="C78" s="45">
        <f>IFERROR(IF(Dashboard!$M$30=2019,AVERAGEIF(Table1[Mon_Yr],$B78,Table1[Splat]),AVERAGEIFS(Table1[Splat],Table1[Year],'Tab for Charts'!$E$80,Table1[Month],'Tab for Charts'!$A78)),NA())</f>
        <v>14.500000000134339</v>
      </c>
      <c r="D78" s="45">
        <f>IFERROR(IF(Dashboard!$M$30=2019,AVERAGEIF(Table1[Mon_Yr],$B78,Table1[Calories]),AVERAGEIFS(Table1[Calories],Table1[Year],'Tab for Charts'!$E$80,Table1[Month],'Tab for Charts'!$A78)),NA())</f>
        <v>613.00000000173634</v>
      </c>
      <c r="E78" t="s">
        <v>184</v>
      </c>
      <c r="F78" s="12" t="s">
        <v>189</v>
      </c>
      <c r="N78" s="72"/>
    </row>
    <row r="79" spans="1:14">
      <c r="A79">
        <v>2</v>
      </c>
      <c r="B79" s="10" t="str">
        <f>IF(F79=2019,"2-2019","2-2020")</f>
        <v>2-2020</v>
      </c>
      <c r="C79" s="45">
        <f>IFERROR(IF(Dashboard!$M$30=2019,AVERAGEIF(Table1[Mon_Yr],$B79,Table1[Splat]),AVERAGEIFS(Table1[Splat],Table1[Year],'Tab for Charts'!$E$80,Table1[Month],'Tab for Charts'!$A79)),NA())</f>
        <v>13.562500002731937</v>
      </c>
      <c r="D79" s="45">
        <f>IFERROR(IF(Dashboard!$M$30=2019,AVERAGEIF(Table1[Mon_Yr],$B79,Table1[Calories]),AVERAGEIFS(Table1[Calories],Table1[Year],'Tab for Charts'!$E$80,Table1[Month],'Tab for Charts'!$A79)),NA())</f>
        <v>598.68750000020839</v>
      </c>
      <c r="E79">
        <v>2019</v>
      </c>
      <c r="F79">
        <f>Dashboard!$M$30</f>
        <v>2020</v>
      </c>
      <c r="I79" s="12"/>
      <c r="J79" s="12"/>
      <c r="K79" s="12"/>
      <c r="L79" s="12"/>
      <c r="M79" s="12"/>
      <c r="N79" s="72"/>
    </row>
    <row r="80" spans="1:14">
      <c r="A80">
        <v>3</v>
      </c>
      <c r="B80" s="10" t="str">
        <f>IF(F79=2019,"3-2019","3-2020")</f>
        <v>3-2020</v>
      </c>
      <c r="C80" s="45">
        <f>IFERROR(IF(Dashboard!$M$30=2019,AVERAGEIF(Table1[Mon_Yr],$B80,Table1[Splat]),AVERAGEIFS(Table1[Splat],Table1[Year],'Tab for Charts'!$E$80,Table1[Month],'Tab for Charts'!$A80)),NA())</f>
        <v>13.00000000040418</v>
      </c>
      <c r="D80" s="45">
        <f>IFERROR(IF(Dashboard!$M$30=2019,AVERAGEIF(Table1[Mon_Yr],$B80,Table1[Calories]),AVERAGEIFS(Table1[Calories],Table1[Year],'Tab for Charts'!$E$80,Table1[Month],'Tab for Charts'!$A80)),NA())</f>
        <v>589.00000000005491</v>
      </c>
      <c r="E80">
        <v>2020</v>
      </c>
      <c r="I80" s="12"/>
      <c r="J80" s="12"/>
      <c r="K80" s="12"/>
      <c r="L80" s="12"/>
      <c r="M80" s="12"/>
      <c r="N80" s="72"/>
    </row>
    <row r="81" spans="1:6">
      <c r="A81">
        <v>4</v>
      </c>
      <c r="B81" s="10" t="str">
        <f>IF(F79=2019,"4-2019","4-2020")</f>
        <v>4-2020</v>
      </c>
      <c r="C81" s="45" t="e">
        <f>IFERROR(IF(Dashboard!$M$30=2019,AVERAGEIF(Table1[Mon_Yr],$B81,Table1[Splat]),AVERAGEIFS(Table1[Splat],Table1[Year],'Tab for Charts'!$E$80,Table1[Month],'Tab for Charts'!$A81)),NA())</f>
        <v>#N/A</v>
      </c>
      <c r="D81" s="45" t="e">
        <f>IFERROR(IF(Dashboard!$M$30=2019,AVERAGEIF(Table1[Mon_Yr],$B81,Table1[Calories]),AVERAGEIFS(Table1[Calories],Table1[Year],'Tab for Charts'!$E$80,Table1[Month],'Tab for Charts'!$A81)),NA())</f>
        <v>#N/A</v>
      </c>
      <c r="E81" s="45"/>
    </row>
    <row r="82" spans="1:6">
      <c r="A82">
        <v>5</v>
      </c>
      <c r="B82" s="10" t="str">
        <f>IF(F79=2019,"5-2019","5-2020")</f>
        <v>5-2020</v>
      </c>
      <c r="C82" s="45" t="e">
        <f>IFERROR(IF(Dashboard!$M$30=2019,AVERAGEIF(Table1[Mon_Yr],$B82,Table1[Splat]),AVERAGEIFS(Table1[Splat],Table1[Year],'Tab for Charts'!$E$80,Table1[Month],'Tab for Charts'!$A82)),NA())</f>
        <v>#N/A</v>
      </c>
      <c r="D82" s="45" t="e">
        <f>IFERROR(IF(Dashboard!$M$30=2019,AVERAGEIF(Table1[Mon_Yr],$B82,Table1[Calories]),AVERAGEIFS(Table1[Calories],Table1[Year],'Tab for Charts'!$E$80,Table1[Month],'Tab for Charts'!$A82)),NA())</f>
        <v>#N/A</v>
      </c>
      <c r="E82" s="45"/>
    </row>
    <row r="83" spans="1:6">
      <c r="A83">
        <v>6</v>
      </c>
      <c r="B83" s="10" t="str">
        <f>IF(F79=2019,"6-2019","6-2020")</f>
        <v>6-2020</v>
      </c>
      <c r="C83" s="45" t="e">
        <f>IFERROR(IF(Dashboard!$M$30=2019,AVERAGEIF(Table1[Mon_Yr],$B83,Table1[Splat]),AVERAGEIFS(Table1[Splat],Table1[Year],'Tab for Charts'!$E$80,Table1[Month],'Tab for Charts'!$A83)),NA())</f>
        <v>#N/A</v>
      </c>
      <c r="D83" s="45" t="e">
        <f>IFERROR(IF(Dashboard!$M$30=2019,AVERAGEIF(Table1[Mon_Yr],$B83,Table1[Calories]),AVERAGEIFS(Table1[Calories],Table1[Year],'Tab for Charts'!$E$80,Table1[Month],'Tab for Charts'!$A83)),NA())</f>
        <v>#N/A</v>
      </c>
      <c r="E83" s="45"/>
      <c r="F83" s="45"/>
    </row>
    <row r="84" spans="1:6">
      <c r="A84">
        <v>7</v>
      </c>
      <c r="B84" s="10" t="str">
        <f>IF(F79=2019,"7-2019","7-2020")</f>
        <v>7-2020</v>
      </c>
      <c r="C84" s="45" t="e">
        <f>IFERROR(IF(Dashboard!$M$30=2019,AVERAGEIF(Table1[Mon_Yr],$B84,Table1[Splat]),AVERAGEIFS(Table1[Splat],Table1[Year],'Tab for Charts'!$E$80,Table1[Month],'Tab for Charts'!$A84)),NA())</f>
        <v>#N/A</v>
      </c>
      <c r="D84" s="45" t="e">
        <f>IFERROR(IF(Dashboard!$M$30=2019,AVERAGEIF(Table1[Mon_Yr],$B84,Table1[Calories]),AVERAGEIFS(Table1[Calories],Table1[Year],'Tab for Charts'!$E$80,Table1[Month],'Tab for Charts'!$A84)),NA())</f>
        <v>#N/A</v>
      </c>
      <c r="E84" s="45"/>
      <c r="F84" s="45"/>
    </row>
    <row r="85" spans="1:6">
      <c r="A85">
        <v>8</v>
      </c>
      <c r="B85" s="10" t="str">
        <f>IF(F79=2019,"8-2019","8-2020")</f>
        <v>8-2020</v>
      </c>
      <c r="C85" s="45" t="e">
        <f>IFERROR(IF(Dashboard!$M$30=2019,AVERAGEIF(Table1[Mon_Yr],$B85,Table1[Splat]),AVERAGEIFS(Table1[Splat],Table1[Year],'Tab for Charts'!$E$80,Table1[Month],'Tab for Charts'!$A85)),NA())</f>
        <v>#N/A</v>
      </c>
      <c r="D85" s="45" t="e">
        <f>IFERROR(IF(Dashboard!$M$30=2019,AVERAGEIF(Table1[Mon_Yr],$B85,Table1[Calories]),AVERAGEIFS(Table1[Calories],Table1[Year],'Tab for Charts'!$E$80,Table1[Month],'Tab for Charts'!$A85)),NA())</f>
        <v>#N/A</v>
      </c>
      <c r="E85" s="45"/>
      <c r="F85" s="45"/>
    </row>
    <row r="86" spans="1:6">
      <c r="A86">
        <v>9</v>
      </c>
      <c r="B86" s="10" t="str">
        <f>IF(F79=2019,"9-2019","9-2020")</f>
        <v>9-2020</v>
      </c>
      <c r="C86" s="45" t="e">
        <f>IFERROR(IF(Dashboard!$M$30=2019,AVERAGEIF(Table1[Mon_Yr],$B86,Table1[Splat]),AVERAGEIFS(Table1[Splat],Table1[Year],'Tab for Charts'!$E$80,Table1[Month],'Tab for Charts'!$A86)),NA())</f>
        <v>#N/A</v>
      </c>
      <c r="D86" s="45" t="e">
        <f>IFERROR(IF(Dashboard!$M$30=2019,AVERAGEIF(Table1[Mon_Yr],$B86,Table1[Calories]),AVERAGEIFS(Table1[Calories],Table1[Year],'Tab for Charts'!$E$80,Table1[Month],'Tab for Charts'!$A86)),NA())</f>
        <v>#N/A</v>
      </c>
      <c r="E86" s="45"/>
      <c r="F86" s="45"/>
    </row>
    <row r="87" spans="1:6">
      <c r="A87">
        <v>10</v>
      </c>
      <c r="B87" s="10" t="str">
        <f>IF(F79=2019,"10-2019","10-2020")</f>
        <v>10-2020</v>
      </c>
      <c r="C87" s="45" t="e">
        <f>IFERROR(IF(Dashboard!$M$30=2019,AVERAGEIF(Table1[Mon_Yr],$B87,Table1[Splat]),AVERAGEIFS(Table1[Splat],Table1[Year],'Tab for Charts'!$E$80,Table1[Month],'Tab for Charts'!$A87)),NA())</f>
        <v>#N/A</v>
      </c>
      <c r="D87" s="45" t="e">
        <f>IFERROR(IF(Dashboard!$M$30=2019,AVERAGEIF(Table1[Mon_Yr],$B87,Table1[Calories]),AVERAGEIFS(Table1[Calories],Table1[Year],'Tab for Charts'!$E$80,Table1[Month],'Tab for Charts'!$A87)),NA())</f>
        <v>#N/A</v>
      </c>
      <c r="E87" s="45"/>
      <c r="F87" s="45"/>
    </row>
    <row r="88" spans="1:6">
      <c r="A88">
        <v>11</v>
      </c>
      <c r="B88" s="10" t="str">
        <f>IF(F79=2019,"11-2019","11-2020")</f>
        <v>11-2020</v>
      </c>
      <c r="C88" s="45" t="e">
        <f>IFERROR(IF(Dashboard!$M$30=2019,AVERAGEIF(Table1[Mon_Yr],$B88,Table1[Splat]),AVERAGEIFS(Table1[Splat],Table1[Year],'Tab for Charts'!$E$80,Table1[Month],'Tab for Charts'!$A88)),NA())</f>
        <v>#N/A</v>
      </c>
      <c r="D88" s="45" t="e">
        <f>IFERROR(IF(Dashboard!$M$30=2019,AVERAGEIF(Table1[Mon_Yr],$B88,Table1[Calories]),AVERAGEIFS(Table1[Calories],Table1[Year],'Tab for Charts'!$E$80,Table1[Month],'Tab for Charts'!$A88)),NA())</f>
        <v>#N/A</v>
      </c>
      <c r="E88" s="45"/>
      <c r="F88" s="45"/>
    </row>
    <row r="89" spans="1:6">
      <c r="A89">
        <v>12</v>
      </c>
      <c r="B89" s="10" t="str">
        <f>IF(F79=2019,"12-2019","12-2020")</f>
        <v>12-2020</v>
      </c>
      <c r="C89" s="45" t="e">
        <f>IFERROR(IF(Dashboard!$M$30=2019,AVERAGEIF(Table1[Mon_Yr],$B89,Table1[Splat]),AVERAGEIFS(Table1[Splat],Table1[Year],'Tab for Charts'!$E$80,Table1[Month],'Tab for Charts'!$A89)),NA())</f>
        <v>#N/A</v>
      </c>
      <c r="D89" s="45" t="e">
        <f>IFERROR(IF(Dashboard!$M$30=2019,AVERAGEIF(Table1[Mon_Yr],$B89,Table1[Calories]),AVERAGEIFS(Table1[Calories],Table1[Year],'Tab for Charts'!$E$80,Table1[Month],'Tab for Charts'!$A89)),NA())</f>
        <v>#N/A</v>
      </c>
      <c r="E89" s="45"/>
      <c r="F89" s="45"/>
    </row>
    <row r="90" spans="1:6">
      <c r="B90" s="50"/>
      <c r="C90" s="51"/>
      <c r="D90" s="51"/>
      <c r="F90" s="45"/>
    </row>
    <row r="91" spans="1:6">
      <c r="F91" s="45"/>
    </row>
    <row r="92" spans="1:6">
      <c r="F92" s="45"/>
    </row>
    <row r="93" spans="1:6">
      <c r="B93" t="s">
        <v>215</v>
      </c>
      <c r="C93" t="s">
        <v>216</v>
      </c>
    </row>
    <row r="94" spans="1:6" ht="17">
      <c r="A94" t="s">
        <v>15</v>
      </c>
      <c r="B94" s="77">
        <v>38.916486999999996</v>
      </c>
      <c r="C94" s="77">
        <v>-77.031514000000001</v>
      </c>
    </row>
    <row r="95" spans="1:6" ht="17">
      <c r="A95" t="s">
        <v>210</v>
      </c>
      <c r="B95" s="77">
        <v>38.934710000000003</v>
      </c>
      <c r="C95" s="77">
        <v>-77.058222999999998</v>
      </c>
    </row>
    <row r="96" spans="1:6" ht="17">
      <c r="A96" t="s">
        <v>6</v>
      </c>
      <c r="B96" s="77">
        <v>38.881884999999997</v>
      </c>
      <c r="C96" s="77">
        <v>-77.229702000000003</v>
      </c>
    </row>
    <row r="97" spans="1:3" ht="17">
      <c r="A97" t="s">
        <v>21</v>
      </c>
      <c r="B97" s="77">
        <v>38.903509999999997</v>
      </c>
      <c r="C97" s="77">
        <v>-77.051809000000006</v>
      </c>
    </row>
    <row r="98" spans="1:3" ht="17">
      <c r="A98" t="s">
        <v>198</v>
      </c>
      <c r="B98" s="77">
        <v>38.915415000000003</v>
      </c>
      <c r="C98" s="77">
        <v>-77.067172999999997</v>
      </c>
    </row>
    <row r="99" spans="1:3" ht="17">
      <c r="A99" t="s">
        <v>170</v>
      </c>
      <c r="B99" s="77">
        <v>40.724210999999997</v>
      </c>
      <c r="C99" s="77">
        <v>-74.036191000000002</v>
      </c>
    </row>
    <row r="100" spans="1:3" ht="17">
      <c r="A100" t="s">
        <v>201</v>
      </c>
      <c r="B100" s="77">
        <v>38.901815999999997</v>
      </c>
      <c r="C100" s="77">
        <v>-77.017055999999997</v>
      </c>
    </row>
    <row r="101" spans="1:3" ht="17">
      <c r="A101" t="s">
        <v>49</v>
      </c>
      <c r="B101" s="77">
        <v>38.879828000000003</v>
      </c>
      <c r="C101" s="77">
        <v>-77.005566000000002</v>
      </c>
    </row>
    <row r="102" spans="1:3" ht="17">
      <c r="A102" t="s">
        <v>12</v>
      </c>
      <c r="B102" s="77">
        <v>38.894024999999999</v>
      </c>
      <c r="C102" s="77">
        <v>-77.078213000000005</v>
      </c>
    </row>
    <row r="103" spans="1:3" ht="17">
      <c r="A103" t="s">
        <v>37</v>
      </c>
      <c r="B103" s="77">
        <v>38.904280999999997</v>
      </c>
      <c r="C103" s="77">
        <v>-77.031495000000007</v>
      </c>
    </row>
  </sheetData>
  <phoneticPr fontId="4" type="noConversion"/>
  <dataValidations disablePrompts="1" count="1">
    <dataValidation type="list" allowBlank="1" showInputMessage="1" showErrorMessage="1" sqref="K81" xr:uid="{8CF67355-2A63-FF4A-AE5C-B282F1EE786D}">
      <formula1>#REF!</formula1>
    </dataValidation>
  </dataValidations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2C15B-0238-1C4A-9DB3-04C020CB901F}">
  <dimension ref="A1:R52"/>
  <sheetViews>
    <sheetView showGridLines="0" topLeftCell="A3" zoomScaleNormal="100" workbookViewId="0">
      <selection activeCell="C28" sqref="C28"/>
    </sheetView>
  </sheetViews>
  <sheetFormatPr baseColWidth="10" defaultRowHeight="16"/>
  <cols>
    <col min="2" max="2" width="10" customWidth="1"/>
    <col min="3" max="3" width="18.5" bestFit="1" customWidth="1"/>
    <col min="4" max="4" width="16.33203125" bestFit="1" customWidth="1"/>
    <col min="5" max="5" width="9.83203125" bestFit="1" customWidth="1"/>
    <col min="6" max="6" width="11" customWidth="1"/>
    <col min="7" max="7" width="10.5" customWidth="1"/>
    <col min="8" max="8" width="12.5" bestFit="1" customWidth="1"/>
    <col min="9" max="9" width="10.83203125" bestFit="1" customWidth="1"/>
    <col min="10" max="10" width="8.5" bestFit="1" customWidth="1"/>
    <col min="12" max="12" width="9" bestFit="1" customWidth="1"/>
    <col min="15" max="15" width="11.1640625" bestFit="1" customWidth="1"/>
  </cols>
  <sheetData>
    <row r="1" spans="1:18" s="12" customFormat="1">
      <c r="A1" s="63"/>
      <c r="B1" s="59"/>
      <c r="C1" s="60"/>
      <c r="D1" s="59"/>
      <c r="E1" s="16" t="s">
        <v>1</v>
      </c>
      <c r="F1" s="16" t="s">
        <v>84</v>
      </c>
      <c r="G1" s="16" t="s">
        <v>85</v>
      </c>
      <c r="H1" s="16" t="s">
        <v>86</v>
      </c>
      <c r="I1" s="16" t="s">
        <v>163</v>
      </c>
      <c r="J1" s="16" t="s">
        <v>164</v>
      </c>
      <c r="K1" s="16" t="s">
        <v>165</v>
      </c>
      <c r="L1" s="16" t="s">
        <v>166</v>
      </c>
      <c r="M1" s="61"/>
      <c r="N1" s="76"/>
      <c r="O1" s="76"/>
      <c r="P1" s="13"/>
      <c r="Q1" s="59"/>
      <c r="R1" s="62"/>
    </row>
    <row r="2" spans="1:18">
      <c r="A2" s="64"/>
      <c r="B2" s="13"/>
      <c r="C2" s="14"/>
      <c r="D2" s="13"/>
      <c r="E2" s="20" t="s">
        <v>127</v>
      </c>
      <c r="F2" s="17" t="s">
        <v>127</v>
      </c>
      <c r="G2" s="18">
        <f>COUNT(Table1[VisitNum])</f>
        <v>143</v>
      </c>
      <c r="H2" s="37">
        <f>SUM(Table1[Cost_Per_Class])/G2</f>
        <v>18.408979020979039</v>
      </c>
      <c r="I2" s="19">
        <f>SUM(Table1[Calories])</f>
        <v>87503.000000418819</v>
      </c>
      <c r="J2" s="19">
        <f>SUM(Table1[Splat])</f>
        <v>1940.0000003702976</v>
      </c>
      <c r="K2" s="49">
        <f>I2/G2</f>
        <v>611.90909091201968</v>
      </c>
      <c r="L2" s="49">
        <f>J2/G2</f>
        <v>13.56643356902306</v>
      </c>
      <c r="M2" s="35"/>
      <c r="N2" s="74" t="s">
        <v>131</v>
      </c>
      <c r="O2" s="75">
        <f>Data!C2</f>
        <v>43538</v>
      </c>
      <c r="P2" s="13"/>
      <c r="Q2" s="13"/>
      <c r="R2" s="57"/>
    </row>
    <row r="3" spans="1:18">
      <c r="A3" s="64"/>
      <c r="B3" s="13"/>
      <c r="C3" s="14"/>
      <c r="D3" s="13"/>
      <c r="E3" s="20">
        <f ca="1">YEAR(TODAY())</f>
        <v>2020</v>
      </c>
      <c r="F3" s="17" t="s">
        <v>87</v>
      </c>
      <c r="G3" s="18">
        <f ca="1">COUNTIF(Table1[Year],Dashboard!$E3)</f>
        <v>38</v>
      </c>
      <c r="H3" s="37">
        <f ca="1">SUMIF(Table1[Year],Dashboard!E3,Table1[Cost_Per_Class])/G3</f>
        <v>18.326842105263172</v>
      </c>
      <c r="I3" s="19">
        <f ca="1">SUMIF(Table1[Year],Dashboard!$E3,Table1[Calories])</f>
        <v>22873.000000028082</v>
      </c>
      <c r="J3" s="19">
        <f ca="1">SUMIF(Table1[Year],Dashboard!$E3,Table1[Splat])</f>
        <v>524.00000004882497</v>
      </c>
      <c r="K3" s="49">
        <f ca="1">I3/G3</f>
        <v>601.92105263231792</v>
      </c>
      <c r="L3" s="49">
        <f t="shared" ref="L3:L4" ca="1" si="0">J3/G3</f>
        <v>13.789473685495395</v>
      </c>
      <c r="M3" s="35"/>
      <c r="N3" s="14" t="s">
        <v>132</v>
      </c>
      <c r="O3" s="35">
        <f>LOOKUP(2,1/(Data!C:C&lt;&gt;""),Data!C:C)</f>
        <v>43904</v>
      </c>
      <c r="P3" s="13"/>
      <c r="Q3" s="13"/>
      <c r="R3" s="57"/>
    </row>
    <row r="4" spans="1:18">
      <c r="A4" s="65"/>
      <c r="B4" s="54"/>
      <c r="C4" s="54"/>
      <c r="D4" s="54"/>
      <c r="E4" s="20" t="str">
        <f ca="1">MONTH(TODAY())&amp;"-"&amp;YEAR(TODAY())</f>
        <v>5-2020</v>
      </c>
      <c r="F4" s="17" t="s">
        <v>88</v>
      </c>
      <c r="G4" s="18">
        <f ca="1">COUNTIF(Table1[Mon_Yr],Dashboard!E4)</f>
        <v>0</v>
      </c>
      <c r="H4" s="37" t="e">
        <f ca="1">SUMIF(Table1[Mon_Yr],Dashboard!E4,Table1[Cost_Per_Class])/G4</f>
        <v>#DIV/0!</v>
      </c>
      <c r="I4" s="19">
        <f ca="1">SUMIF(Table1[Mon_Yr],Dashboard!$E4,Table1[Calories])</f>
        <v>0</v>
      </c>
      <c r="J4" s="19">
        <f ca="1">SUMIF(Table1[Mon_Yr],Dashboard!$E4,Table1[Splat])</f>
        <v>0</v>
      </c>
      <c r="K4" s="49" t="e">
        <f ca="1">I4/G4</f>
        <v>#DIV/0!</v>
      </c>
      <c r="L4" s="49" t="e">
        <f t="shared" ca="1" si="0"/>
        <v>#DIV/0!</v>
      </c>
      <c r="M4" s="54"/>
      <c r="N4" s="54"/>
      <c r="O4" s="54"/>
      <c r="P4" s="54"/>
      <c r="Q4" s="54"/>
      <c r="R4" s="58"/>
    </row>
    <row r="5" spans="1:18">
      <c r="A5" s="66"/>
      <c r="B5" s="15"/>
      <c r="C5" s="15"/>
      <c r="D5" s="15"/>
      <c r="E5" s="15"/>
      <c r="F5" s="15"/>
      <c r="G5" s="36"/>
      <c r="H5" s="15"/>
      <c r="I5" s="15"/>
      <c r="J5" s="15"/>
      <c r="K5" s="15"/>
      <c r="L5" s="36"/>
      <c r="M5" s="15"/>
      <c r="N5" s="15"/>
      <c r="O5" s="15"/>
      <c r="P5" s="15"/>
      <c r="Q5" s="15"/>
      <c r="R5" s="55"/>
    </row>
    <row r="6" spans="1:18">
      <c r="A6" s="66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56"/>
    </row>
    <row r="7" spans="1:18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56"/>
    </row>
    <row r="8" spans="1:18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56"/>
    </row>
    <row r="9" spans="1:18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56"/>
    </row>
    <row r="10" spans="1:18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56"/>
    </row>
    <row r="11" spans="1:18">
      <c r="A11" s="28" t="s">
        <v>133</v>
      </c>
      <c r="B11" s="29"/>
      <c r="C11" s="29"/>
      <c r="D11" s="29"/>
      <c r="E11" s="30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56"/>
    </row>
    <row r="12" spans="1:18">
      <c r="A12" s="25" t="s">
        <v>162</v>
      </c>
      <c r="B12" s="26" t="s">
        <v>0</v>
      </c>
      <c r="C12" s="26" t="s">
        <v>4</v>
      </c>
      <c r="D12" s="26" t="s">
        <v>5</v>
      </c>
      <c r="E12" s="27" t="s">
        <v>3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56"/>
    </row>
    <row r="13" spans="1:18">
      <c r="A13" s="16">
        <v>1</v>
      </c>
      <c r="B13" s="21">
        <f>IF('Tab for Charts'!$B$3=1,INDEX(Table1[Date],MATCH(LARGE(Table1[Calories],Dashboard!$A13),Table1[Calories],0)),INDEX(Table1[Date],MATCH(SMALL(Table1[Calories],Dashboard!$A13),Table1[Calories],0)))</f>
        <v>43763</v>
      </c>
      <c r="C13" s="21" t="str">
        <f>IF('Tab for Charts'!$B$3=1,INDEX(Table1[Location],MATCH(LARGE(Table1[Calories],Dashboard!$A13),Table1[Calories],0)),INDEX(Table1[Location],MATCH(SMALL(Table1[Calories],Dashboard!$A13),Table1[Calories],0)))</f>
        <v>14th Street, DC</v>
      </c>
      <c r="D13" s="21" t="str">
        <f>IF('Tab for Charts'!$B$3=1,INDEX(Table1[Trainer],MATCH(LARGE(Table1[Calories],Dashboard!$A13),Table1[Calories],0)),INDEX(Table1[Trainer],MATCH(SMALL(Table1[Calories],Dashboard!$A13),Table1[Calories],0)))</f>
        <v>Luke</v>
      </c>
      <c r="E13" s="23">
        <f>IF('Tab for Charts'!$B$3=1,INDEX(Table1[Calories],MATCH(LARGE(Table1[Calories],Dashboard!$A13),Table1[Calories],0)),INDEX(Table1[Calories],MATCH(SMALL(Table1[Calories],Dashboard!$A13),Table1[Calories],0)))</f>
        <v>447.00000000000074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56"/>
    </row>
    <row r="14" spans="1:18">
      <c r="A14" s="17">
        <v>2</v>
      </c>
      <c r="B14" s="24">
        <f>IF('Tab for Charts'!$B$3=1,INDEX(Table1[Date],MATCH(LARGE(Table1[Calories],Dashboard!$A14),Table1[Calories],0)),INDEX(Table1[Date],MATCH(SMALL(Table1[Calories],Dashboard!$A14),Table1[Calories],0)))</f>
        <v>43858</v>
      </c>
      <c r="C14" s="24" t="str">
        <f>IF('Tab for Charts'!$B$3=1,INDEX(Table1[Location],MATCH(LARGE(Table1[Calories],Dashboard!$A14),Table1[Calories],0)),INDEX(Table1[Location],MATCH(SMALL(Table1[Calories],Dashboard!$A14),Table1[Calories],0)))</f>
        <v>Dunn Lorring, VA</v>
      </c>
      <c r="D14" s="24" t="str">
        <f>IF('Tab for Charts'!$B$3=1,INDEX(Table1[Trainer],MATCH(LARGE(Table1[Calories],Dashboard!$A14),Table1[Calories],0)),INDEX(Table1[Trainer],MATCH(SMALL(Table1[Calories],Dashboard!$A14),Table1[Calories],0)))</f>
        <v>Kandace</v>
      </c>
      <c r="E14" s="22">
        <f>IF('Tab for Charts'!$B$3=1,INDEX(Table1[Calories],MATCH(LARGE(Table1[Calories],Dashboard!$A14),Table1[Calories],0)),INDEX(Table1[Calories],MATCH(SMALL(Table1[Calories],Dashboard!$A14),Table1[Calories],0)))</f>
        <v>502.00000000000119</v>
      </c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56"/>
    </row>
    <row r="15" spans="1:18">
      <c r="A15" s="16">
        <v>3</v>
      </c>
      <c r="B15" s="21">
        <f>IF('Tab for Charts'!$B$3=1,INDEX(Table1[Date],MATCH(LARGE(Table1[Calories],Dashboard!$A15),Table1[Calories],0)),INDEX(Table1[Date],MATCH(SMALL(Table1[Calories],Dashboard!$A15),Table1[Calories],0)))</f>
        <v>43852</v>
      </c>
      <c r="C15" s="21" t="str">
        <f>IF('Tab for Charts'!$B$3=1,INDEX(Table1[Location],MATCH(LARGE(Table1[Calories],Dashboard!$A15),Table1[Calories],0)),INDEX(Table1[Location],MATCH(SMALL(Table1[Calories],Dashboard!$A15),Table1[Calories],0)))</f>
        <v>Foggy Bottom, DC</v>
      </c>
      <c r="D15" s="21" t="str">
        <f>IF('Tab for Charts'!$B$3=1,INDEX(Table1[Trainer],MATCH(LARGE(Table1[Calories],Dashboard!$A15),Table1[Calories],0)),INDEX(Table1[Trainer],MATCH(SMALL(Table1[Calories],Dashboard!$A15),Table1[Calories],0)))</f>
        <v>Damani</v>
      </c>
      <c r="E15" s="23">
        <f>IF('Tab for Charts'!$B$3=1,INDEX(Table1[Calories],MATCH(LARGE(Table1[Calories],Dashboard!$A15),Table1[Calories],0)),INDEX(Table1[Calories],MATCH(SMALL(Table1[Calories],Dashboard!$A15),Table1[Calories],0)))</f>
        <v>503.00000000011602</v>
      </c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56"/>
    </row>
    <row r="16" spans="1:18">
      <c r="A16" s="17">
        <v>4</v>
      </c>
      <c r="B16" s="24">
        <f>IF('Tab for Charts'!$B$3=1,INDEX(Table1[Date],MATCH(LARGE(Table1[Calories],Dashboard!$A16),Table1[Calories],0)),INDEX(Table1[Date],MATCH(SMALL(Table1[Calories],Dashboard!$A16),Table1[Calories],0)))</f>
        <v>43691</v>
      </c>
      <c r="C16" s="24" t="str">
        <f>IF('Tab for Charts'!$B$3=1,INDEX(Table1[Location],MATCH(LARGE(Table1[Calories],Dashboard!$A16),Table1[Calories],0)),INDEX(Table1[Location],MATCH(SMALL(Table1[Calories],Dashboard!$A16),Table1[Calories],0)))</f>
        <v>Foggy Bottom, DC</v>
      </c>
      <c r="D16" s="24" t="str">
        <f>IF('Tab for Charts'!$B$3=1,INDEX(Table1[Trainer],MATCH(LARGE(Table1[Calories],Dashboard!$A16),Table1[Calories],0)),INDEX(Table1[Trainer],MATCH(SMALL(Table1[Calories],Dashboard!$A16),Table1[Calories],0)))</f>
        <v>Demi</v>
      </c>
      <c r="E16" s="22">
        <f>IF('Tab for Charts'!$B$3=1,INDEX(Table1[Calories],MATCH(LARGE(Table1[Calories],Dashboard!$A16),Table1[Calories],0)),INDEX(Table1[Calories],MATCH(SMALL(Table1[Calories],Dashboard!$A16),Table1[Calories],0)))</f>
        <v>523.00000000390003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56"/>
    </row>
    <row r="17" spans="1:18">
      <c r="A17" s="16">
        <v>5</v>
      </c>
      <c r="B17" s="21">
        <f>IF('Tab for Charts'!$B$3=1,INDEX(Table1[Date],MATCH(LARGE(Table1[Calories],Dashboard!$A17),Table1[Calories],0)),INDEX(Table1[Date],MATCH(SMALL(Table1[Calories],Dashboard!$A17),Table1[Calories],0)))</f>
        <v>43904</v>
      </c>
      <c r="C17" s="21" t="str">
        <f>IF('Tab for Charts'!$B$3=1,INDEX(Table1[Location],MATCH(LARGE(Table1[Calories],Dashboard!$A17),Table1[Calories],0)),INDEX(Table1[Location],MATCH(SMALL(Table1[Calories],Dashboard!$A17),Table1[Calories],0)))</f>
        <v>Cleveland Park, DC</v>
      </c>
      <c r="D17" s="21" t="str">
        <f>IF('Tab for Charts'!$B$3=1,INDEX(Table1[Trainer],MATCH(LARGE(Table1[Calories],Dashboard!$A17),Table1[Calories],0)),INDEX(Table1[Trainer],MATCH(SMALL(Table1[Calories],Dashboard!$A17),Table1[Calories],0)))</f>
        <v>Eva</v>
      </c>
      <c r="E17" s="23">
        <f>IF('Tab for Charts'!$B$3=1,INDEX(Table1[Calories],MATCH(LARGE(Table1[Calories],Dashboard!$A17),Table1[Calories],0)),INDEX(Table1[Calories],MATCH(SMALL(Table1[Calories],Dashboard!$A17),Table1[Calories],0)))</f>
        <v>525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56"/>
    </row>
    <row r="18" spans="1:18">
      <c r="A18" s="66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56"/>
    </row>
    <row r="19" spans="1:18">
      <c r="A19" s="28" t="s">
        <v>134</v>
      </c>
      <c r="B19" s="28"/>
      <c r="C19" s="28"/>
      <c r="D19" s="28"/>
      <c r="E19" s="31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56"/>
    </row>
    <row r="20" spans="1:18">
      <c r="A20" s="26" t="s">
        <v>162</v>
      </c>
      <c r="B20" s="26" t="s">
        <v>0</v>
      </c>
      <c r="C20" s="26" t="s">
        <v>4</v>
      </c>
      <c r="D20" s="26" t="s">
        <v>5</v>
      </c>
      <c r="E20" s="26" t="s">
        <v>2</v>
      </c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56"/>
    </row>
    <row r="21" spans="1:18">
      <c r="A21" s="16">
        <v>1</v>
      </c>
      <c r="B21" s="21">
        <f>IF('Tab for Charts'!$B$3=1,INDEX(Table1[Date],MATCH(LARGE(Table1[Splat],Dashboard!$A13),Table1[Splat],0)),INDEX(Table1[Date],MATCH(SMALL(Table1[Splat],Dashboard!$A13),Table1[Splat],0)))</f>
        <v>43904</v>
      </c>
      <c r="C21" s="21" t="str">
        <f>IF('Tab for Charts'!$B$3=1,INDEX(Table1[Location],MATCH(LARGE(Table1[Splat],Dashboard!$A13),Table1[Splat],0)),INDEX(Table1[Location],MATCH(SMALL(Table1[Splat],Dashboard!$A13),Table1[Splat],0)))</f>
        <v>Cleveland Park, DC</v>
      </c>
      <c r="D21" s="21" t="str">
        <f>IF('Tab for Charts'!$B$3=1,INDEX(Table1[Trainer],MATCH(LARGE(Table1[Splat],Dashboard!$A13),Table1[Splat],0)),INDEX(Table1[Trainer],MATCH(SMALL(Table1[Splat],Dashboard!$A13),Table1[Splat],0)))</f>
        <v>Eva</v>
      </c>
      <c r="E21" s="32">
        <f>(IF('Tab for Charts'!$B$3=1,INDEX(Table1[Splat],MATCH(LARGE(Table1[Splat],Dashboard!$A13),Table1[Splat],0)),INDEX(Table1[Splat],MATCH(SMALL(Table1[Splat],Dashboard!$A13),Table1[Splat],0))))</f>
        <v>0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56"/>
    </row>
    <row r="22" spans="1:18">
      <c r="A22" s="17">
        <v>2</v>
      </c>
      <c r="B22" s="24">
        <f>IF('Tab for Charts'!$B$3=1,INDEX(Table1[Date],MATCH(LARGE(Table1[Splat],Dashboard!$A14),Table1[Splat],0)),INDEX(Table1[Date],MATCH(SMALL(Table1[Splat],Dashboard!$A14),Table1[Splat],0)))</f>
        <v>43538</v>
      </c>
      <c r="C22" s="24" t="str">
        <f>IF('Tab for Charts'!$B$3=1,INDEX(Table1[Location],MATCH(LARGE(Table1[Splat],Dashboard!$A14),Table1[Splat],0)),INDEX(Table1[Location],MATCH(SMALL(Table1[Splat],Dashboard!$A14),Table1[Splat],0)))</f>
        <v>Dunn Lorring, VA</v>
      </c>
      <c r="D22" s="24" t="str">
        <f>IF('Tab for Charts'!$B$3=1,INDEX(Table1[Trainer],MATCH(LARGE(Table1[Splat],Dashboard!$A14),Table1[Splat],0)),INDEX(Table1[Trainer],MATCH(SMALL(Table1[Splat],Dashboard!$A14),Table1[Splat],0)))</f>
        <v>Audrey</v>
      </c>
      <c r="E22" s="33">
        <f>(IF('Tab for Charts'!$B$3=1,INDEX(Table1[Splat],MATCH(LARGE(Table1[Splat],Dashboard!$A14),Table1[Splat],0)),INDEX(Table1[Splat],MATCH(SMALL(Table1[Splat],Dashboard!$A14),Table1[Splat],0))))</f>
        <v>1.0000000002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56"/>
    </row>
    <row r="23" spans="1:18">
      <c r="A23" s="16">
        <v>3</v>
      </c>
      <c r="B23" s="21">
        <f>IF('Tab for Charts'!$B$3=1,INDEX(Table1[Date],MATCH(LARGE(Table1[Splat],Dashboard!$A15),Table1[Splat],0)),INDEX(Table1[Date],MATCH(SMALL(Table1[Splat],Dashboard!$A15),Table1[Splat],0)))</f>
        <v>43545</v>
      </c>
      <c r="C23" s="21" t="str">
        <f>IF('Tab for Charts'!$B$3=1,INDEX(Table1[Location],MATCH(LARGE(Table1[Splat],Dashboard!$A15),Table1[Splat],0)),INDEX(Table1[Location],MATCH(SMALL(Table1[Splat],Dashboard!$A15),Table1[Splat],0)))</f>
        <v>Dunn Lorring, VA</v>
      </c>
      <c r="D23" s="21" t="str">
        <f>IF('Tab for Charts'!$B$3=1,INDEX(Table1[Trainer],MATCH(LARGE(Table1[Splat],Dashboard!$A15),Table1[Splat],0)),INDEX(Table1[Trainer],MATCH(SMALL(Table1[Splat],Dashboard!$A15),Table1[Splat],0)))</f>
        <v>Audrey</v>
      </c>
      <c r="E23" s="32">
        <f>(IF('Tab for Charts'!$B$3=1,INDEX(Table1[Splat],MATCH(LARGE(Table1[Splat],Dashboard!$A15),Table1[Splat],0)),INDEX(Table1[Splat],MATCH(SMALL(Table1[Splat],Dashboard!$A15),Table1[Splat],0))))</f>
        <v>1.0000000003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56"/>
    </row>
    <row r="24" spans="1:18">
      <c r="A24" s="17">
        <v>4</v>
      </c>
      <c r="B24" s="24">
        <f>IF('Tab for Charts'!$B$3=1,INDEX(Table1[Date],MATCH(LARGE(Table1[Splat],Dashboard!$A16),Table1[Splat],0)),INDEX(Table1[Date],MATCH(SMALL(Table1[Splat],Dashboard!$A16),Table1[Splat],0)))</f>
        <v>43552</v>
      </c>
      <c r="C24" s="24" t="str">
        <f>IF('Tab for Charts'!$B$3=1,INDEX(Table1[Location],MATCH(LARGE(Table1[Splat],Dashboard!$A16),Table1[Splat],0)),INDEX(Table1[Location],MATCH(SMALL(Table1[Splat],Dashboard!$A16),Table1[Splat],0)))</f>
        <v>Dunn Lorring, VA</v>
      </c>
      <c r="D24" s="24" t="str">
        <f>IF('Tab for Charts'!$B$3=1,INDEX(Table1[Trainer],MATCH(LARGE(Table1[Splat],Dashboard!$A16),Table1[Splat],0)),INDEX(Table1[Trainer],MATCH(SMALL(Table1[Splat],Dashboard!$A16),Table1[Splat],0)))</f>
        <v>Kandace</v>
      </c>
      <c r="E24" s="33">
        <f>(IF('Tab for Charts'!$B$3=1,INDEX(Table1[Splat],MATCH(LARGE(Table1[Splat],Dashboard!$A16),Table1[Splat],0)),INDEX(Table1[Splat],MATCH(SMALL(Table1[Splat],Dashboard!$A16),Table1[Splat],0))))</f>
        <v>2.0000000004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56"/>
    </row>
    <row r="25" spans="1:18">
      <c r="A25" s="16">
        <v>5</v>
      </c>
      <c r="B25" s="21">
        <f>IF('Tab for Charts'!$B$3=1,INDEX(Table1[Date],MATCH(LARGE(Table1[Splat],Dashboard!$A17),Table1[Splat],0)),INDEX(Table1[Date],MATCH(SMALL(Table1[Splat],Dashboard!$A17),Table1[Splat],0)))</f>
        <v>43860</v>
      </c>
      <c r="C25" s="21" t="str">
        <f>IF('Tab for Charts'!$B$3=1,INDEX(Table1[Location],MATCH(LARGE(Table1[Splat],Dashboard!$A17),Table1[Splat],0)),INDEX(Table1[Location],MATCH(SMALL(Table1[Splat],Dashboard!$A17),Table1[Splat],0)))</f>
        <v>14th Street, DC</v>
      </c>
      <c r="D25" s="21" t="str">
        <f>IF('Tab for Charts'!$B$3=1,INDEX(Table1[Trainer],MATCH(LARGE(Table1[Splat],Dashboard!$A17),Table1[Splat],0)),INDEX(Table1[Trainer],MATCH(SMALL(Table1[Splat],Dashboard!$A17),Table1[Splat],0)))</f>
        <v>Luke</v>
      </c>
      <c r="E25" s="32">
        <f>(IF('Tab for Charts'!$B$3=1,INDEX(Table1[Splat],MATCH(LARGE(Table1[Splat],Dashboard!$A17),Table1[Splat],0)),INDEX(Table1[Splat],MATCH(SMALL(Table1[Splat],Dashboard!$A17),Table1[Splat],0))))</f>
        <v>6.0000000000011999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56"/>
    </row>
    <row r="26" spans="1:18">
      <c r="A26" s="66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56"/>
    </row>
    <row r="27" spans="1:18">
      <c r="A27" s="66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56"/>
    </row>
    <row r="28" spans="1:18">
      <c r="A28" s="66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56"/>
    </row>
    <row r="29" spans="1:18">
      <c r="A29" s="66"/>
      <c r="B29" s="15"/>
      <c r="C29" s="15"/>
      <c r="D29" s="47" t="s">
        <v>185</v>
      </c>
      <c r="E29" s="15"/>
      <c r="F29" s="15"/>
      <c r="G29" s="15"/>
      <c r="H29" s="15"/>
      <c r="I29" s="15"/>
      <c r="J29" s="15"/>
      <c r="K29" s="15"/>
      <c r="L29" s="15"/>
      <c r="M29" s="48" t="s">
        <v>185</v>
      </c>
      <c r="N29" s="15"/>
      <c r="O29" s="15"/>
      <c r="P29" s="15"/>
      <c r="Q29" s="15"/>
      <c r="R29" s="56"/>
    </row>
    <row r="30" spans="1:18">
      <c r="A30" s="66"/>
      <c r="B30" s="15"/>
      <c r="C30" s="15"/>
      <c r="D30" s="73">
        <v>2020</v>
      </c>
      <c r="E30" s="15"/>
      <c r="F30" s="15"/>
      <c r="G30" s="15"/>
      <c r="H30" s="15"/>
      <c r="I30" s="15"/>
      <c r="J30" s="15"/>
      <c r="K30" s="15"/>
      <c r="L30" s="15"/>
      <c r="M30" s="73">
        <v>2020</v>
      </c>
      <c r="N30" s="15"/>
      <c r="O30" s="15"/>
      <c r="P30" s="15"/>
      <c r="Q30" s="15"/>
      <c r="R30" s="56"/>
    </row>
    <row r="31" spans="1:18">
      <c r="A31" s="66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56"/>
    </row>
    <row r="32" spans="1:18">
      <c r="A32" s="66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56"/>
    </row>
    <row r="33" spans="1:18">
      <c r="A33" s="66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56"/>
    </row>
    <row r="34" spans="1:18">
      <c r="A34" s="66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56"/>
    </row>
    <row r="35" spans="1:18">
      <c r="A35" s="66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56"/>
    </row>
    <row r="36" spans="1:18">
      <c r="A36" s="66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56"/>
    </row>
    <row r="37" spans="1:18">
      <c r="A37" s="66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56"/>
    </row>
    <row r="38" spans="1:18">
      <c r="A38" s="66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56"/>
    </row>
    <row r="39" spans="1:18">
      <c r="A39" s="66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56"/>
    </row>
    <row r="40" spans="1:18">
      <c r="A40" s="66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56"/>
    </row>
    <row r="41" spans="1:18">
      <c r="A41" s="66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56"/>
    </row>
    <row r="42" spans="1:18">
      <c r="A42" s="66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56"/>
    </row>
    <row r="43" spans="1:18">
      <c r="A43" s="66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56"/>
    </row>
    <row r="44" spans="1:18">
      <c r="A44" s="66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56"/>
    </row>
    <row r="45" spans="1:18">
      <c r="A45" s="66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56"/>
    </row>
    <row r="46" spans="1:18">
      <c r="A46" s="66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56"/>
    </row>
    <row r="47" spans="1:18">
      <c r="A47" s="66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56"/>
    </row>
    <row r="48" spans="1:18">
      <c r="A48" s="66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56"/>
    </row>
    <row r="49" spans="1:18">
      <c r="A49" s="66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56"/>
    </row>
    <row r="50" spans="1:18">
      <c r="A50" s="66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56"/>
    </row>
    <row r="51" spans="1:18">
      <c r="A51" s="66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56"/>
    </row>
    <row r="52" spans="1:18">
      <c r="A52" s="67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9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Option Button 1">
              <controlPr defaultSize="0" autoFill="0" autoLine="0" autoPict="0">
                <anchor moveWithCells="1">
                  <from>
                    <xdr:col>2</xdr:col>
                    <xdr:colOff>546100</xdr:colOff>
                    <xdr:row>4</xdr:row>
                    <xdr:rowOff>152400</xdr:rowOff>
                  </from>
                  <to>
                    <xdr:col>3</xdr:col>
                    <xdr:colOff>558800</xdr:colOff>
                    <xdr:row>7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4" name="Option Button 2">
              <controlPr defaultSize="0" autoFill="0" autoLine="0" autoPict="0">
                <anchor moveWithCells="1">
                  <from>
                    <xdr:col>2</xdr:col>
                    <xdr:colOff>546100</xdr:colOff>
                    <xdr:row>7</xdr:row>
                    <xdr:rowOff>63500</xdr:rowOff>
                  </from>
                  <to>
                    <xdr:col>3</xdr:col>
                    <xdr:colOff>558800</xdr:colOff>
                    <xdr:row>9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5" name="List Box 7">
              <controlPr defaultSize="0" autoLine="0" autoPict="0">
                <anchor moveWithCells="1">
                  <from>
                    <xdr:col>5</xdr:col>
                    <xdr:colOff>495300</xdr:colOff>
                    <xdr:row>9</xdr:row>
                    <xdr:rowOff>114300</xdr:rowOff>
                  </from>
                  <to>
                    <xdr:col>7</xdr:col>
                    <xdr:colOff>635000</xdr:colOff>
                    <xdr:row>13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6" name="List Box 8">
              <controlPr defaultSize="0" autoLine="0" autoPict="0">
                <anchor moveWithCells="1">
                  <from>
                    <xdr:col>5</xdr:col>
                    <xdr:colOff>482600</xdr:colOff>
                    <xdr:row>20</xdr:row>
                    <xdr:rowOff>12700</xdr:rowOff>
                  </from>
                  <to>
                    <xdr:col>7</xdr:col>
                    <xdr:colOff>609600</xdr:colOff>
                    <xdr:row>24</xdr:row>
                    <xdr:rowOff>63500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A916AD9-7ED3-A246-B62C-EA8AE28F9B98}">
          <x14:formula1>
            <xm:f>'Tab for Charts'!$B$70:$B$71</xm:f>
          </x14:formula1>
          <xm:sqref>D30 M30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TimelineData</vt:lpstr>
      <vt:lpstr>Tab for Charts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Zimmerman</dc:creator>
  <cp:lastModifiedBy>Jon Zimmerman</cp:lastModifiedBy>
  <dcterms:created xsi:type="dcterms:W3CDTF">2019-06-29T00:50:18Z</dcterms:created>
  <dcterms:modified xsi:type="dcterms:W3CDTF">2020-05-24T13:00:58Z</dcterms:modified>
</cp:coreProperties>
</file>